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825" windowWidth="14505" windowHeight="7110" tabRatio="212" activeTab="1"/>
  </bookViews>
  <sheets>
    <sheet name="Instructions " sheetId="1" r:id="rId1"/>
    <sheet name="Calculations" sheetId="2" r:id="rId2"/>
  </sheets>
  <externalReferences>
    <externalReference r:id="rId5"/>
  </externalReferences>
  <definedNames>
    <definedName name="_xlnm.Print_Area" localSheetId="1">'Calculations'!$A$1:$N$112</definedName>
    <definedName name="_xlnm.Print_Area" localSheetId="0">'Instructions '!$A$1:$M$80</definedName>
    <definedName name="Select_the_value_for_RA" localSheetId="0">'[1]Calculations'!#REF!</definedName>
    <definedName name="Select_the_value_for_RA">'Calculations'!#REF!</definedName>
    <definedName name="Type_1">'Calculations'!$E$65</definedName>
    <definedName name="Type_3">'Calculations'!$E$65</definedName>
  </definedNames>
  <calcPr fullCalcOnLoad="1"/>
</workbook>
</file>

<file path=xl/comments2.xml><?xml version="1.0" encoding="utf-8"?>
<comments xmlns="http://schemas.openxmlformats.org/spreadsheetml/2006/main">
  <authors>
    <author>dmorgan</author>
    <author>bdemsc</author>
    <author>Sen, Sourav</author>
    <author>Timothy Hegarty</author>
  </authors>
  <commentList>
    <comment ref="E19" authorId="0">
      <text>
        <r>
          <rPr>
            <b/>
            <sz val="8"/>
            <rFont val="Tahoma"/>
            <family val="2"/>
          </rPr>
          <t>The minimum input voltage must be at least TWO times MORE than the desired PRIMARY output voltage for a regulated output at both primary and secondary side</t>
        </r>
      </text>
    </comment>
    <comment ref="E20" authorId="0">
      <text>
        <r>
          <rPr>
            <b/>
            <sz val="8"/>
            <rFont val="Tahoma"/>
            <family val="2"/>
          </rPr>
          <t>This is the nominal input voltage for the majority of the circuit's operation, and must be in between the minimum and maximum input voltages.</t>
        </r>
      </text>
    </comment>
    <comment ref="E21" authorId="0">
      <text>
        <r>
          <rPr>
            <b/>
            <sz val="8"/>
            <rFont val="Tahoma"/>
            <family val="2"/>
          </rPr>
          <t>The maximum allowed input voltage is 65V</t>
        </r>
      </text>
    </comment>
    <comment ref="E23" authorId="0">
      <text>
        <r>
          <rPr>
            <b/>
            <sz val="8"/>
            <rFont val="Tahoma"/>
            <family val="2"/>
          </rPr>
          <t>Typically, the maximum allowed load current should not exceed 1.5A</t>
        </r>
      </text>
    </comment>
    <comment ref="E35" authorId="0">
      <text>
        <r>
          <rPr>
            <b/>
            <sz val="8"/>
            <rFont val="Tahoma"/>
            <family val="2"/>
          </rPr>
          <t xml:space="preserve">Insert a value between 1k and 10k ohms. </t>
        </r>
      </text>
    </comment>
    <comment ref="E37" authorId="0">
      <text>
        <r>
          <rPr>
            <b/>
            <sz val="8"/>
            <rFont val="Tahoma"/>
            <family val="2"/>
          </rPr>
          <t>Choose from a list of standard value resistors.</t>
        </r>
      </text>
    </comment>
    <comment ref="E41" authorId="0">
      <text>
        <r>
          <rPr>
            <b/>
            <sz val="8"/>
            <rFont val="Tahoma"/>
            <family val="2"/>
          </rPr>
          <t>This value is calculated based on a minimum on-time of 150 ns, a minimum off-time of 200 ns, and the maximum and minimum input voltages listed in Step 1.</t>
        </r>
      </text>
    </comment>
    <comment ref="E42" authorId="0">
      <text>
        <r>
          <rPr>
            <b/>
            <sz val="8"/>
            <rFont val="Tahoma"/>
            <family val="2"/>
          </rPr>
          <t>Enter a value less than the maximum allowed frequency. A higher frequency results in errors at the input voltage extremes.</t>
        </r>
      </text>
    </comment>
    <comment ref="E44" authorId="0">
      <text>
        <r>
          <rPr>
            <b/>
            <sz val="8"/>
            <rFont val="Tahoma"/>
            <family val="2"/>
          </rPr>
          <t>Select a value equal to, or as close as possible to the recommended value.</t>
        </r>
      </text>
    </comment>
    <comment ref="E51" authorId="0">
      <text>
        <r>
          <rPr>
            <b/>
            <sz val="8"/>
            <rFont val="Tahoma"/>
            <family val="2"/>
          </rPr>
          <t xml:space="preserve">The minimum primary inductance of the Tx is calculated based on 40% ripple on the NET primary load. </t>
        </r>
      </text>
    </comment>
    <comment ref="E52" authorId="0">
      <text>
        <r>
          <rPr>
            <b/>
            <sz val="8"/>
            <rFont val="Tahoma"/>
            <family val="2"/>
          </rPr>
          <t>Generally the selected value should be  larger than the minimum value such that the primary ripple current measures close to 40% of the Net Primary Load current.
The designer might need to recalibrate the Tx value if the primary peak current cell turns RED</t>
        </r>
      </text>
    </comment>
    <comment ref="E61" authorId="0">
      <text>
        <r>
          <rPr>
            <b/>
            <sz val="8"/>
            <rFont val="Tahoma"/>
            <family val="2"/>
          </rPr>
          <t>Select a value equal to, or as close as possible, to the recommended value.</t>
        </r>
      </text>
    </comment>
    <comment ref="E65" authorId="0">
      <text>
        <r>
          <rPr>
            <b/>
            <sz val="8"/>
            <rFont val="Tahoma"/>
            <family val="2"/>
          </rPr>
          <t>Only Type 3 Ripple injection circuit can be used with Fly-Buck mode of operation</t>
        </r>
      </text>
    </comment>
    <comment ref="E84" authorId="0">
      <text>
        <r>
          <rPr>
            <b/>
            <sz val="8"/>
            <rFont val="Tahoma"/>
            <family val="2"/>
          </rPr>
          <t>Select a value equal to or larger than the minimum recommended value.</t>
        </r>
      </text>
    </comment>
    <comment ref="E59" authorId="0">
      <text>
        <r>
          <rPr>
            <b/>
            <sz val="8"/>
            <rFont val="Tahoma"/>
            <family val="2"/>
          </rPr>
          <t>Enter the desired soft-start time.</t>
        </r>
      </text>
    </comment>
    <comment ref="E53" authorId="0">
      <text>
        <r>
          <rPr>
            <b/>
            <sz val="8"/>
            <rFont val="Tahoma"/>
            <family val="2"/>
          </rPr>
          <t>The Minimum Ripple Current Amplitude occurs at the minimum input voltage.</t>
        </r>
      </text>
    </comment>
    <comment ref="E55" authorId="0">
      <text>
        <r>
          <rPr>
            <b/>
            <sz val="8"/>
            <rFont val="Tahoma"/>
            <family val="2"/>
          </rPr>
          <t>The Maximum Ripple Current Amplitude occurs at the maximum input voltage.</t>
        </r>
      </text>
    </comment>
    <comment ref="E54" authorId="0">
      <text>
        <r>
          <rPr>
            <b/>
            <sz val="8"/>
            <rFont val="Tahoma"/>
            <family val="2"/>
          </rPr>
          <t>This is calculated at the nominal input voltage.</t>
        </r>
      </text>
    </comment>
    <comment ref="E38" authorId="1">
      <text>
        <r>
          <rPr>
            <b/>
            <sz val="8"/>
            <rFont val="Tahoma"/>
            <family val="2"/>
          </rPr>
          <t>This value, based on the selected values for Rfb1 and Rfb2, is used in the remaining calculations below.</t>
        </r>
      </text>
    </comment>
    <comment ref="E43" authorId="1">
      <text>
        <r>
          <rPr>
            <b/>
            <sz val="8"/>
            <rFont val="Tahoma"/>
            <family val="2"/>
          </rPr>
          <t>This recommended value is based on the Desired Nominal Switching Frequency.</t>
        </r>
      </text>
    </comment>
    <comment ref="E22" authorId="0">
      <text>
        <r>
          <rPr>
            <b/>
            <sz val="8"/>
            <rFont val="Tahoma"/>
            <family val="2"/>
          </rPr>
          <t>Typically, the maximum allowed load current should not exceed 1.5A</t>
        </r>
      </text>
    </comment>
    <comment ref="E56" authorId="2">
      <text>
        <r>
          <rPr>
            <b/>
            <sz val="9"/>
            <rFont val="Tahoma"/>
            <family val="2"/>
          </rPr>
          <t xml:space="preserve">If this cell turns </t>
        </r>
        <r>
          <rPr>
            <b/>
            <sz val="9"/>
            <color indexed="10"/>
            <rFont val="Tahoma"/>
            <family val="2"/>
          </rPr>
          <t xml:space="preserve">RED, </t>
        </r>
        <r>
          <rPr>
            <b/>
            <sz val="9"/>
            <rFont val="Tahoma"/>
            <family val="2"/>
          </rPr>
          <t>it means the primary peak current is more than HS current limit 2.12A (min.)
 One will need to choose another set of load or tune the Tx.</t>
        </r>
        <r>
          <rPr>
            <sz val="9"/>
            <rFont val="Tahoma"/>
            <family val="2"/>
          </rPr>
          <t xml:space="preserve">
</t>
        </r>
      </text>
    </comment>
    <comment ref="A3" authorId="3">
      <text>
        <r>
          <rPr>
            <b/>
            <sz val="11"/>
            <color indexed="10"/>
            <rFont val="Tahoma"/>
            <family val="2"/>
          </rPr>
          <t>Welcome to the LM5160 Fly-Buck Quick Start Calculator!</t>
        </r>
        <r>
          <rPr>
            <sz val="9"/>
            <rFont val="Tahoma"/>
            <family val="2"/>
          </rPr>
          <t xml:space="preserve">
This stand-alone tool facilitates and assists the power supply engineer with design of a DC/DC Fly-Buck regulator based on the </t>
        </r>
        <r>
          <rPr>
            <b/>
            <sz val="9"/>
            <rFont val="Tahoma"/>
            <family val="2"/>
          </rPr>
          <t>LM5160 Wide Input 65V, 1.5A Synchronous Step-Down DC-DC Converter</t>
        </r>
        <r>
          <rPr>
            <sz val="9"/>
            <rFont val="Tahoma"/>
            <family val="2"/>
          </rPr>
          <t xml:space="preserve">. As such, the user can expeditiously arrive at an optimized design by virtue of the following:
- Determine the desired primary and the secondary output voltages
- Transformer turns ratio, transformer primary inductance, and input and output capacitances
- Select components for soft-start, input UVLO
- Review the Fly-Buck schematic
</t>
        </r>
        <r>
          <rPr>
            <b/>
            <sz val="9"/>
            <rFont val="Tahoma"/>
            <family val="2"/>
          </rPr>
          <t>IMPORTANT:</t>
        </r>
        <r>
          <rPr>
            <sz val="9"/>
            <rFont val="Tahoma"/>
            <family val="2"/>
          </rPr>
          <t xml:space="preserve"> You must enable macros if Microsoft EXCEL asks as the file is being opened.
U.S. English notation is used throughout.
</t>
        </r>
        <r>
          <rPr>
            <u val="single"/>
            <sz val="9"/>
            <color indexed="12"/>
            <rFont val="Tahoma"/>
            <family val="2"/>
          </rPr>
          <t>http://www.ti.com/ww/en/analog/power_management/widevin/</t>
        </r>
        <r>
          <rPr>
            <sz val="9"/>
            <rFont val="Tahoma"/>
            <family val="2"/>
          </rPr>
          <t xml:space="preserve">
</t>
        </r>
        <r>
          <rPr>
            <b/>
            <sz val="9"/>
            <rFont val="Tahoma"/>
            <family val="2"/>
          </rPr>
          <t xml:space="preserve">
Rev 1.0, Sourav Sen, Texas Instruments, Inc.</t>
        </r>
      </text>
    </comment>
    <comment ref="O3" authorId="3">
      <text>
        <r>
          <rPr>
            <b/>
            <u val="single"/>
            <sz val="11"/>
            <color indexed="10"/>
            <rFont val="Tahoma"/>
            <family val="2"/>
          </rPr>
          <t>Texas Instruments</t>
        </r>
        <r>
          <rPr>
            <sz val="11"/>
            <color indexed="10"/>
            <rFont val="Tahoma"/>
            <family val="2"/>
          </rPr>
          <t>:</t>
        </r>
        <r>
          <rPr>
            <sz val="9"/>
            <rFont val="Tahoma"/>
            <family val="2"/>
          </rPr>
          <t xml:space="preserve">
</t>
        </r>
        <r>
          <rPr>
            <b/>
            <sz val="9"/>
            <rFont val="Tahoma"/>
            <family val="2"/>
          </rPr>
          <t>Limited Use Policy</t>
        </r>
        <r>
          <rPr>
            <sz val="9"/>
            <rFont val="Tahoma"/>
            <family val="2"/>
          </rPr>
          <t xml:space="preserve">
You must treat this software and documentation like any other copyrighted material.
</t>
        </r>
        <r>
          <rPr>
            <b/>
            <sz val="9"/>
            <rFont val="Tahoma"/>
            <family val="2"/>
          </rPr>
          <t>You may not:</t>
        </r>
        <r>
          <rPr>
            <sz val="9"/>
            <rFont val="Tahoma"/>
            <family val="2"/>
          </rPr>
          <t xml:space="preserve">
- Copy documentation of the software
- Copy this software except to make archival or backup copies
- Reverse engineer, disassemble, decompile or make any attempt to discover the source code of the Software 
- Place the software onto a server so that it is accessible via a public network such as the internet 
- Sublicense, rent, lease or lend any portion of the software or documentation.
Texas Instruments is not responsible for the validity of any design created with this software and urges all designs to be fully tested and carefully verified. Refer to the LM5160 product datasheet and EVM user guides for more details
</t>
        </r>
        <r>
          <rPr>
            <b/>
            <sz val="9"/>
            <rFont val="Tahoma"/>
            <family val="2"/>
          </rPr>
          <t>Rev 1.0, Sourav Sen, Texas Instruments, Inc.</t>
        </r>
      </text>
    </comment>
  </commentList>
</comments>
</file>

<file path=xl/sharedStrings.xml><?xml version="1.0" encoding="utf-8"?>
<sst xmlns="http://schemas.openxmlformats.org/spreadsheetml/2006/main" count="406" uniqueCount="268">
  <si>
    <t>Step 1. General Requirements</t>
  </si>
  <si>
    <t>Desired Nominal Switching Frequency</t>
  </si>
  <si>
    <t>kHz</t>
  </si>
  <si>
    <t>Max Fs at Max Vin =</t>
  </si>
  <si>
    <t>Max Fs at Min Vin =</t>
  </si>
  <si>
    <t>Smaller Fs =</t>
  </si>
  <si>
    <t>kohms</t>
  </si>
  <si>
    <t>Recommended Rfb2 =</t>
  </si>
  <si>
    <t>Actual Vout =</t>
  </si>
  <si>
    <t>Nominal frequency =</t>
  </si>
  <si>
    <t>mAp-p</t>
  </si>
  <si>
    <t>Type 1</t>
  </si>
  <si>
    <t>Type 2</t>
  </si>
  <si>
    <t>Type 3</t>
  </si>
  <si>
    <t>Min R3 for Type 1 =</t>
  </si>
  <si>
    <t>Min. Vout Ripple for Type 1 =</t>
  </si>
  <si>
    <t>uF</t>
  </si>
  <si>
    <t>Min Cff =</t>
  </si>
  <si>
    <t>Va =</t>
  </si>
  <si>
    <t>RA x CA =</t>
  </si>
  <si>
    <t>mVp-p</t>
  </si>
  <si>
    <t>L1 =</t>
  </si>
  <si>
    <t>Output Ripple Configuration =</t>
  </si>
  <si>
    <t>Nominal Switching Frequency =</t>
  </si>
  <si>
    <t>Min R3 for Type 2 =</t>
  </si>
  <si>
    <t>R3 for Type 1 or Type 2 =</t>
  </si>
  <si>
    <t>These two resistors set</t>
  </si>
  <si>
    <t>the output voltage.</t>
  </si>
  <si>
    <t>Sets the switching frequency.</t>
  </si>
  <si>
    <t>Determines the ripple current.</t>
  </si>
  <si>
    <t>Component Calculator</t>
  </si>
  <si>
    <t>START WITH STEP 1, AND THEN WORK DOWN ON THE</t>
  </si>
  <si>
    <t>CALCULATIONS WORKSHEET.</t>
  </si>
  <si>
    <t>Maximum Allowed Switching Frequency</t>
  </si>
  <si>
    <t>Resulting Nominal Frequency</t>
  </si>
  <si>
    <t>Calculated Values are in the White Cells.</t>
  </si>
  <si>
    <t>Ignore Cells with Gray shading.</t>
  </si>
  <si>
    <t>Min Cout for 10mV ripple =</t>
  </si>
  <si>
    <t>Recommended Ron =</t>
  </si>
  <si>
    <t>Ron based on max allowed freq =</t>
  </si>
  <si>
    <t xml:space="preserve">Vref = </t>
  </si>
  <si>
    <t>On-Time K =</t>
  </si>
  <si>
    <t>Max on-time =</t>
  </si>
  <si>
    <t>Ron offset =</t>
  </si>
  <si>
    <t>Vin offset =</t>
  </si>
  <si>
    <t>Peak current at Max CL =</t>
  </si>
  <si>
    <t>Desired Soft-Start Time</t>
  </si>
  <si>
    <t>ms</t>
  </si>
  <si>
    <t>Recommended Css =</t>
  </si>
  <si>
    <t>SS Current =</t>
  </si>
  <si>
    <t>Resulting Typical Soft-Start Time</t>
  </si>
  <si>
    <t>Resulting SS time =</t>
  </si>
  <si>
    <t>Max Recommended RA =</t>
  </si>
  <si>
    <t>Max ripple Type 1 &amp; 2 =</t>
  </si>
  <si>
    <t>Max ripple Type 3 =</t>
  </si>
  <si>
    <t>Min Cin =</t>
  </si>
  <si>
    <t>Sets the soft-start time.</t>
  </si>
  <si>
    <t>Delay =</t>
  </si>
  <si>
    <t>Desired Vout =</t>
  </si>
  <si>
    <t>Min allowed Vin =</t>
  </si>
  <si>
    <t>Larger of the above =</t>
  </si>
  <si>
    <t>mA</t>
  </si>
  <si>
    <t>V</t>
  </si>
  <si>
    <t>ns</t>
  </si>
  <si>
    <t>Min on-time =</t>
  </si>
  <si>
    <t>On-time at nominal Vin =</t>
  </si>
  <si>
    <t>µA</t>
  </si>
  <si>
    <t>F13</t>
  </si>
  <si>
    <t>F14</t>
  </si>
  <si>
    <t>F15</t>
  </si>
  <si>
    <t>F16</t>
  </si>
  <si>
    <t>F17</t>
  </si>
  <si>
    <t>F28</t>
  </si>
  <si>
    <t>W115</t>
  </si>
  <si>
    <t>F35</t>
  </si>
  <si>
    <t>F48</t>
  </si>
  <si>
    <t xml:space="preserve">Desired Vout </t>
  </si>
  <si>
    <t>Min Vin</t>
  </si>
  <si>
    <t>Nom Vin</t>
  </si>
  <si>
    <t>Max Vin</t>
  </si>
  <si>
    <t>Max Io</t>
  </si>
  <si>
    <t>Desired Fs</t>
  </si>
  <si>
    <t>Actual Vout</t>
  </si>
  <si>
    <t>Selected L1</t>
  </si>
  <si>
    <t xml:space="preserve">Req SS time </t>
  </si>
  <si>
    <t>??</t>
  </si>
  <si>
    <t>µs</t>
  </si>
  <si>
    <t>L1 based on 40% of Io(max) at Vin(max) =</t>
  </si>
  <si>
    <t>µH</t>
  </si>
  <si>
    <t>Io-ripple at Min Vin =</t>
  </si>
  <si>
    <t>Io-ripple at Nom Vin =</t>
  </si>
  <si>
    <t>Peak-Min CL =</t>
  </si>
  <si>
    <t>Peak-Typ CL =</t>
  </si>
  <si>
    <t>Peak-Max CL =</t>
  </si>
  <si>
    <t>mA-peak</t>
  </si>
  <si>
    <t>Peak current at Io,max(@ Vin(max) =</t>
  </si>
  <si>
    <t>Io at CL(@Vin,min) =</t>
  </si>
  <si>
    <t>Io at CL(@Vin,nom) =</t>
  </si>
  <si>
    <t>Io at CL(@Vin,max) =</t>
  </si>
  <si>
    <t>uvlo fix necessary</t>
  </si>
  <si>
    <t>Io-ripple at Max Vin =</t>
  </si>
  <si>
    <t>Step 7. Soft-Start Time</t>
  </si>
  <si>
    <t>Step 8. Output Ripple Configuration</t>
  </si>
  <si>
    <t>Minimum on-Time</t>
  </si>
  <si>
    <t>Nominal On-Time</t>
  </si>
  <si>
    <t>Maximum On-Time</t>
  </si>
  <si>
    <t>ESResxt&gt;ESRcritical</t>
  </si>
  <si>
    <t>ESRcritical</t>
  </si>
  <si>
    <t>ESRcritical=ton,max/(2*Cout)</t>
  </si>
  <si>
    <t>Ohms</t>
  </si>
  <si>
    <t xml:space="preserve">Step 2. EN / UVLO </t>
  </si>
  <si>
    <t>Step 3. Feedback Resistors</t>
  </si>
  <si>
    <t>Step 4. Switching Frequency</t>
  </si>
  <si>
    <t>Step 5. On-Time Calculations</t>
  </si>
  <si>
    <t>Reqired transformer turns ratio: n</t>
  </si>
  <si>
    <t>Selected turns ratio: N</t>
  </si>
  <si>
    <t xml:space="preserve">Min HS peak </t>
  </si>
  <si>
    <t>A</t>
  </si>
  <si>
    <t>IOUT,PRI</t>
  </si>
  <si>
    <t>IOUT,SEC</t>
  </si>
  <si>
    <t>I,pri,ripple</t>
  </si>
  <si>
    <t>PRI/SEC: N</t>
  </si>
  <si>
    <t>VO,PRI</t>
  </si>
  <si>
    <t>VIN,MAX</t>
  </si>
  <si>
    <t>FSW</t>
  </si>
  <si>
    <t>H</t>
  </si>
  <si>
    <t>L,min, PRI</t>
  </si>
  <si>
    <t>SELECTED</t>
  </si>
  <si>
    <t>Calculated</t>
  </si>
  <si>
    <t>theoritical</t>
  </si>
  <si>
    <t>if</t>
  </si>
  <si>
    <t>then</t>
  </si>
  <si>
    <t>I PRI HS Peak</t>
  </si>
  <si>
    <t>at max Vin</t>
  </si>
  <si>
    <t>VIN,MIN</t>
  </si>
  <si>
    <t>VIN,NOM</t>
  </si>
  <si>
    <t>Ap-p</t>
  </si>
  <si>
    <t>at min Vin</t>
  </si>
  <si>
    <t>at nom Vin</t>
  </si>
  <si>
    <t>Required Output Ripple Configuration Type</t>
  </si>
  <si>
    <t>COUT,SEC</t>
  </si>
  <si>
    <t>F</t>
  </si>
  <si>
    <t>µf</t>
  </si>
  <si>
    <t>Max Vout2 Rip</t>
  </si>
  <si>
    <r>
      <t>Net Load Current: I</t>
    </r>
    <r>
      <rPr>
        <b/>
        <vertAlign val="subscript"/>
        <sz val="10"/>
        <rFont val="Arial"/>
        <family val="2"/>
      </rPr>
      <t>OUT,PRI'</t>
    </r>
  </si>
  <si>
    <t>%</t>
  </si>
  <si>
    <t>Iout,pri'</t>
  </si>
  <si>
    <t>Nominal Ripple % at Net Primary Load Current</t>
  </si>
  <si>
    <t>Vpri</t>
  </si>
  <si>
    <t>Vsec</t>
  </si>
  <si>
    <t>Vsec-iso</t>
  </si>
  <si>
    <t>Vf</t>
  </si>
  <si>
    <t>n</t>
  </si>
  <si>
    <t>pf</t>
  </si>
  <si>
    <t>RUV2</t>
  </si>
  <si>
    <t>VIN,RISING</t>
  </si>
  <si>
    <t>VIN HYS</t>
  </si>
  <si>
    <t>KoHMS</t>
  </si>
  <si>
    <t>RUV1</t>
  </si>
  <si>
    <t>KOHMS</t>
  </si>
  <si>
    <t>Selected</t>
  </si>
  <si>
    <t>Ron selected</t>
  </si>
  <si>
    <t>PRIMARY PEAK CURRENT AT MAX VIN</t>
  </si>
  <si>
    <t>% RIPPLE</t>
  </si>
  <si>
    <t>NOMINAL</t>
  </si>
  <si>
    <t>DESRED SOFT START TIME</t>
  </si>
  <si>
    <t>uf</t>
  </si>
  <si>
    <t>Css selected</t>
  </si>
  <si>
    <t>CA selected</t>
  </si>
  <si>
    <t>cout, sec selected</t>
  </si>
  <si>
    <t>cout pri</t>
  </si>
  <si>
    <t>f</t>
  </si>
  <si>
    <t>max ripple</t>
  </si>
  <si>
    <t>COUT SELECTED</t>
  </si>
  <si>
    <t>Uf</t>
  </si>
  <si>
    <t>ca min reco</t>
  </si>
  <si>
    <t>RIPPLE AT Vin min</t>
  </si>
  <si>
    <t xml:space="preserve">selected </t>
  </si>
  <si>
    <t>Cin</t>
  </si>
  <si>
    <t>cb</t>
  </si>
  <si>
    <t>Vp-p</t>
  </si>
  <si>
    <t>See Note 1</t>
  </si>
  <si>
    <t>VIN,RISING(ACT.)</t>
  </si>
  <si>
    <t>Select the value for Tx</t>
  </si>
  <si>
    <t>Minimum Primary Ripple Current Amp with selected Tx</t>
  </si>
  <si>
    <t>Nominal Primary Ripple Current Amp with selected Tx</t>
  </si>
  <si>
    <t>Maximum Primary Ripple Current Amp with selected Tx</t>
  </si>
  <si>
    <r>
      <t>Desired Primary Output Voltage: V</t>
    </r>
    <r>
      <rPr>
        <b/>
        <vertAlign val="subscript"/>
        <sz val="10"/>
        <rFont val="Arial"/>
        <family val="2"/>
      </rPr>
      <t>PRI</t>
    </r>
  </si>
  <si>
    <r>
      <t>Desired Secondary Output Voltage: V</t>
    </r>
    <r>
      <rPr>
        <b/>
        <vertAlign val="subscript"/>
        <sz val="10"/>
        <rFont val="Arial"/>
        <family val="2"/>
      </rPr>
      <t>SEC</t>
    </r>
  </si>
  <si>
    <r>
      <t>Actual Secondary Output Voltage: V</t>
    </r>
    <r>
      <rPr>
        <b/>
        <vertAlign val="subscript"/>
        <sz val="10"/>
        <rFont val="Arial"/>
        <family val="2"/>
      </rPr>
      <t>ISO</t>
    </r>
    <r>
      <rPr>
        <b/>
        <sz val="10"/>
        <rFont val="Arial"/>
        <family val="2"/>
      </rPr>
      <t xml:space="preserve"> </t>
    </r>
  </si>
  <si>
    <r>
      <t>Minimum Input Voltage: V</t>
    </r>
    <r>
      <rPr>
        <b/>
        <vertAlign val="subscript"/>
        <sz val="10"/>
        <rFont val="Arial"/>
        <family val="2"/>
      </rPr>
      <t>IN</t>
    </r>
    <r>
      <rPr>
        <b/>
        <sz val="10"/>
        <rFont val="Arial"/>
        <family val="2"/>
      </rPr>
      <t>(min)</t>
    </r>
  </si>
  <si>
    <r>
      <t>Nominal Input Voltage: V</t>
    </r>
    <r>
      <rPr>
        <b/>
        <vertAlign val="subscript"/>
        <sz val="10"/>
        <rFont val="Arial"/>
        <family val="2"/>
      </rPr>
      <t>IN</t>
    </r>
    <r>
      <rPr>
        <b/>
        <sz val="10"/>
        <rFont val="Arial"/>
        <family val="2"/>
      </rPr>
      <t>(nom)</t>
    </r>
  </si>
  <si>
    <r>
      <t>Maximum Input Voltage: V</t>
    </r>
    <r>
      <rPr>
        <b/>
        <vertAlign val="subscript"/>
        <sz val="10"/>
        <rFont val="Arial"/>
        <family val="2"/>
      </rPr>
      <t>IN</t>
    </r>
    <r>
      <rPr>
        <b/>
        <sz val="10"/>
        <rFont val="Arial"/>
        <family val="2"/>
      </rPr>
      <t>(max)</t>
    </r>
  </si>
  <si>
    <r>
      <t>Secondary Load Current: I</t>
    </r>
    <r>
      <rPr>
        <b/>
        <vertAlign val="subscript"/>
        <sz val="10"/>
        <rFont val="Arial"/>
        <family val="2"/>
      </rPr>
      <t>OUT,sec</t>
    </r>
  </si>
  <si>
    <r>
      <t>Pirmary Load Current: I</t>
    </r>
    <r>
      <rPr>
        <b/>
        <vertAlign val="subscript"/>
        <sz val="10"/>
        <rFont val="Arial"/>
        <family val="2"/>
      </rPr>
      <t>OUT,pri</t>
    </r>
  </si>
  <si>
    <r>
      <t>Desired V</t>
    </r>
    <r>
      <rPr>
        <b/>
        <vertAlign val="subscript"/>
        <sz val="10"/>
        <rFont val="Arial"/>
        <family val="2"/>
      </rPr>
      <t>IN, RISING</t>
    </r>
    <r>
      <rPr>
        <b/>
        <sz val="10"/>
        <rFont val="Arial"/>
        <family val="2"/>
      </rPr>
      <t xml:space="preserve"> Threshold</t>
    </r>
  </si>
  <si>
    <r>
      <t xml:space="preserve"> Desired V</t>
    </r>
    <r>
      <rPr>
        <b/>
        <vertAlign val="subscript"/>
        <sz val="10"/>
        <rFont val="Arial"/>
        <family val="2"/>
      </rPr>
      <t>IN</t>
    </r>
    <r>
      <rPr>
        <b/>
        <sz val="10"/>
        <rFont val="Arial"/>
        <family val="2"/>
      </rPr>
      <t xml:space="preserve"> hysteresis</t>
    </r>
  </si>
  <si>
    <r>
      <t>Recommended value of R</t>
    </r>
    <r>
      <rPr>
        <b/>
        <vertAlign val="subscript"/>
        <sz val="10"/>
        <rFont val="Arial"/>
        <family val="2"/>
      </rPr>
      <t>UV2</t>
    </r>
  </si>
  <si>
    <r>
      <t>Select the value of R</t>
    </r>
    <r>
      <rPr>
        <b/>
        <vertAlign val="subscript"/>
        <sz val="10"/>
        <rFont val="Arial"/>
        <family val="2"/>
      </rPr>
      <t>UV2</t>
    </r>
    <r>
      <rPr>
        <b/>
        <sz val="10"/>
        <rFont val="Arial"/>
        <family val="2"/>
      </rPr>
      <t xml:space="preserve">  </t>
    </r>
  </si>
  <si>
    <r>
      <t>Recommended value of R</t>
    </r>
    <r>
      <rPr>
        <b/>
        <vertAlign val="subscript"/>
        <sz val="10"/>
        <rFont val="Arial"/>
        <family val="2"/>
      </rPr>
      <t>UV1</t>
    </r>
  </si>
  <si>
    <r>
      <t>Select the value of R</t>
    </r>
    <r>
      <rPr>
        <b/>
        <vertAlign val="subscript"/>
        <sz val="10"/>
        <rFont val="Arial"/>
        <family val="2"/>
      </rPr>
      <t>UV1</t>
    </r>
    <r>
      <rPr>
        <b/>
        <sz val="10"/>
        <rFont val="Arial"/>
        <family val="2"/>
      </rPr>
      <t xml:space="preserve">  </t>
    </r>
  </si>
  <si>
    <r>
      <t>Select the value for R</t>
    </r>
    <r>
      <rPr>
        <b/>
        <vertAlign val="subscript"/>
        <sz val="10"/>
        <rFont val="Arial"/>
        <family val="2"/>
      </rPr>
      <t>FB1</t>
    </r>
  </si>
  <si>
    <r>
      <t>Recommended value for R</t>
    </r>
    <r>
      <rPr>
        <b/>
        <vertAlign val="subscript"/>
        <sz val="10"/>
        <rFont val="Arial"/>
        <family val="2"/>
      </rPr>
      <t>FB2</t>
    </r>
  </si>
  <si>
    <r>
      <t>Select the value for R</t>
    </r>
    <r>
      <rPr>
        <b/>
        <vertAlign val="subscript"/>
        <sz val="10"/>
        <rFont val="Arial"/>
        <family val="2"/>
      </rPr>
      <t>FB2</t>
    </r>
  </si>
  <si>
    <r>
      <t>Resulting actual V</t>
    </r>
    <r>
      <rPr>
        <b/>
        <vertAlign val="subscript"/>
        <sz val="10"/>
        <rFont val="Arial"/>
        <family val="2"/>
      </rPr>
      <t>OUT</t>
    </r>
  </si>
  <si>
    <r>
      <t>Recommended value for R</t>
    </r>
    <r>
      <rPr>
        <b/>
        <vertAlign val="subscript"/>
        <sz val="10"/>
        <rFont val="Arial"/>
        <family val="2"/>
      </rPr>
      <t>ON</t>
    </r>
  </si>
  <si>
    <r>
      <t>Select the value for R</t>
    </r>
    <r>
      <rPr>
        <b/>
        <vertAlign val="subscript"/>
        <sz val="10"/>
        <rFont val="Arial"/>
        <family val="2"/>
      </rPr>
      <t>ON</t>
    </r>
  </si>
  <si>
    <r>
      <t>k</t>
    </r>
    <r>
      <rPr>
        <b/>
        <sz val="10"/>
        <rFont val="Calibri"/>
        <family val="2"/>
      </rPr>
      <t>Ω</t>
    </r>
  </si>
  <si>
    <r>
      <rPr>
        <b/>
        <sz val="10"/>
        <rFont val="Calibri"/>
        <family val="2"/>
      </rPr>
      <t>µ</t>
    </r>
    <r>
      <rPr>
        <b/>
        <sz val="10"/>
        <rFont val="Arial"/>
        <family val="2"/>
      </rPr>
      <t>s</t>
    </r>
  </si>
  <si>
    <r>
      <rPr>
        <b/>
        <sz val="10"/>
        <rFont val="Calibri"/>
        <family val="2"/>
      </rPr>
      <t>µ</t>
    </r>
    <r>
      <rPr>
        <b/>
        <sz val="10"/>
        <rFont val="Arial"/>
        <family val="2"/>
      </rPr>
      <t>H</t>
    </r>
  </si>
  <si>
    <r>
      <t>Primary Peak Current in at V</t>
    </r>
    <r>
      <rPr>
        <b/>
        <vertAlign val="subscript"/>
        <sz val="10"/>
        <rFont val="Arial"/>
        <family val="2"/>
      </rPr>
      <t xml:space="preserve">IN,max </t>
    </r>
    <r>
      <rPr>
        <b/>
        <sz val="10"/>
        <rFont val="Arial"/>
        <family val="2"/>
      </rPr>
      <t>with selected Tx</t>
    </r>
  </si>
  <si>
    <r>
      <t>Recommended Value for C</t>
    </r>
    <r>
      <rPr>
        <b/>
        <vertAlign val="subscript"/>
        <sz val="10"/>
        <rFont val="Arial"/>
        <family val="2"/>
      </rPr>
      <t>SS</t>
    </r>
  </si>
  <si>
    <r>
      <rPr>
        <b/>
        <sz val="10"/>
        <rFont val="Calibri"/>
        <family val="2"/>
      </rPr>
      <t>µ</t>
    </r>
    <r>
      <rPr>
        <b/>
        <sz val="10"/>
        <rFont val="Arial"/>
        <family val="2"/>
      </rPr>
      <t>F</t>
    </r>
  </si>
  <si>
    <r>
      <t>Select the value for C</t>
    </r>
    <r>
      <rPr>
        <b/>
        <vertAlign val="subscript"/>
        <sz val="10"/>
        <rFont val="Arial"/>
        <family val="2"/>
      </rPr>
      <t>SS</t>
    </r>
  </si>
  <si>
    <r>
      <t>Minimum Recommended Value for C</t>
    </r>
    <r>
      <rPr>
        <b/>
        <vertAlign val="subscript"/>
        <sz val="10"/>
        <rFont val="Arial"/>
        <family val="2"/>
      </rPr>
      <t>OUT,PRI</t>
    </r>
  </si>
  <si>
    <r>
      <t>Select the value for C</t>
    </r>
    <r>
      <rPr>
        <b/>
        <vertAlign val="subscript"/>
        <sz val="10"/>
        <rFont val="Arial"/>
        <family val="2"/>
      </rPr>
      <t>OUT,PRI</t>
    </r>
  </si>
  <si>
    <r>
      <t>Maximum Ripple Voltage at V</t>
    </r>
    <r>
      <rPr>
        <b/>
        <vertAlign val="subscript"/>
        <sz val="10"/>
        <rFont val="Arial"/>
        <family val="2"/>
      </rPr>
      <t>OUT,PRI</t>
    </r>
  </si>
  <si>
    <r>
      <t>Minimum Recommended Value for C</t>
    </r>
    <r>
      <rPr>
        <b/>
        <vertAlign val="subscript"/>
        <sz val="10"/>
        <rFont val="Arial"/>
        <family val="2"/>
      </rPr>
      <t>OUT,SEC</t>
    </r>
  </si>
  <si>
    <r>
      <t>Select the value for C</t>
    </r>
    <r>
      <rPr>
        <b/>
        <vertAlign val="subscript"/>
        <sz val="10"/>
        <rFont val="Arial"/>
        <family val="2"/>
      </rPr>
      <t>OUT,SEC</t>
    </r>
  </si>
  <si>
    <r>
      <t>Maximum Ripple Voltage at V</t>
    </r>
    <r>
      <rPr>
        <b/>
        <vertAlign val="subscript"/>
        <sz val="10"/>
        <rFont val="Arial"/>
        <family val="2"/>
      </rPr>
      <t>OUT,SEC</t>
    </r>
  </si>
  <si>
    <r>
      <t>Minimum Recommended Value for C</t>
    </r>
    <r>
      <rPr>
        <b/>
        <vertAlign val="subscript"/>
        <sz val="10"/>
        <rFont val="Arial"/>
        <family val="2"/>
      </rPr>
      <t>IN</t>
    </r>
  </si>
  <si>
    <r>
      <t>Select the value for C</t>
    </r>
    <r>
      <rPr>
        <b/>
        <vertAlign val="subscript"/>
        <sz val="10"/>
        <rFont val="Arial"/>
        <family val="2"/>
      </rPr>
      <t>IN</t>
    </r>
  </si>
  <si>
    <r>
      <t>R</t>
    </r>
    <r>
      <rPr>
        <b/>
        <vertAlign val="subscript"/>
        <sz val="10"/>
        <rFont val="Arial"/>
        <family val="2"/>
      </rPr>
      <t>FB2</t>
    </r>
    <r>
      <rPr>
        <b/>
        <sz val="10"/>
        <rFont val="Arial"/>
        <family val="2"/>
      </rPr>
      <t xml:space="preserve"> =</t>
    </r>
  </si>
  <si>
    <r>
      <t>R</t>
    </r>
    <r>
      <rPr>
        <b/>
        <vertAlign val="subscript"/>
        <sz val="10"/>
        <rFont val="Arial"/>
        <family val="2"/>
      </rPr>
      <t>ON</t>
    </r>
    <r>
      <rPr>
        <b/>
        <sz val="10"/>
        <rFont val="Arial"/>
        <family val="2"/>
      </rPr>
      <t xml:space="preserve"> =</t>
    </r>
  </si>
  <si>
    <r>
      <t>C</t>
    </r>
    <r>
      <rPr>
        <b/>
        <vertAlign val="subscript"/>
        <sz val="10"/>
        <rFont val="Arial"/>
        <family val="2"/>
      </rPr>
      <t>SS</t>
    </r>
    <r>
      <rPr>
        <b/>
        <sz val="10"/>
        <rFont val="Arial"/>
        <family val="2"/>
      </rPr>
      <t xml:space="preserve"> =</t>
    </r>
  </si>
  <si>
    <r>
      <t>C</t>
    </r>
    <r>
      <rPr>
        <b/>
        <vertAlign val="subscript"/>
        <sz val="10"/>
        <rFont val="Arial"/>
        <family val="2"/>
      </rPr>
      <t>OUT.pri</t>
    </r>
    <r>
      <rPr>
        <b/>
        <sz val="10"/>
        <rFont val="Arial"/>
        <family val="2"/>
      </rPr>
      <t xml:space="preserve"> =</t>
    </r>
  </si>
  <si>
    <r>
      <t>C</t>
    </r>
    <r>
      <rPr>
        <b/>
        <vertAlign val="subscript"/>
        <sz val="10"/>
        <rFont val="Arial"/>
        <family val="2"/>
      </rPr>
      <t>OUT.sec</t>
    </r>
    <r>
      <rPr>
        <b/>
        <sz val="10"/>
        <rFont val="Arial"/>
        <family val="2"/>
      </rPr>
      <t xml:space="preserve"> =</t>
    </r>
  </si>
  <si>
    <r>
      <t>C</t>
    </r>
    <r>
      <rPr>
        <b/>
        <vertAlign val="subscript"/>
        <sz val="10"/>
        <rFont val="Arial"/>
        <family val="2"/>
      </rPr>
      <t>IN</t>
    </r>
    <r>
      <rPr>
        <b/>
        <sz val="10"/>
        <rFont val="Arial"/>
        <family val="2"/>
      </rPr>
      <t xml:space="preserve"> =</t>
    </r>
  </si>
  <si>
    <r>
      <t>C</t>
    </r>
    <r>
      <rPr>
        <b/>
        <vertAlign val="subscript"/>
        <sz val="10"/>
        <rFont val="Arial"/>
        <family val="2"/>
      </rPr>
      <t>BYP</t>
    </r>
    <r>
      <rPr>
        <b/>
        <sz val="10"/>
        <rFont val="Arial"/>
        <family val="2"/>
      </rPr>
      <t xml:space="preserve"> =</t>
    </r>
  </si>
  <si>
    <r>
      <t>C</t>
    </r>
    <r>
      <rPr>
        <b/>
        <vertAlign val="subscript"/>
        <sz val="10"/>
        <rFont val="Arial"/>
        <family val="2"/>
      </rPr>
      <t>VCC</t>
    </r>
    <r>
      <rPr>
        <b/>
        <sz val="10"/>
        <rFont val="Arial"/>
        <family val="2"/>
      </rPr>
      <t xml:space="preserve"> =</t>
    </r>
  </si>
  <si>
    <r>
      <t>C</t>
    </r>
    <r>
      <rPr>
        <b/>
        <vertAlign val="subscript"/>
        <sz val="10"/>
        <rFont val="Arial"/>
        <family val="2"/>
      </rPr>
      <t>BST</t>
    </r>
    <r>
      <rPr>
        <b/>
        <sz val="10"/>
        <rFont val="Arial"/>
        <family val="2"/>
      </rPr>
      <t xml:space="preserve"> =</t>
    </r>
  </si>
  <si>
    <r>
      <t>R</t>
    </r>
    <r>
      <rPr>
        <b/>
        <vertAlign val="subscript"/>
        <sz val="10"/>
        <rFont val="Arial"/>
        <family val="2"/>
      </rPr>
      <t xml:space="preserve">Pre-Load </t>
    </r>
    <r>
      <rPr>
        <b/>
        <sz val="10"/>
        <rFont val="Arial"/>
        <family val="2"/>
      </rPr>
      <t>=</t>
    </r>
  </si>
  <si>
    <r>
      <t>V</t>
    </r>
    <r>
      <rPr>
        <b/>
        <vertAlign val="subscript"/>
        <sz val="10"/>
        <rFont val="Arial"/>
        <family val="2"/>
      </rPr>
      <t>OUT,pri</t>
    </r>
    <r>
      <rPr>
        <b/>
        <sz val="10"/>
        <rFont val="Arial"/>
        <family val="2"/>
      </rPr>
      <t xml:space="preserve"> =</t>
    </r>
  </si>
  <si>
    <r>
      <t>V</t>
    </r>
    <r>
      <rPr>
        <b/>
        <vertAlign val="subscript"/>
        <sz val="10"/>
        <rFont val="Arial"/>
        <family val="2"/>
      </rPr>
      <t>OUT,iso</t>
    </r>
    <r>
      <rPr>
        <b/>
        <sz val="10"/>
        <rFont val="Arial"/>
        <family val="2"/>
      </rPr>
      <t xml:space="preserve"> =</t>
    </r>
  </si>
  <si>
    <r>
      <t>1) Values shown for C</t>
    </r>
    <r>
      <rPr>
        <b/>
        <vertAlign val="subscript"/>
        <sz val="10"/>
        <rFont val="Arial"/>
        <family val="2"/>
      </rPr>
      <t>BYP</t>
    </r>
    <r>
      <rPr>
        <b/>
        <sz val="10"/>
        <rFont val="Arial"/>
        <family val="2"/>
      </rPr>
      <t>, C</t>
    </r>
    <r>
      <rPr>
        <b/>
        <vertAlign val="subscript"/>
        <sz val="10"/>
        <rFont val="Arial"/>
        <family val="2"/>
      </rPr>
      <t>VCC</t>
    </r>
    <r>
      <rPr>
        <b/>
        <sz val="10"/>
        <rFont val="Arial"/>
        <family val="2"/>
      </rPr>
      <t>,C</t>
    </r>
    <r>
      <rPr>
        <b/>
        <vertAlign val="subscript"/>
        <sz val="10"/>
        <rFont val="Arial"/>
        <family val="2"/>
      </rPr>
      <t xml:space="preserve">BST </t>
    </r>
    <r>
      <rPr>
        <b/>
        <sz val="10"/>
        <rFont val="Arial"/>
        <family val="2"/>
      </rPr>
      <t>and R</t>
    </r>
    <r>
      <rPr>
        <b/>
        <vertAlign val="subscript"/>
        <sz val="10"/>
        <rFont val="Arial"/>
        <family val="2"/>
      </rPr>
      <t>Pre-Load</t>
    </r>
    <r>
      <rPr>
        <b/>
        <sz val="10"/>
        <rFont val="Arial"/>
        <family val="2"/>
      </rPr>
      <t xml:space="preserve"> are default values, and do not require calculation.</t>
    </r>
  </si>
  <si>
    <r>
      <t>Affects the ripple at V</t>
    </r>
    <r>
      <rPr>
        <b/>
        <vertAlign val="subscript"/>
        <sz val="10"/>
        <rFont val="Arial"/>
        <family val="2"/>
      </rPr>
      <t>OUT</t>
    </r>
    <r>
      <rPr>
        <b/>
        <sz val="10"/>
        <rFont val="Arial"/>
        <family val="2"/>
      </rPr>
      <t>.</t>
    </r>
  </si>
  <si>
    <t>pF</t>
  </si>
  <si>
    <r>
      <t xml:space="preserve">                               R</t>
    </r>
    <r>
      <rPr>
        <b/>
        <vertAlign val="subscript"/>
        <sz val="10"/>
        <rFont val="Arial"/>
        <family val="2"/>
      </rPr>
      <t>FB1</t>
    </r>
    <r>
      <rPr>
        <b/>
        <sz val="10"/>
        <rFont val="Arial"/>
        <family val="2"/>
      </rPr>
      <t xml:space="preserve"> =</t>
    </r>
  </si>
  <si>
    <r>
      <t>D, Isolated Recitifier Diode: V</t>
    </r>
    <r>
      <rPr>
        <b/>
        <vertAlign val="subscript"/>
        <sz val="10"/>
        <rFont val="Arial"/>
        <family val="2"/>
      </rPr>
      <t>F</t>
    </r>
  </si>
  <si>
    <r>
      <t>Required ratio of R</t>
    </r>
    <r>
      <rPr>
        <b/>
        <vertAlign val="subscript"/>
        <sz val="10"/>
        <rFont val="Arial"/>
        <family val="2"/>
      </rPr>
      <t>FB2</t>
    </r>
    <r>
      <rPr>
        <b/>
        <sz val="10"/>
        <rFont val="Arial"/>
        <family val="2"/>
      </rPr>
      <t>/R</t>
    </r>
    <r>
      <rPr>
        <b/>
        <vertAlign val="subscript"/>
        <sz val="10"/>
        <rFont val="Arial"/>
        <family val="2"/>
      </rPr>
      <t>FB1</t>
    </r>
    <r>
      <rPr>
        <b/>
        <sz val="10"/>
        <rFont val="Arial"/>
        <family val="2"/>
      </rPr>
      <t xml:space="preserve">  </t>
    </r>
  </si>
  <si>
    <t>LM5160 Fly-Buck Regulator Quick Start</t>
  </si>
  <si>
    <t>Step 9. Input Capacitor</t>
  </si>
  <si>
    <t>Step 10. Summary</t>
  </si>
  <si>
    <t>Step 6. Transformer Value</t>
  </si>
  <si>
    <r>
      <t>Resulting V</t>
    </r>
    <r>
      <rPr>
        <b/>
        <vertAlign val="subscript"/>
        <sz val="10"/>
        <rFont val="Arial"/>
        <family val="2"/>
      </rPr>
      <t>IN, RISING</t>
    </r>
    <r>
      <rPr>
        <b/>
        <sz val="10"/>
        <rFont val="Arial"/>
        <family val="2"/>
      </rPr>
      <t xml:space="preserve"> Threshold</t>
    </r>
  </si>
  <si>
    <t>Minimum  Allowed Primary Inductance for Tx</t>
  </si>
  <si>
    <t>See Note 2</t>
  </si>
  <si>
    <t>2) Pre-load decides the minimum current required to limit the secoundary output voltage at no load</t>
  </si>
  <si>
    <t>About</t>
  </si>
  <si>
    <t>= Input Box</t>
  </si>
  <si>
    <t>TERMS OF USE</t>
  </si>
  <si>
    <t xml:space="preserve">                </t>
  </si>
  <si>
    <t xml:space="preserve">                LM5160 Fly-Buck Regulator Quick Start Calculator</t>
  </si>
  <si>
    <r>
      <t>D, Isolated Recitifier Diode: V</t>
    </r>
    <r>
      <rPr>
        <b/>
        <vertAlign val="subscript"/>
        <sz val="10"/>
        <color indexed="9"/>
        <rFont val="Arial"/>
        <family val="2"/>
      </rPr>
      <t>F</t>
    </r>
  </si>
  <si>
    <r>
      <t>Input Ripple Voltage at minium V</t>
    </r>
    <r>
      <rPr>
        <b/>
        <vertAlign val="subscript"/>
        <sz val="10"/>
        <rFont val="Arial"/>
        <family val="2"/>
      </rPr>
      <t>IN</t>
    </r>
  </si>
  <si>
    <t>Max Vpri possible at Min Vin for proper regulation</t>
  </si>
  <si>
    <t>Vin Range</t>
  </si>
  <si>
    <t>Vin range</t>
  </si>
  <si>
    <t>Iripple</t>
  </si>
  <si>
    <t>Iodc_max</t>
  </si>
  <si>
    <t>Po_dcmax</t>
  </si>
  <si>
    <t>Net Output Power</t>
  </si>
  <si>
    <t>Voltage close to nominal Vin from the Vin range</t>
  </si>
  <si>
    <t>Ouptut power at this Vin</t>
  </si>
  <si>
    <r>
      <t>L,min (</t>
    </r>
    <r>
      <rPr>
        <b/>
        <sz val="10"/>
        <color indexed="9"/>
        <rFont val="Calibri"/>
        <family val="2"/>
      </rPr>
      <t>µH),PRI</t>
    </r>
  </si>
  <si>
    <r>
      <t>x 10</t>
    </r>
    <r>
      <rPr>
        <b/>
        <vertAlign val="superscript"/>
        <sz val="10"/>
        <color indexed="9"/>
        <rFont val="Arial"/>
        <family val="2"/>
      </rPr>
      <t>-10</t>
    </r>
  </si>
  <si>
    <r>
      <t>k</t>
    </r>
    <r>
      <rPr>
        <b/>
        <sz val="10"/>
        <color indexed="9"/>
        <rFont val="Symbol"/>
        <family val="1"/>
      </rPr>
      <t>W</t>
    </r>
  </si>
  <si>
    <r>
      <t>R</t>
    </r>
    <r>
      <rPr>
        <b/>
        <vertAlign val="subscript"/>
        <sz val="10"/>
        <color indexed="9"/>
        <rFont val="Arial"/>
        <family val="2"/>
      </rPr>
      <t>FB2</t>
    </r>
    <r>
      <rPr>
        <b/>
        <sz val="10"/>
        <color indexed="9"/>
        <rFont val="Arial"/>
        <family val="2"/>
      </rPr>
      <t>/R</t>
    </r>
    <r>
      <rPr>
        <b/>
        <vertAlign val="subscript"/>
        <sz val="10"/>
        <color indexed="9"/>
        <rFont val="Arial"/>
        <family val="2"/>
      </rPr>
      <t>FB1</t>
    </r>
    <r>
      <rPr>
        <b/>
        <sz val="10"/>
        <color indexed="9"/>
        <rFont val="Arial"/>
        <family val="2"/>
      </rPr>
      <t xml:space="preserve"> =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</si>
</sst>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409]dddd\,\ mmmm\ dd\,\ yyyy"/>
    <numFmt numFmtId="168" formatCode="[$-409]h:mm:ss\ AM/PM"/>
    <numFmt numFmtId="169" formatCode="&quot;Yes&quot;;&quot;Yes&quot;;&quot;No&quot;"/>
    <numFmt numFmtId="170" formatCode="&quot;True&quot;;&quot;True&quot;;&quot;False&quot;"/>
    <numFmt numFmtId="171" formatCode="&quot;On&quot;;&quot;On&quot;;&quot;Off&quot;"/>
    <numFmt numFmtId="172" formatCode="[$€-2]\ #,##0.00_);[Red]\([$€-2]\ #,##0.00\)"/>
  </numFmts>
  <fonts count="85">
    <font>
      <sz val="10"/>
      <name val="Arial"/>
      <family val="0"/>
    </font>
    <font>
      <b/>
      <sz val="14"/>
      <name val="Arial"/>
      <family val="2"/>
    </font>
    <font>
      <sz val="8"/>
      <name val="Arial"/>
      <family val="2"/>
    </font>
    <font>
      <b/>
      <sz val="10"/>
      <name val="Arial"/>
      <family val="2"/>
    </font>
    <font>
      <b/>
      <sz val="8"/>
      <name val="Tahoma"/>
      <family val="2"/>
    </font>
    <font>
      <sz val="10"/>
      <color indexed="55"/>
      <name val="Arial"/>
      <family val="2"/>
    </font>
    <font>
      <b/>
      <vertAlign val="subscript"/>
      <sz val="10"/>
      <name val="Arial"/>
      <family val="2"/>
    </font>
    <font>
      <b/>
      <sz val="10"/>
      <name val="Calibri"/>
      <family val="2"/>
    </font>
    <font>
      <sz val="9"/>
      <name val="Tahoma"/>
      <family val="2"/>
    </font>
    <font>
      <b/>
      <sz val="9"/>
      <name val="Tahoma"/>
      <family val="2"/>
    </font>
    <font>
      <b/>
      <sz val="9"/>
      <color indexed="10"/>
      <name val="Tahoma"/>
      <family val="2"/>
    </font>
    <font>
      <u val="single"/>
      <sz val="10"/>
      <color indexed="12"/>
      <name val="Arial"/>
      <family val="2"/>
    </font>
    <font>
      <sz val="10"/>
      <name val="Calibri"/>
      <family val="2"/>
    </font>
    <font>
      <b/>
      <sz val="11"/>
      <color indexed="10"/>
      <name val="Tahoma"/>
      <family val="2"/>
    </font>
    <font>
      <u val="single"/>
      <sz val="9"/>
      <color indexed="12"/>
      <name val="Tahoma"/>
      <family val="2"/>
    </font>
    <font>
      <b/>
      <u val="single"/>
      <sz val="11"/>
      <color indexed="10"/>
      <name val="Tahoma"/>
      <family val="2"/>
    </font>
    <font>
      <sz val="11"/>
      <color indexed="10"/>
      <name val="Tahoma"/>
      <family val="2"/>
    </font>
    <font>
      <sz val="32"/>
      <name val="Arial"/>
      <family val="2"/>
    </font>
    <font>
      <b/>
      <sz val="22"/>
      <name val="Calibri"/>
      <family val="2"/>
    </font>
    <font>
      <u val="single"/>
      <sz val="10"/>
      <name val="Arial"/>
      <family val="2"/>
    </font>
    <font>
      <b/>
      <sz val="12"/>
      <name val="Calibri"/>
      <family val="2"/>
    </font>
    <font>
      <b/>
      <sz val="14"/>
      <name val="Calibri"/>
      <family val="2"/>
    </font>
    <font>
      <b/>
      <vertAlign val="subscript"/>
      <sz val="10"/>
      <color indexed="9"/>
      <name val="Arial"/>
      <family val="2"/>
    </font>
    <font>
      <sz val="14"/>
      <color indexed="8"/>
      <name val="Arial"/>
      <family val="2"/>
    </font>
    <font>
      <vertAlign val="subscript"/>
      <sz val="14"/>
      <color indexed="8"/>
      <name val="Arial"/>
      <family val="2"/>
    </font>
    <font>
      <b/>
      <sz val="10"/>
      <color indexed="9"/>
      <name val="Arial"/>
      <family val="2"/>
    </font>
    <font>
      <b/>
      <sz val="10"/>
      <color indexed="9"/>
      <name val="Calibri"/>
      <family val="2"/>
    </font>
    <font>
      <b/>
      <vertAlign val="superscript"/>
      <sz val="10"/>
      <color indexed="9"/>
      <name val="Arial"/>
      <family val="2"/>
    </font>
    <font>
      <b/>
      <sz val="10"/>
      <color indexed="9"/>
      <name val="Symbol"/>
      <family val="1"/>
    </font>
    <font>
      <sz val="10"/>
      <color indexed="8"/>
      <name val="Calibri"/>
      <family val="0"/>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9"/>
      <name val="Calibri"/>
      <family val="2"/>
    </font>
    <font>
      <sz val="10"/>
      <color indexed="9"/>
      <name val="Calibri"/>
      <family val="2"/>
    </font>
    <font>
      <sz val="10"/>
      <color indexed="8"/>
      <name val="Symbol"/>
      <family val="0"/>
    </font>
    <font>
      <vertAlign val="subscript"/>
      <sz val="10"/>
      <color indexed="8"/>
      <name val="Arial"/>
      <family val="0"/>
    </font>
    <font>
      <sz val="11"/>
      <color indexed="8"/>
      <name val="Cambria Math"/>
      <family val="0"/>
    </font>
    <font>
      <sz val="11"/>
      <color indexed="8"/>
      <name val="+mn-lt"/>
      <family val="0"/>
    </font>
    <font>
      <sz val="11"/>
      <color indexed="8"/>
      <name val="Arial"/>
      <family val="0"/>
    </font>
    <font>
      <sz val="10"/>
      <color indexed="8"/>
      <name val="Cambria Math"/>
      <family val="0"/>
    </font>
    <font>
      <sz val="12"/>
      <color indexed="8"/>
      <name val="Cambria Math"/>
      <family val="0"/>
    </font>
    <font>
      <sz val="12"/>
      <color indexed="8"/>
      <name val="Arial"/>
      <family val="0"/>
    </font>
    <font>
      <sz val="12"/>
      <color indexed="8"/>
      <name val="+mj-lt"/>
      <family val="0"/>
    </font>
    <font>
      <sz val="12"/>
      <color indexed="8"/>
      <name val="+mn-ea"/>
      <family val="0"/>
    </font>
    <font>
      <sz val="12"/>
      <color indexed="8"/>
      <name val="+mn-lt"/>
      <family val="0"/>
    </font>
    <font>
      <i/>
      <sz val="10"/>
      <color indexed="8"/>
      <name val="+mn-lt"/>
      <family val="0"/>
    </font>
    <font>
      <b/>
      <sz val="10"/>
      <color indexed="12"/>
      <name val="Arial"/>
      <family val="0"/>
    </font>
    <font>
      <sz val="10"/>
      <color indexed="8"/>
      <name val="+mj-lt"/>
      <family val="0"/>
    </font>
    <font>
      <b/>
      <sz val="9"/>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0"/>
      <name val="Calibri"/>
      <family val="2"/>
    </font>
    <font>
      <sz val="10"/>
      <color theme="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indexed="65"/>
        <bgColor indexed="64"/>
      </patternFill>
    </fill>
    <fill>
      <patternFill patternType="solid">
        <fgColor rgb="FFFFFF00"/>
        <bgColor indexed="64"/>
      </patternFill>
    </fill>
    <fill>
      <patternFill patternType="solid">
        <fgColor rgb="FF003366"/>
        <bgColor indexed="64"/>
      </patternFill>
    </fill>
    <fill>
      <patternFill patternType="solid">
        <fgColor rgb="FFFF00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style="medium"/>
      <right style="medium"/>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color indexed="63"/>
      </left>
      <right style="medium"/>
      <top>
        <color indexed="63"/>
      </top>
      <bottom>
        <color indexed="63"/>
      </bottom>
    </border>
    <border>
      <left style="medium"/>
      <right style="medium"/>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1"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157">
    <xf numFmtId="0" fontId="0" fillId="0" borderId="0" xfId="0" applyAlignment="1">
      <alignment/>
    </xf>
    <xf numFmtId="0" fontId="3" fillId="0" borderId="0" xfId="0" applyFont="1" applyFill="1" applyAlignment="1">
      <alignment/>
    </xf>
    <xf numFmtId="0" fontId="3" fillId="33" borderId="10"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xf>
    <xf numFmtId="2" fontId="3" fillId="34" borderId="10" xfId="21" applyNumberFormat="1" applyFont="1" applyFill="1" applyBorder="1" applyAlignment="1" applyProtection="1">
      <alignment horizontal="center"/>
      <protection/>
    </xf>
    <xf numFmtId="2" fontId="3" fillId="0" borderId="0" xfId="0" applyNumberFormat="1" applyFont="1" applyFill="1" applyAlignment="1">
      <alignment horizontal="center"/>
    </xf>
    <xf numFmtId="0" fontId="3" fillId="0" borderId="0" xfId="0" applyFont="1" applyFill="1" applyAlignment="1">
      <alignment horizontal="right"/>
    </xf>
    <xf numFmtId="164" fontId="3" fillId="0" borderId="0" xfId="0" applyNumberFormat="1" applyFont="1" applyFill="1" applyAlignment="1">
      <alignment horizontal="center"/>
    </xf>
    <xf numFmtId="2" fontId="3" fillId="34" borderId="10" xfId="0" applyNumberFormat="1" applyFont="1" applyFill="1" applyBorder="1" applyAlignment="1" applyProtection="1">
      <alignment horizontal="center"/>
      <protection/>
    </xf>
    <xf numFmtId="2" fontId="3" fillId="33" borderId="0" xfId="0" applyNumberFormat="1" applyFont="1" applyFill="1" applyBorder="1" applyAlignment="1" applyProtection="1">
      <alignment horizontal="center"/>
      <protection locked="0"/>
    </xf>
    <xf numFmtId="0" fontId="3" fillId="0" borderId="0" xfId="0" applyFont="1" applyFill="1" applyAlignment="1">
      <alignment wrapText="1"/>
    </xf>
    <xf numFmtId="2" fontId="3" fillId="0" borderId="0" xfId="0" applyNumberFormat="1" applyFont="1" applyFill="1" applyAlignment="1">
      <alignment horizontal="center" wrapText="1"/>
    </xf>
    <xf numFmtId="0" fontId="0" fillId="0" borderId="0" xfId="57">
      <alignment/>
      <protection/>
    </xf>
    <xf numFmtId="0" fontId="0" fillId="0" borderId="0" xfId="57" applyFill="1">
      <alignment/>
      <protection/>
    </xf>
    <xf numFmtId="0" fontId="0" fillId="35" borderId="0" xfId="57" applyFill="1">
      <alignment/>
      <protection/>
    </xf>
    <xf numFmtId="14" fontId="5" fillId="35" borderId="0" xfId="57" applyNumberFormat="1" applyFont="1" applyFill="1" applyAlignment="1">
      <alignment horizontal="left"/>
      <protection/>
    </xf>
    <xf numFmtId="0" fontId="5" fillId="35" borderId="0" xfId="57" applyFont="1" applyFill="1" applyAlignment="1">
      <alignment horizontal="left"/>
      <protection/>
    </xf>
    <xf numFmtId="0" fontId="3" fillId="35" borderId="0" xfId="57" applyFont="1" applyFill="1">
      <alignment/>
      <protection/>
    </xf>
    <xf numFmtId="0" fontId="5" fillId="35" borderId="0" xfId="57" applyFont="1" applyFill="1" applyAlignment="1">
      <alignment horizontal="right"/>
      <protection/>
    </xf>
    <xf numFmtId="0" fontId="1" fillId="35" borderId="0" xfId="57" applyFont="1" applyFill="1">
      <alignment/>
      <protection/>
    </xf>
    <xf numFmtId="0" fontId="3" fillId="34" borderId="10" xfId="0" applyFont="1" applyFill="1" applyBorder="1" applyAlignment="1">
      <alignment horizontal="center"/>
    </xf>
    <xf numFmtId="0" fontId="3" fillId="34" borderId="11" xfId="0" applyFont="1" applyFill="1" applyBorder="1" applyAlignment="1">
      <alignment horizontal="right"/>
    </xf>
    <xf numFmtId="2" fontId="3" fillId="34" borderId="12" xfId="0" applyNumberFormat="1" applyFont="1" applyFill="1" applyBorder="1" applyAlignment="1" applyProtection="1">
      <alignment horizontal="center"/>
      <protection/>
    </xf>
    <xf numFmtId="0" fontId="3" fillId="34" borderId="13" xfId="0" applyFont="1" applyFill="1" applyBorder="1" applyAlignment="1">
      <alignment horizontal="right"/>
    </xf>
    <xf numFmtId="0" fontId="3" fillId="34" borderId="0" xfId="0" applyFont="1" applyFill="1" applyBorder="1" applyAlignment="1">
      <alignment horizontal="right"/>
    </xf>
    <xf numFmtId="0" fontId="3" fillId="34" borderId="0" xfId="0" applyFont="1" applyFill="1" applyBorder="1" applyAlignment="1">
      <alignment horizontal="center"/>
    </xf>
    <xf numFmtId="2" fontId="3" fillId="36" borderId="10" xfId="0" applyNumberFormat="1" applyFont="1" applyFill="1" applyBorder="1" applyAlignment="1" applyProtection="1">
      <alignment horizontal="center"/>
      <protection locked="0"/>
    </xf>
    <xf numFmtId="2" fontId="3" fillId="36" borderId="10" xfId="21" applyNumberFormat="1" applyFont="1" applyFill="1" applyBorder="1" applyAlignment="1" applyProtection="1">
      <alignment horizontal="center"/>
      <protection locked="0"/>
    </xf>
    <xf numFmtId="2" fontId="3" fillId="36" borderId="14" xfId="21" applyNumberFormat="1" applyFont="1" applyFill="1" applyBorder="1" applyAlignment="1" applyProtection="1">
      <alignment horizontal="center"/>
      <protection locked="0"/>
    </xf>
    <xf numFmtId="165" fontId="3" fillId="36" borderId="10" xfId="21" applyNumberFormat="1" applyFont="1" applyFill="1" applyBorder="1" applyAlignment="1" applyProtection="1">
      <alignment horizontal="center"/>
      <protection locked="0"/>
    </xf>
    <xf numFmtId="2" fontId="3" fillId="36" borderId="15" xfId="0" applyNumberFormat="1" applyFont="1" applyFill="1" applyBorder="1" applyAlignment="1" applyProtection="1">
      <alignment horizontal="center"/>
      <protection locked="0"/>
    </xf>
    <xf numFmtId="0" fontId="12" fillId="37" borderId="0" xfId="0" applyFont="1" applyFill="1" applyBorder="1" applyAlignment="1" applyProtection="1">
      <alignment/>
      <protection/>
    </xf>
    <xf numFmtId="0" fontId="3" fillId="34" borderId="0" xfId="0" applyFont="1" applyFill="1" applyBorder="1" applyAlignment="1">
      <alignment/>
    </xf>
    <xf numFmtId="0" fontId="3" fillId="34" borderId="0" xfId="0" applyFont="1" applyFill="1" applyAlignment="1">
      <alignment/>
    </xf>
    <xf numFmtId="2" fontId="3" fillId="34" borderId="0" xfId="0" applyNumberFormat="1" applyFont="1" applyFill="1" applyAlignment="1">
      <alignment horizontal="center"/>
    </xf>
    <xf numFmtId="0" fontId="3" fillId="34" borderId="0" xfId="0" applyFont="1" applyFill="1" applyAlignment="1">
      <alignment horizontal="center"/>
    </xf>
    <xf numFmtId="14" fontId="3" fillId="34" borderId="0" xfId="0" applyNumberFormat="1" applyFont="1" applyFill="1" applyAlignment="1">
      <alignment horizontal="left"/>
    </xf>
    <xf numFmtId="0" fontId="3" fillId="34" borderId="0" xfId="0" applyFont="1" applyFill="1" applyAlignment="1">
      <alignment horizontal="right"/>
    </xf>
    <xf numFmtId="2" fontId="3" fillId="34" borderId="0" xfId="0" applyNumberFormat="1" applyFont="1" applyFill="1" applyBorder="1" applyAlignment="1" applyProtection="1">
      <alignment horizontal="center"/>
      <protection locked="0"/>
    </xf>
    <xf numFmtId="2" fontId="3" fillId="34" borderId="14" xfId="0" applyNumberFormat="1" applyFont="1" applyFill="1" applyBorder="1" applyAlignment="1" applyProtection="1">
      <alignment horizontal="center"/>
      <protection/>
    </xf>
    <xf numFmtId="0" fontId="3" fillId="34" borderId="15" xfId="0" applyFont="1" applyFill="1" applyBorder="1" applyAlignment="1">
      <alignment/>
    </xf>
    <xf numFmtId="2" fontId="3" fillId="34" borderId="0" xfId="0" applyNumberFormat="1" applyFont="1" applyFill="1" applyAlignment="1" applyProtection="1">
      <alignment horizontal="center"/>
      <protection locked="0"/>
    </xf>
    <xf numFmtId="0" fontId="6" fillId="34" borderId="0" xfId="0" applyFont="1" applyFill="1" applyAlignment="1">
      <alignment/>
    </xf>
    <xf numFmtId="165" fontId="3" fillId="34" borderId="10" xfId="0" applyNumberFormat="1" applyFont="1" applyFill="1" applyBorder="1" applyAlignment="1" applyProtection="1">
      <alignment horizontal="center"/>
      <protection/>
    </xf>
    <xf numFmtId="0" fontId="3" fillId="34" borderId="0" xfId="0" applyNumberFormat="1" applyFont="1" applyFill="1" applyAlignment="1">
      <alignment/>
    </xf>
    <xf numFmtId="1" fontId="3" fillId="34" borderId="16" xfId="0" applyNumberFormat="1" applyFont="1" applyFill="1" applyBorder="1" applyAlignment="1" applyProtection="1">
      <alignment horizontal="center"/>
      <protection/>
    </xf>
    <xf numFmtId="1" fontId="3" fillId="34" borderId="0" xfId="0" applyNumberFormat="1" applyFont="1" applyFill="1" applyBorder="1" applyAlignment="1" applyProtection="1">
      <alignment horizontal="center"/>
      <protection locked="0"/>
    </xf>
    <xf numFmtId="2" fontId="3" fillId="34" borderId="0" xfId="0" applyNumberFormat="1" applyFont="1" applyFill="1" applyBorder="1" applyAlignment="1" applyProtection="1">
      <alignment horizontal="center"/>
      <protection/>
    </xf>
    <xf numFmtId="164" fontId="3" fillId="34" borderId="0" xfId="0" applyNumberFormat="1" applyFont="1" applyFill="1" applyBorder="1" applyAlignment="1" applyProtection="1">
      <alignment horizontal="center"/>
      <protection locked="0"/>
    </xf>
    <xf numFmtId="2" fontId="3" fillId="34" borderId="17" xfId="0" applyNumberFormat="1" applyFont="1" applyFill="1" applyBorder="1" applyAlignment="1" applyProtection="1">
      <alignment horizontal="center"/>
      <protection/>
    </xf>
    <xf numFmtId="2" fontId="3" fillId="34" borderId="0" xfId="0" applyNumberFormat="1" applyFont="1" applyFill="1" applyAlignment="1" applyProtection="1">
      <alignment horizontal="center"/>
      <protection/>
    </xf>
    <xf numFmtId="2" fontId="3" fillId="34" borderId="15" xfId="0" applyNumberFormat="1" applyFont="1" applyFill="1" applyBorder="1" applyAlignment="1" applyProtection="1">
      <alignment horizontal="center"/>
      <protection/>
    </xf>
    <xf numFmtId="0" fontId="3" fillId="34" borderId="18" xfId="0" applyFont="1" applyFill="1" applyBorder="1" applyAlignment="1">
      <alignment/>
    </xf>
    <xf numFmtId="0" fontId="3" fillId="34" borderId="19" xfId="0" applyFont="1" applyFill="1" applyBorder="1" applyAlignment="1">
      <alignment horizontal="right"/>
    </xf>
    <xf numFmtId="2" fontId="3" fillId="34" borderId="20" xfId="0" applyNumberFormat="1" applyFont="1" applyFill="1" applyBorder="1" applyAlignment="1" applyProtection="1">
      <alignment horizontal="center"/>
      <protection/>
    </xf>
    <xf numFmtId="0" fontId="3" fillId="34" borderId="21" xfId="0" applyFont="1" applyFill="1" applyBorder="1" applyAlignment="1">
      <alignment horizontal="center"/>
    </xf>
    <xf numFmtId="0" fontId="3" fillId="34" borderId="22" xfId="0" applyFont="1" applyFill="1" applyBorder="1" applyAlignment="1">
      <alignment horizontal="left"/>
    </xf>
    <xf numFmtId="0" fontId="3" fillId="34" borderId="23" xfId="0" applyFont="1" applyFill="1" applyBorder="1" applyAlignment="1">
      <alignment horizontal="left"/>
    </xf>
    <xf numFmtId="0" fontId="3" fillId="34" borderId="24" xfId="0" applyFont="1" applyFill="1" applyBorder="1" applyAlignment="1">
      <alignment horizontal="right"/>
    </xf>
    <xf numFmtId="0" fontId="3" fillId="34" borderId="25" xfId="0" applyFont="1" applyFill="1" applyBorder="1" applyAlignment="1">
      <alignment horizontal="center"/>
    </xf>
    <xf numFmtId="0" fontId="3" fillId="34" borderId="17" xfId="0" applyFont="1" applyFill="1" applyBorder="1" applyAlignment="1">
      <alignment horizontal="left"/>
    </xf>
    <xf numFmtId="0" fontId="3" fillId="34" borderId="26" xfId="0" applyFont="1" applyFill="1" applyBorder="1" applyAlignment="1">
      <alignment horizontal="left"/>
    </xf>
    <xf numFmtId="0" fontId="3" fillId="34" borderId="15" xfId="0" applyFont="1" applyFill="1" applyBorder="1" applyAlignment="1">
      <alignment horizontal="left"/>
    </xf>
    <xf numFmtId="0" fontId="3" fillId="34" borderId="25" xfId="0" applyFont="1" applyFill="1" applyBorder="1" applyAlignment="1">
      <alignment horizontal="left"/>
    </xf>
    <xf numFmtId="165" fontId="3" fillId="34" borderId="12" xfId="0" applyNumberFormat="1" applyFont="1" applyFill="1" applyBorder="1" applyAlignment="1" applyProtection="1">
      <alignment horizontal="center"/>
      <protection/>
    </xf>
    <xf numFmtId="2" fontId="3" fillId="34" borderId="27" xfId="0" applyNumberFormat="1" applyFont="1" applyFill="1" applyBorder="1" applyAlignment="1" applyProtection="1">
      <alignment horizontal="center"/>
      <protection/>
    </xf>
    <xf numFmtId="0" fontId="3" fillId="34" borderId="28" xfId="0" applyFont="1" applyFill="1" applyBorder="1" applyAlignment="1">
      <alignment horizontal="center"/>
    </xf>
    <xf numFmtId="2" fontId="3" fillId="34" borderId="19" xfId="0" applyNumberFormat="1" applyFont="1" applyFill="1" applyBorder="1" applyAlignment="1" applyProtection="1">
      <alignment/>
      <protection/>
    </xf>
    <xf numFmtId="0" fontId="3" fillId="34" borderId="22" xfId="0" applyFont="1" applyFill="1" applyBorder="1" applyAlignment="1">
      <alignment horizontal="center"/>
    </xf>
    <xf numFmtId="2" fontId="3" fillId="34" borderId="29" xfId="0" applyNumberFormat="1" applyFont="1" applyFill="1" applyBorder="1" applyAlignment="1" applyProtection="1">
      <alignment/>
      <protection/>
    </xf>
    <xf numFmtId="0" fontId="3" fillId="34" borderId="30" xfId="0" applyFont="1" applyFill="1" applyBorder="1" applyAlignment="1">
      <alignment horizontal="center"/>
    </xf>
    <xf numFmtId="0" fontId="3" fillId="34" borderId="30" xfId="0" applyFont="1" applyFill="1" applyBorder="1" applyAlignment="1">
      <alignment horizontal="left"/>
    </xf>
    <xf numFmtId="0" fontId="3" fillId="34" borderId="31" xfId="0" applyFont="1" applyFill="1" applyBorder="1" applyAlignment="1">
      <alignment horizontal="left"/>
    </xf>
    <xf numFmtId="2" fontId="3" fillId="34" borderId="32" xfId="0" applyNumberFormat="1" applyFont="1" applyFill="1" applyBorder="1" applyAlignment="1" applyProtection="1">
      <alignment horizontal="center"/>
      <protection/>
    </xf>
    <xf numFmtId="0" fontId="3" fillId="34" borderId="26" xfId="0" applyFont="1" applyFill="1" applyBorder="1" applyAlignment="1">
      <alignment horizontal="center"/>
    </xf>
    <xf numFmtId="0" fontId="3" fillId="34" borderId="19" xfId="0" applyFont="1" applyFill="1" applyBorder="1" applyAlignment="1">
      <alignment horizontal="left"/>
    </xf>
    <xf numFmtId="0" fontId="3" fillId="34" borderId="24" xfId="0" applyFont="1" applyFill="1" applyBorder="1" applyAlignment="1">
      <alignment horizontal="left"/>
    </xf>
    <xf numFmtId="0" fontId="3" fillId="34" borderId="0" xfId="0" applyFont="1" applyFill="1" applyBorder="1" applyAlignment="1">
      <alignment horizontal="left"/>
    </xf>
    <xf numFmtId="0" fontId="3" fillId="34" borderId="29" xfId="0" applyFont="1" applyFill="1" applyBorder="1" applyAlignment="1">
      <alignment horizontal="left"/>
    </xf>
    <xf numFmtId="0" fontId="3" fillId="34" borderId="15" xfId="0" applyFont="1" applyFill="1" applyBorder="1" applyAlignment="1">
      <alignment horizontal="center"/>
    </xf>
    <xf numFmtId="0" fontId="3" fillId="34" borderId="19" xfId="0" applyFont="1" applyFill="1" applyBorder="1" applyAlignment="1">
      <alignment horizontal="left" vertical="center"/>
    </xf>
    <xf numFmtId="0" fontId="3" fillId="34" borderId="22" xfId="0" applyFont="1" applyFill="1" applyBorder="1" applyAlignment="1">
      <alignment horizontal="left" vertical="center"/>
    </xf>
    <xf numFmtId="0" fontId="3" fillId="34" borderId="23" xfId="0" applyFont="1" applyFill="1" applyBorder="1" applyAlignment="1">
      <alignment horizontal="left" vertical="center"/>
    </xf>
    <xf numFmtId="0" fontId="3" fillId="34" borderId="24" xfId="0" applyFont="1" applyFill="1" applyBorder="1" applyAlignment="1">
      <alignment horizontal="left" vertical="center"/>
    </xf>
    <xf numFmtId="0" fontId="3" fillId="34" borderId="0" xfId="0" applyFont="1" applyFill="1" applyBorder="1" applyAlignment="1">
      <alignment horizontal="left" vertical="center"/>
    </xf>
    <xf numFmtId="0" fontId="3" fillId="34" borderId="33" xfId="0" applyFont="1" applyFill="1" applyBorder="1" applyAlignment="1">
      <alignment horizontal="left" vertical="center"/>
    </xf>
    <xf numFmtId="0" fontId="3" fillId="34" borderId="29" xfId="0" applyFont="1" applyFill="1" applyBorder="1" applyAlignment="1">
      <alignment horizontal="right"/>
    </xf>
    <xf numFmtId="2" fontId="3" fillId="34" borderId="34" xfId="0" applyNumberFormat="1" applyFont="1" applyFill="1" applyBorder="1" applyAlignment="1" applyProtection="1">
      <alignment horizontal="center"/>
      <protection/>
    </xf>
    <xf numFmtId="0" fontId="3" fillId="34" borderId="35" xfId="0" applyFont="1" applyFill="1" applyBorder="1" applyAlignment="1">
      <alignment horizontal="center"/>
    </xf>
    <xf numFmtId="0" fontId="3" fillId="38" borderId="0" xfId="0" applyFont="1" applyFill="1" applyBorder="1" applyAlignment="1">
      <alignment/>
    </xf>
    <xf numFmtId="2" fontId="3" fillId="33" borderId="10" xfId="0" applyNumberFormat="1" applyFont="1" applyFill="1" applyBorder="1" applyAlignment="1" applyProtection="1">
      <alignment horizontal="center"/>
      <protection locked="0"/>
    </xf>
    <xf numFmtId="0" fontId="3" fillId="34" borderId="10" xfId="0" applyFont="1" applyFill="1" applyBorder="1" applyAlignment="1">
      <alignment horizontal="right"/>
    </xf>
    <xf numFmtId="0" fontId="3" fillId="34" borderId="0" xfId="0" applyFont="1" applyFill="1" applyAlignment="1">
      <alignment horizontal="left"/>
    </xf>
    <xf numFmtId="0" fontId="3" fillId="34" borderId="33" xfId="0" applyFont="1" applyFill="1" applyBorder="1" applyAlignment="1">
      <alignment horizontal="left"/>
    </xf>
    <xf numFmtId="0" fontId="18" fillId="37" borderId="24" xfId="0" applyFont="1" applyFill="1" applyBorder="1" applyAlignment="1" applyProtection="1">
      <alignment horizontal="left"/>
      <protection/>
    </xf>
    <xf numFmtId="0" fontId="18" fillId="37" borderId="0" xfId="0" applyFont="1" applyFill="1" applyBorder="1" applyAlignment="1" applyProtection="1">
      <alignment horizontal="left"/>
      <protection/>
    </xf>
    <xf numFmtId="0" fontId="19" fillId="37" borderId="0" xfId="53" applyFont="1" applyFill="1" applyAlignment="1" applyProtection="1">
      <alignment/>
      <protection/>
    </xf>
    <xf numFmtId="0" fontId="7" fillId="37" borderId="0" xfId="0" applyFont="1" applyFill="1" applyBorder="1" applyAlignment="1" applyProtection="1">
      <alignment/>
      <protection/>
    </xf>
    <xf numFmtId="0" fontId="20" fillId="37" borderId="0" xfId="0" applyFont="1" applyFill="1" applyBorder="1" applyAlignment="1" applyProtection="1">
      <alignment horizontal="left" vertical="center"/>
      <protection/>
    </xf>
    <xf numFmtId="0" fontId="19" fillId="37" borderId="0" xfId="53" applyFont="1" applyFill="1" applyBorder="1" applyAlignment="1" applyProtection="1">
      <alignment horizontal="left" vertical="center"/>
      <protection/>
    </xf>
    <xf numFmtId="0" fontId="7" fillId="36" borderId="0" xfId="0" applyFont="1" applyFill="1" applyBorder="1" applyAlignment="1" applyProtection="1">
      <alignment vertical="center"/>
      <protection/>
    </xf>
    <xf numFmtId="0" fontId="7" fillId="37" borderId="0" xfId="0" applyFont="1" applyFill="1" applyBorder="1" applyAlignment="1" applyProtection="1">
      <alignment vertical="center"/>
      <protection/>
    </xf>
    <xf numFmtId="0" fontId="12" fillId="37" borderId="0" xfId="0" applyFont="1" applyFill="1" applyBorder="1" applyAlignment="1" applyProtection="1">
      <alignment vertical="center"/>
      <protection/>
    </xf>
    <xf numFmtId="0" fontId="21" fillId="37" borderId="29" xfId="0" applyFont="1" applyFill="1" applyBorder="1" applyAlignment="1" applyProtection="1">
      <alignment/>
      <protection/>
    </xf>
    <xf numFmtId="0" fontId="21" fillId="37" borderId="30" xfId="0" applyFont="1" applyFill="1" applyBorder="1" applyAlignment="1" applyProtection="1">
      <alignment/>
      <protection/>
    </xf>
    <xf numFmtId="0" fontId="7" fillId="37" borderId="30" xfId="0" applyFont="1" applyFill="1" applyBorder="1" applyAlignment="1" applyProtection="1">
      <alignment/>
      <protection/>
    </xf>
    <xf numFmtId="0" fontId="68" fillId="0" borderId="0" xfId="0" applyFont="1" applyFill="1" applyBorder="1" applyAlignment="1">
      <alignment/>
    </xf>
    <xf numFmtId="0" fontId="68" fillId="0" borderId="0" xfId="0" applyFont="1" applyFill="1" applyBorder="1" applyAlignment="1">
      <alignment horizontal="right"/>
    </xf>
    <xf numFmtId="2" fontId="68" fillId="0" borderId="0" xfId="0" applyNumberFormat="1" applyFont="1" applyFill="1" applyBorder="1" applyAlignment="1" applyProtection="1">
      <alignment horizontal="center"/>
      <protection locked="0"/>
    </xf>
    <xf numFmtId="2" fontId="68" fillId="0" borderId="0" xfId="0" applyNumberFormat="1" applyFont="1" applyFill="1" applyBorder="1" applyAlignment="1" applyProtection="1">
      <alignment horizontal="center"/>
      <protection/>
    </xf>
    <xf numFmtId="2" fontId="68" fillId="0" borderId="0" xfId="21" applyNumberFormat="1" applyFont="1" applyFill="1" applyBorder="1" applyAlignment="1" applyProtection="1">
      <alignment horizontal="center"/>
      <protection/>
    </xf>
    <xf numFmtId="2" fontId="68" fillId="0" borderId="0" xfId="21" applyNumberFormat="1" applyFont="1" applyFill="1" applyBorder="1" applyAlignment="1" applyProtection="1">
      <alignment horizontal="center"/>
      <protection locked="0"/>
    </xf>
    <xf numFmtId="165" fontId="68" fillId="0" borderId="0" xfId="0" applyNumberFormat="1" applyFont="1" applyFill="1" applyBorder="1" applyAlignment="1" applyProtection="1">
      <alignment horizontal="center"/>
      <protection/>
    </xf>
    <xf numFmtId="165" fontId="68" fillId="0" borderId="0" xfId="21" applyNumberFormat="1" applyFont="1" applyFill="1" applyBorder="1" applyAlignment="1" applyProtection="1">
      <alignment horizontal="center"/>
      <protection locked="0"/>
    </xf>
    <xf numFmtId="1" fontId="68" fillId="0" borderId="0" xfId="0" applyNumberFormat="1" applyFont="1" applyFill="1" applyBorder="1" applyAlignment="1" applyProtection="1">
      <alignment horizontal="center"/>
      <protection/>
    </xf>
    <xf numFmtId="1" fontId="68" fillId="0" borderId="0" xfId="0" applyNumberFormat="1" applyFont="1" applyFill="1" applyBorder="1" applyAlignment="1" applyProtection="1">
      <alignment horizontal="center"/>
      <protection locked="0"/>
    </xf>
    <xf numFmtId="164" fontId="68" fillId="0" borderId="0" xfId="0" applyNumberFormat="1" applyFont="1" applyFill="1" applyBorder="1" applyAlignment="1" applyProtection="1">
      <alignment horizontal="center"/>
      <protection locked="0"/>
    </xf>
    <xf numFmtId="0" fontId="68" fillId="0" borderId="0" xfId="0" applyFont="1" applyFill="1" applyAlignment="1">
      <alignment/>
    </xf>
    <xf numFmtId="0" fontId="68" fillId="34" borderId="0" xfId="0" applyFont="1" applyFill="1" applyAlignment="1">
      <alignment/>
    </xf>
    <xf numFmtId="0" fontId="68" fillId="0" borderId="0" xfId="0" applyFont="1" applyFill="1" applyAlignment="1">
      <alignment horizontal="right"/>
    </xf>
    <xf numFmtId="164" fontId="68" fillId="0" borderId="0" xfId="0" applyNumberFormat="1" applyFont="1" applyFill="1" applyAlignment="1">
      <alignment horizontal="center"/>
    </xf>
    <xf numFmtId="2" fontId="68" fillId="34" borderId="0" xfId="0" applyNumberFormat="1" applyFont="1" applyFill="1" applyAlignment="1">
      <alignment/>
    </xf>
    <xf numFmtId="2" fontId="68" fillId="0" borderId="0" xfId="0" applyNumberFormat="1" applyFont="1" applyFill="1" applyAlignment="1">
      <alignment/>
    </xf>
    <xf numFmtId="0" fontId="68" fillId="34" borderId="0" xfId="0" applyFont="1" applyFill="1" applyBorder="1" applyAlignment="1">
      <alignment/>
    </xf>
    <xf numFmtId="0" fontId="68" fillId="34" borderId="0" xfId="0" applyFont="1" applyFill="1" applyBorder="1" applyAlignment="1">
      <alignment horizontal="right"/>
    </xf>
    <xf numFmtId="11" fontId="68" fillId="34" borderId="0" xfId="0" applyNumberFormat="1" applyFont="1" applyFill="1" applyAlignment="1">
      <alignment/>
    </xf>
    <xf numFmtId="0" fontId="68" fillId="0" borderId="0" xfId="0" applyFont="1" applyFill="1" applyAlignment="1">
      <alignment horizontal="center"/>
    </xf>
    <xf numFmtId="2" fontId="68" fillId="34" borderId="0" xfId="0" applyNumberFormat="1" applyFont="1" applyFill="1" applyAlignment="1">
      <alignment horizontal="center"/>
    </xf>
    <xf numFmtId="0" fontId="68" fillId="0" borderId="0" xfId="0" applyFont="1" applyFill="1" applyBorder="1" applyAlignment="1">
      <alignment horizontal="center"/>
    </xf>
    <xf numFmtId="0" fontId="68" fillId="34" borderId="0" xfId="0" applyFont="1" applyFill="1" applyAlignment="1">
      <alignment horizontal="center"/>
    </xf>
    <xf numFmtId="164" fontId="68" fillId="0" borderId="0" xfId="0" applyNumberFormat="1" applyFont="1" applyFill="1" applyBorder="1" applyAlignment="1">
      <alignment horizontal="center"/>
    </xf>
    <xf numFmtId="166" fontId="68" fillId="34" borderId="0" xfId="0" applyNumberFormat="1" applyFont="1" applyFill="1" applyAlignment="1">
      <alignment horizontal="center"/>
    </xf>
    <xf numFmtId="164" fontId="68" fillId="34" borderId="0" xfId="0" applyNumberFormat="1" applyFont="1" applyFill="1" applyAlignment="1">
      <alignment horizontal="center"/>
    </xf>
    <xf numFmtId="0" fontId="68" fillId="34" borderId="0" xfId="0" applyFont="1" applyFill="1" applyAlignment="1">
      <alignment horizontal="right"/>
    </xf>
    <xf numFmtId="165" fontId="68" fillId="0" borderId="0" xfId="0" applyNumberFormat="1" applyFont="1" applyFill="1" applyAlignment="1">
      <alignment/>
    </xf>
    <xf numFmtId="1" fontId="68" fillId="0" borderId="0" xfId="0" applyNumberFormat="1" applyFont="1" applyFill="1" applyAlignment="1">
      <alignment/>
    </xf>
    <xf numFmtId="2" fontId="68" fillId="0" borderId="0" xfId="0" applyNumberFormat="1" applyFont="1" applyFill="1" applyBorder="1" applyAlignment="1">
      <alignment horizontal="center"/>
    </xf>
    <xf numFmtId="0" fontId="82" fillId="37" borderId="24" xfId="0" applyFont="1" applyFill="1" applyBorder="1" applyAlignment="1" applyProtection="1">
      <alignment horizontal="left" vertical="center"/>
      <protection/>
    </xf>
    <xf numFmtId="0" fontId="82" fillId="37" borderId="0" xfId="0" applyFont="1" applyFill="1" applyBorder="1" applyAlignment="1" applyProtection="1">
      <alignment horizontal="left" vertical="center"/>
      <protection/>
    </xf>
    <xf numFmtId="0" fontId="82" fillId="37" borderId="0" xfId="0" applyFont="1" applyFill="1" applyBorder="1" applyAlignment="1" applyProtection="1" quotePrefix="1">
      <alignment vertical="center"/>
      <protection/>
    </xf>
    <xf numFmtId="0" fontId="11" fillId="34" borderId="0" xfId="53" applyFill="1" applyAlignment="1" applyProtection="1">
      <alignment/>
      <protection/>
    </xf>
    <xf numFmtId="2" fontId="3" fillId="36" borderId="12" xfId="0" applyNumberFormat="1" applyFont="1" applyFill="1" applyBorder="1" applyAlignment="1" applyProtection="1">
      <alignment horizontal="center"/>
      <protection/>
    </xf>
    <xf numFmtId="0" fontId="83" fillId="0" borderId="0" xfId="0" applyFont="1" applyAlignment="1">
      <alignment/>
    </xf>
    <xf numFmtId="0" fontId="0" fillId="34" borderId="0" xfId="0" applyFont="1" applyFill="1" applyAlignment="1">
      <alignment/>
    </xf>
    <xf numFmtId="0" fontId="17" fillId="38" borderId="19" xfId="0" applyFont="1" applyFill="1" applyBorder="1" applyAlignment="1" applyProtection="1">
      <alignment horizontal="center" vertical="center"/>
      <protection/>
    </xf>
    <xf numFmtId="0" fontId="17" fillId="38" borderId="22" xfId="0" applyFont="1" applyFill="1" applyBorder="1" applyAlignment="1" applyProtection="1">
      <alignment horizontal="center" vertical="center"/>
      <protection/>
    </xf>
    <xf numFmtId="0" fontId="82" fillId="37" borderId="0" xfId="0" applyFont="1" applyFill="1" applyBorder="1" applyAlignment="1" applyProtection="1">
      <alignment horizontal="center" vertical="center"/>
      <protection/>
    </xf>
    <xf numFmtId="0" fontId="3" fillId="34" borderId="36" xfId="0" applyFont="1" applyFill="1" applyBorder="1" applyAlignment="1">
      <alignment horizontal="left" vertical="center"/>
    </xf>
    <xf numFmtId="0" fontId="3" fillId="34" borderId="37" xfId="0" applyFont="1" applyFill="1" applyBorder="1" applyAlignment="1">
      <alignment horizontal="left" vertical="center"/>
    </xf>
    <xf numFmtId="0" fontId="3" fillId="34" borderId="38" xfId="0" applyFont="1" applyFill="1" applyBorder="1" applyAlignment="1">
      <alignment horizontal="left" vertical="center"/>
    </xf>
    <xf numFmtId="0" fontId="3" fillId="34" borderId="39" xfId="0" applyFont="1" applyFill="1" applyBorder="1" applyAlignment="1">
      <alignment horizontal="left"/>
    </xf>
    <xf numFmtId="0" fontId="3" fillId="34" borderId="16" xfId="0" applyFont="1" applyFill="1" applyBorder="1" applyAlignment="1">
      <alignment horizontal="left"/>
    </xf>
    <xf numFmtId="0" fontId="3" fillId="34" borderId="28" xfId="0" applyFont="1" applyFill="1" applyBorder="1" applyAlignment="1">
      <alignment horizontal="left"/>
    </xf>
    <xf numFmtId="0" fontId="3" fillId="34" borderId="0" xfId="0" applyFont="1" applyFill="1" applyAlignment="1">
      <alignment horizontal="left"/>
    </xf>
    <xf numFmtId="0" fontId="3" fillId="34" borderId="33" xfId="0" applyFont="1" applyFill="1" applyBorder="1" applyAlignment="1">
      <alignment horizontal="left"/>
    </xf>
    <xf numFmtId="0" fontId="3" fillId="34" borderId="10" xfId="0" applyFont="1" applyFill="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8">
    <dxf>
      <font>
        <color rgb="FFFF0000"/>
      </font>
      <fill>
        <patternFill>
          <bgColor rgb="FFFF0000"/>
        </patternFill>
      </fill>
    </dxf>
    <dxf>
      <font>
        <color rgb="FFFF0000"/>
      </font>
      <fill>
        <patternFill>
          <bgColor rgb="FFFF0000"/>
        </patternFill>
      </fill>
    </dxf>
    <dxf>
      <fill>
        <patternFill>
          <bgColor rgb="FFFF0000"/>
        </patternFill>
      </fill>
    </dxf>
    <dxf>
      <fill>
        <patternFill>
          <bgColor indexed="10"/>
        </patternFill>
      </fill>
    </dxf>
    <dxf>
      <font>
        <color rgb="FFFF0000"/>
      </font>
      <fill>
        <patternFill>
          <bgColor rgb="FFFF0000"/>
        </patternFill>
      </fill>
    </dxf>
    <dxf>
      <font>
        <color theme="0" tint="-0.3499799966812134"/>
      </font>
      <fill>
        <patternFill patternType="solid">
          <bgColor theme="0" tint="-0.3499799966812134"/>
        </patternFill>
      </fill>
      <border>
        <left/>
        <right/>
        <top/>
        <bottom/>
      </border>
    </dxf>
    <dxf>
      <fill>
        <patternFill patternType="solid">
          <bgColor theme="0" tint="-0.3499799966812134"/>
        </patternFill>
      </fill>
      <border>
        <left/>
        <right/>
        <top style="thin"/>
        <bottom/>
      </border>
    </dxf>
    <dxf>
      <fill>
        <patternFill patternType="none">
          <bgColor indexed="65"/>
        </patternFill>
      </fill>
      <border>
        <left style="thin"/>
        <right style="thin"/>
        <top style="thin"/>
        <bottom style="thin"/>
      </border>
    </dxf>
    <dxf>
      <font>
        <color auto="1"/>
      </font>
      <fill>
        <patternFill patternType="solid">
          <bgColor rgb="FFFFFF00"/>
        </patternFill>
      </fill>
      <border>
        <left style="thin"/>
        <right style="thin"/>
        <top style="thin"/>
        <bottom style="thin"/>
      </border>
    </dxf>
    <dxf>
      <fill>
        <patternFill patternType="none">
          <bgColor indexed="65"/>
        </patternFill>
      </fill>
      <border>
        <left style="thin"/>
        <right style="thin"/>
        <top style="thin"/>
        <bottom style="thin"/>
      </border>
    </dxf>
    <dxf>
      <font>
        <color auto="1"/>
      </font>
      <fill>
        <patternFill>
          <bgColor rgb="FFFFFF00"/>
        </patternFill>
      </fill>
      <border>
        <left style="thin"/>
        <right style="thin"/>
        <top style="thin"/>
        <bottom style="thin"/>
      </border>
    </dxf>
    <dxf>
      <font>
        <color auto="1"/>
      </font>
      <fill>
        <patternFill>
          <bgColor theme="3" tint="0.5999600291252136"/>
        </patternFill>
      </fill>
      <border>
        <left style="thin"/>
        <right style="thin"/>
        <top style="thin"/>
        <bottom style="thin"/>
      </border>
    </dxf>
    <dxf>
      <fill>
        <patternFill patternType="none">
          <bgColor indexed="65"/>
        </patternFill>
      </fill>
      <border>
        <left style="thin"/>
        <right style="thin"/>
        <top style="thin"/>
        <bottom style="thin"/>
      </border>
    </dxf>
    <dxf>
      <fill>
        <patternFill patternType="none">
          <bgColor indexed="65"/>
        </patternFill>
      </fill>
      <border>
        <left style="thin"/>
        <right style="thin"/>
        <top style="thin"/>
        <bottom style="thin"/>
      </border>
    </dxf>
    <dxf>
      <fill>
        <patternFill patternType="none">
          <bgColor indexed="65"/>
        </patternFill>
      </fill>
      <border>
        <left style="thin">
          <color rgb="FF000000"/>
        </left>
        <right style="thin">
          <color rgb="FF000000"/>
        </right>
        <top style="thin"/>
        <bottom style="thin">
          <color rgb="FF000000"/>
        </bottom>
      </border>
    </dxf>
    <dxf>
      <font>
        <color auto="1"/>
      </font>
      <fill>
        <patternFill>
          <bgColor theme="3" tint="0.5999600291252136"/>
        </patternFill>
      </fill>
      <border>
        <left style="thin">
          <color rgb="FF000000"/>
        </left>
        <right style="thin">
          <color rgb="FF000000"/>
        </right>
        <top style="thin"/>
        <bottom style="thin">
          <color rgb="FF000000"/>
        </bottom>
      </border>
    </dxf>
    <dxf>
      <font>
        <color auto="1"/>
      </font>
      <fill>
        <patternFill>
          <bgColor rgb="FFFFFF00"/>
        </patternFill>
      </fill>
      <border>
        <left style="thin">
          <color rgb="FF000000"/>
        </left>
        <right style="thin">
          <color rgb="FF000000"/>
        </right>
        <top style="thin"/>
        <bottom style="thin">
          <color rgb="FF000000"/>
        </bottom>
      </border>
    </dxf>
    <dxf>
      <font>
        <color auto="1"/>
      </font>
      <fill>
        <patternFill patternType="solid">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Maximum Output Power</a:t>
            </a:r>
          </a:p>
        </c:rich>
      </c:tx>
      <c:layout>
        <c:manualLayout>
          <c:xMode val="factor"/>
          <c:yMode val="factor"/>
          <c:x val="-0.002"/>
          <c:y val="-0.012"/>
        </c:manualLayout>
      </c:layout>
      <c:spPr>
        <a:noFill/>
        <a:ln w="3175">
          <a:noFill/>
        </a:ln>
      </c:spPr>
    </c:title>
    <c:plotArea>
      <c:layout>
        <c:manualLayout>
          <c:xMode val="edge"/>
          <c:yMode val="edge"/>
          <c:x val="0.062"/>
          <c:y val="0.07525"/>
          <c:w val="0.91975"/>
          <c:h val="0.84625"/>
        </c:manualLayout>
      </c:layout>
      <c:scatterChart>
        <c:scatterStyle val="smoothMarker"/>
        <c:varyColors val="0"/>
        <c:ser>
          <c:idx val="2"/>
          <c:order val="0"/>
          <c:tx>
            <c:strRef>
              <c:f>Calculations!$AS$9</c:f>
              <c:strCache>
                <c:ptCount val="1"/>
                <c:pt idx="0">
                  <c:v>Po_dcmax</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Calculations!$AP$10:$AP$64</c:f>
              <c:numCache/>
            </c:numRef>
          </c:xVal>
          <c:yVal>
            <c:numRef>
              <c:f>Calculations!$AS$10:$AS$64</c:f>
              <c:numCache/>
            </c:numRef>
          </c:yVal>
          <c:smooth val="1"/>
        </c:ser>
        <c:ser>
          <c:idx val="0"/>
          <c:order val="1"/>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10"/>
            <c:spPr>
              <a:solidFill>
                <a:srgbClr val="666699"/>
              </a:solidFill>
              <a:ln>
                <a:solidFill>
                  <a:srgbClr val="666699"/>
                </a:solidFill>
              </a:ln>
            </c:spPr>
          </c:marker>
          <c:dPt>
            <c:idx val="0"/>
            <c:spPr>
              <a:ln w="25400">
                <a:solidFill>
                  <a:srgbClr val="666699"/>
                </a:solidFill>
              </a:ln>
            </c:spPr>
            <c:marker>
              <c:size val="10"/>
              <c:spPr>
                <a:solidFill>
                  <a:srgbClr val="FF0000"/>
                </a:solidFill>
                <a:ln>
                  <a:solidFill>
                    <a:srgbClr val="666699"/>
                  </a:solidFill>
                </a:ln>
              </c:spPr>
            </c:marker>
          </c:dPt>
          <c:xVal>
            <c:numRef>
              <c:f>Calculations!$AK$19</c:f>
              <c:numCache/>
            </c:numRef>
          </c:xVal>
          <c:yVal>
            <c:numRef>
              <c:f>Calculations!$AK$20</c:f>
              <c:numCache/>
            </c:numRef>
          </c:yVal>
          <c:smooth val="1"/>
        </c:ser>
        <c:axId val="9770669"/>
        <c:axId val="20827158"/>
      </c:scatterChart>
      <c:valAx>
        <c:axId val="9770669"/>
        <c:scaling>
          <c:orientation val="minMax"/>
        </c:scaling>
        <c:axPos val="b"/>
        <c:title>
          <c:tx>
            <c:rich>
              <a:bodyPr vert="horz" rot="0" anchor="ctr"/>
              <a:lstStyle/>
              <a:p>
                <a:pPr algn="ctr">
                  <a:defRPr/>
                </a:pPr>
                <a:r>
                  <a:rPr lang="en-US" cap="none" sz="900" b="1" i="0" u="none" baseline="0">
                    <a:solidFill>
                      <a:srgbClr val="000000"/>
                    </a:solidFill>
                  </a:rPr>
                  <a:t>Minimum Operating Input Voltage (V)</a:t>
                </a:r>
              </a:p>
            </c:rich>
          </c:tx>
          <c:layout>
            <c:manualLayout>
              <c:xMode val="factor"/>
              <c:yMode val="factor"/>
              <c:x val="-0.00825"/>
              <c:y val="0"/>
            </c:manualLayout>
          </c:layout>
          <c:overlay val="0"/>
          <c:spPr>
            <a:noFill/>
            <a:ln w="3175">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20827158"/>
        <c:crosses val="autoZero"/>
        <c:crossBetween val="midCat"/>
        <c:dispUnits/>
      </c:valAx>
      <c:valAx>
        <c:axId val="20827158"/>
        <c:scaling>
          <c:orientation val="minMax"/>
        </c:scaling>
        <c:axPos val="l"/>
        <c:title>
          <c:tx>
            <c:rich>
              <a:bodyPr vert="horz" rot="-5400000" anchor="ctr"/>
              <a:lstStyle/>
              <a:p>
                <a:pPr algn="ctr">
                  <a:defRPr/>
                </a:pPr>
                <a:r>
                  <a:rPr lang="en-US" cap="none" sz="900" b="1" i="0" u="none" baseline="0">
                    <a:solidFill>
                      <a:srgbClr val="000000"/>
                    </a:solidFill>
                  </a:rPr>
                  <a:t>Maximum Output Power (W)</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77066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7</xdr:row>
      <xdr:rowOff>66675</xdr:rowOff>
    </xdr:from>
    <xdr:to>
      <xdr:col>11</xdr:col>
      <xdr:colOff>571500</xdr:colOff>
      <xdr:row>11</xdr:row>
      <xdr:rowOff>133350</xdr:rowOff>
    </xdr:to>
    <xdr:sp>
      <xdr:nvSpPr>
        <xdr:cNvPr id="1" name="Text Box 2"/>
        <xdr:cNvSpPr txBox="1">
          <a:spLocks noChangeArrowheads="1"/>
        </xdr:cNvSpPr>
      </xdr:nvSpPr>
      <xdr:spPr>
        <a:xfrm>
          <a:off x="238125" y="1333500"/>
          <a:ext cx="6810375" cy="714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1. General Requirements.
</a:t>
          </a:r>
          <a:r>
            <a:rPr lang="en-US" cap="none" sz="1000" b="0" i="0" u="none" baseline="0">
              <a:solidFill>
                <a:srgbClr val="000000"/>
              </a:solidFill>
              <a:latin typeface="Arial"/>
              <a:ea typeface="Arial"/>
              <a:cs typeface="Arial"/>
            </a:rPr>
            <a:t>Enter the values in the blue shaded cells to define the power supply parameters. If a particular specification is not known, enter an estimate. It can be changed later, if necessary, to optimize component values. Cells with a red mark in the corner have a comment to provide additional information. Hold the cursor over the cell to read the comment.</a:t>
          </a:r>
        </a:p>
      </xdr:txBody>
    </xdr:sp>
    <xdr:clientData/>
  </xdr:twoCellAnchor>
  <xdr:twoCellAnchor>
    <xdr:from>
      <xdr:col>0</xdr:col>
      <xdr:colOff>219075</xdr:colOff>
      <xdr:row>17</xdr:row>
      <xdr:rowOff>0</xdr:rowOff>
    </xdr:from>
    <xdr:to>
      <xdr:col>11</xdr:col>
      <xdr:colOff>561975</xdr:colOff>
      <xdr:row>22</xdr:row>
      <xdr:rowOff>38100</xdr:rowOff>
    </xdr:to>
    <xdr:sp>
      <xdr:nvSpPr>
        <xdr:cNvPr id="2" name="Text Box 3"/>
        <xdr:cNvSpPr txBox="1">
          <a:spLocks noChangeArrowheads="1"/>
        </xdr:cNvSpPr>
      </xdr:nvSpPr>
      <xdr:spPr>
        <a:xfrm>
          <a:off x="219075" y="2886075"/>
          <a:ext cx="6819900" cy="847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3. Feedback Resistors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a value between 1k</a:t>
          </a:r>
          <a:r>
            <a:rPr lang="en-US" cap="none" sz="1000" b="0" i="0" u="none" baseline="0">
              <a:solidFill>
                <a:srgbClr val="000000"/>
              </a:solidFill>
              <a:latin typeface="Symbol"/>
              <a:ea typeface="Symbol"/>
              <a:cs typeface="Symbol"/>
            </a:rPr>
            <a:t>W</a:t>
          </a:r>
          <a:r>
            <a:rPr lang="en-US" cap="none" sz="1000" b="0" i="0" u="none" baseline="0">
              <a:solidFill>
                <a:srgbClr val="000000"/>
              </a:solidFill>
              <a:latin typeface="Arial"/>
              <a:ea typeface="Arial"/>
              <a:cs typeface="Arial"/>
            </a:rPr>
            <a:t> and 10k</a:t>
          </a:r>
          <a:r>
            <a:rPr lang="en-US" cap="none" sz="1000" b="0" i="0" u="none" baseline="0">
              <a:solidFill>
                <a:srgbClr val="000000"/>
              </a:solidFill>
              <a:latin typeface="Symbol"/>
              <a:ea typeface="Symbol"/>
              <a:cs typeface="Symbol"/>
            </a:rPr>
            <a:t>W</a:t>
          </a:r>
          <a:r>
            <a:rPr lang="en-US" cap="none" sz="1000" b="0" i="0" u="none" baseline="0">
              <a:solidFill>
                <a:srgbClr val="000000"/>
              </a:solidFill>
              <a:latin typeface="Arial"/>
              <a:ea typeface="Arial"/>
              <a:cs typeface="Arial"/>
            </a:rPr>
            <a:t> for R</a:t>
          </a:r>
          <a:r>
            <a:rPr lang="en-US" cap="none" sz="1000" b="0" i="0" u="none" baseline="-25000">
              <a:solidFill>
                <a:srgbClr val="000000"/>
              </a:solidFill>
              <a:latin typeface="Arial"/>
              <a:ea typeface="Arial"/>
              <a:cs typeface="Arial"/>
            </a:rPr>
            <a:t>FB1</a:t>
          </a:r>
          <a:r>
            <a:rPr lang="en-US" cap="none" sz="1000" b="0" i="0" u="none" baseline="0">
              <a:solidFill>
                <a:srgbClr val="000000"/>
              </a:solidFill>
              <a:latin typeface="Arial"/>
              <a:ea typeface="Arial"/>
              <a:cs typeface="Arial"/>
            </a:rPr>
            <a:t> (the lower feedback resistor). Based on that entry, a recommended value for R</a:t>
          </a:r>
          <a:r>
            <a:rPr lang="en-US" cap="none" sz="1000" b="0" i="0" u="none" baseline="-25000">
              <a:solidFill>
                <a:srgbClr val="000000"/>
              </a:solidFill>
              <a:latin typeface="Arial"/>
              <a:ea typeface="Arial"/>
              <a:cs typeface="Arial"/>
            </a:rPr>
            <a:t>FB2</a:t>
          </a:r>
          <a:r>
            <a:rPr lang="en-US" cap="none" sz="1000" b="0" i="0" u="none" baseline="0">
              <a:solidFill>
                <a:srgbClr val="000000"/>
              </a:solidFill>
              <a:latin typeface="Arial"/>
              <a:ea typeface="Arial"/>
              <a:cs typeface="Arial"/>
            </a:rPr>
            <a:t> is displayed. Then enter a value for R</a:t>
          </a:r>
          <a:r>
            <a:rPr lang="en-US" cap="none" sz="1000" b="0" i="0" u="none" baseline="-25000">
              <a:solidFill>
                <a:srgbClr val="000000"/>
              </a:solidFill>
              <a:latin typeface="Arial"/>
              <a:ea typeface="Arial"/>
              <a:cs typeface="Arial"/>
            </a:rPr>
            <a:t>FB2</a:t>
          </a:r>
          <a:r>
            <a:rPr lang="en-US" cap="none" sz="1000" b="0" i="0" u="none" baseline="0">
              <a:solidFill>
                <a:srgbClr val="000000"/>
              </a:solidFill>
              <a:latin typeface="Arial"/>
              <a:ea typeface="Arial"/>
              <a:cs typeface="Arial"/>
            </a:rPr>
            <a:t> from standard value resistors that is equal to (or as close as possible to) the recommended value. The resulting actual V</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 is calculated and displayed. If a suitable value for R</a:t>
          </a:r>
          <a:r>
            <a:rPr lang="en-US" cap="none" sz="1000" b="0" i="0" u="none" baseline="-25000">
              <a:solidFill>
                <a:srgbClr val="000000"/>
              </a:solidFill>
              <a:latin typeface="Arial"/>
              <a:ea typeface="Arial"/>
              <a:cs typeface="Arial"/>
            </a:rPr>
            <a:t>FB2</a:t>
          </a:r>
          <a:r>
            <a:rPr lang="en-US" cap="none" sz="1000" b="0" i="0" u="none" baseline="0">
              <a:solidFill>
                <a:srgbClr val="000000"/>
              </a:solidFill>
              <a:latin typeface="Arial"/>
              <a:ea typeface="Arial"/>
              <a:cs typeface="Arial"/>
            </a:rPr>
            <a:t> cannot be found from available values, change the value for R</a:t>
          </a:r>
          <a:r>
            <a:rPr lang="en-US" cap="none" sz="1000" b="0" i="0" u="none" baseline="-25000">
              <a:solidFill>
                <a:srgbClr val="000000"/>
              </a:solidFill>
              <a:latin typeface="Arial"/>
              <a:ea typeface="Arial"/>
              <a:cs typeface="Arial"/>
            </a:rPr>
            <a:t>FB1</a:t>
          </a:r>
          <a:r>
            <a:rPr lang="en-US" cap="none" sz="1000" b="0" i="0" u="none" baseline="0">
              <a:solidFill>
                <a:srgbClr val="000000"/>
              </a:solidFill>
              <a:latin typeface="Arial"/>
              <a:ea typeface="Arial"/>
              <a:cs typeface="Arial"/>
            </a:rPr>
            <a:t>. The ratio of R</a:t>
          </a:r>
          <a:r>
            <a:rPr lang="en-US" cap="none" sz="1000" b="0" i="0" u="none" baseline="-25000">
              <a:solidFill>
                <a:srgbClr val="000000"/>
              </a:solidFill>
              <a:latin typeface="Arial"/>
              <a:ea typeface="Arial"/>
              <a:cs typeface="Arial"/>
            </a:rPr>
            <a:t>FB2</a:t>
          </a:r>
          <a:r>
            <a:rPr lang="en-US" cap="none" sz="1000" b="0" i="0" u="none" baseline="0">
              <a:solidFill>
                <a:srgbClr val="000000"/>
              </a:solidFill>
              <a:latin typeface="Arial"/>
              <a:ea typeface="Arial"/>
              <a:cs typeface="Arial"/>
            </a:rPr>
            <a:t>/R</a:t>
          </a:r>
          <a:r>
            <a:rPr lang="en-US" cap="none" sz="1000" b="0" i="0" u="none" baseline="-25000">
              <a:solidFill>
                <a:srgbClr val="000000"/>
              </a:solidFill>
              <a:latin typeface="Arial"/>
              <a:ea typeface="Arial"/>
              <a:cs typeface="Arial"/>
            </a:rPr>
            <a:t>FB1</a:t>
          </a:r>
          <a:r>
            <a:rPr lang="en-US" cap="none" sz="1000" b="0" i="0" u="none" baseline="0">
              <a:solidFill>
                <a:srgbClr val="000000"/>
              </a:solidFill>
              <a:latin typeface="Arial"/>
              <a:ea typeface="Arial"/>
              <a:cs typeface="Arial"/>
            </a:rPr>
            <a:t> may be helpful in selecting the resistors.</a:t>
          </a:r>
        </a:p>
      </xdr:txBody>
    </xdr:sp>
    <xdr:clientData/>
  </xdr:twoCellAnchor>
  <xdr:twoCellAnchor>
    <xdr:from>
      <xdr:col>0</xdr:col>
      <xdr:colOff>209550</xdr:colOff>
      <xdr:row>22</xdr:row>
      <xdr:rowOff>76200</xdr:rowOff>
    </xdr:from>
    <xdr:to>
      <xdr:col>11</xdr:col>
      <xdr:colOff>552450</xdr:colOff>
      <xdr:row>35</xdr:row>
      <xdr:rowOff>19050</xdr:rowOff>
    </xdr:to>
    <xdr:sp>
      <xdr:nvSpPr>
        <xdr:cNvPr id="3" name="Text Box 4"/>
        <xdr:cNvSpPr txBox="1">
          <a:spLocks noChangeArrowheads="1"/>
        </xdr:cNvSpPr>
      </xdr:nvSpPr>
      <xdr:spPr>
        <a:xfrm>
          <a:off x="209550" y="3771900"/>
          <a:ext cx="6819900" cy="2047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4. Switching Frequency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minimum on-time (150 ns) sets a limit for the maximum frequency at the maximum input voltage. The minimum off-time (200 ns max) sets a limit for the maximum frequency at the minimum input voltage. The "Maximum Allowed Switching Frequency" is calculated and displayed based on those limitations. Enter a desired nominal switching frequency that is less than the maximum allowed frequency.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Selection of the operating frequency is usually a trade-off between the conversion efficiency and physical size. Operating at a high frequency generally results in physically smaller components (inductor, input &amp; output capacitors) but usually provides a lower efficiency and generates more heat. A lower frequency normally provides higher efficiency.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recommended value for R</a:t>
          </a:r>
          <a:r>
            <a:rPr lang="en-US" cap="none" sz="1000" b="0" i="0" u="none" baseline="-25000">
              <a:solidFill>
                <a:srgbClr val="000000"/>
              </a:solidFill>
              <a:latin typeface="Arial"/>
              <a:ea typeface="Arial"/>
              <a:cs typeface="Arial"/>
            </a:rPr>
            <a:t>ON</a:t>
          </a:r>
          <a:r>
            <a:rPr lang="en-US" cap="none" sz="1000" b="0" i="0" u="none" baseline="0">
              <a:solidFill>
                <a:srgbClr val="000000"/>
              </a:solidFill>
              <a:latin typeface="Arial"/>
              <a:ea typeface="Arial"/>
              <a:cs typeface="Arial"/>
            </a:rPr>
            <a:t> is calculated for the desired frequency. Select a value for R</a:t>
          </a:r>
          <a:r>
            <a:rPr lang="en-US" cap="none" sz="1000" b="0" i="0" u="none" baseline="-25000">
              <a:solidFill>
                <a:srgbClr val="000000"/>
              </a:solidFill>
              <a:latin typeface="Arial"/>
              <a:ea typeface="Arial"/>
              <a:cs typeface="Arial"/>
            </a:rPr>
            <a:t>ON</a:t>
          </a:r>
          <a:r>
            <a:rPr lang="en-US" cap="none" sz="1000" b="0" i="0" u="none" baseline="0">
              <a:solidFill>
                <a:srgbClr val="000000"/>
              </a:solidFill>
              <a:latin typeface="Arial"/>
              <a:ea typeface="Arial"/>
              <a:cs typeface="Arial"/>
            </a:rPr>
            <a:t> from standard value resistors. The selected value can be higher or lower than the recommended value in order to set a lower or higher frequency, respectively. The resulting nominal frequency is displayed in the next cell. </a:t>
          </a:r>
        </a:p>
      </xdr:txBody>
    </xdr:sp>
    <xdr:clientData/>
  </xdr:twoCellAnchor>
  <xdr:twoCellAnchor>
    <xdr:from>
      <xdr:col>0</xdr:col>
      <xdr:colOff>219075</xdr:colOff>
      <xdr:row>39</xdr:row>
      <xdr:rowOff>152400</xdr:rowOff>
    </xdr:from>
    <xdr:to>
      <xdr:col>11</xdr:col>
      <xdr:colOff>561975</xdr:colOff>
      <xdr:row>51</xdr:row>
      <xdr:rowOff>142875</xdr:rowOff>
    </xdr:to>
    <xdr:sp>
      <xdr:nvSpPr>
        <xdr:cNvPr id="4" name="Text Box 5"/>
        <xdr:cNvSpPr txBox="1">
          <a:spLocks noChangeArrowheads="1"/>
        </xdr:cNvSpPr>
      </xdr:nvSpPr>
      <xdr:spPr>
        <a:xfrm>
          <a:off x="219075" y="6600825"/>
          <a:ext cx="6819900" cy="19335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6. Transformer Value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recommended minimum inductor value is calculated using a ripple current amplitude equal to 40% of the maximum load current listed in Step 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a value for Tx from a standard value of primary inductance of a transformer. Generally, the selected value should be larger than the recommended value. The choice of transformer determines the primary peak current limit at the particular desired load. In the fly-buck the circuit must always operate in continuous conduction mode for a proper operation.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selected transformer should be rated for the peak inductor current when in current limit to ensure current runaway does not occur. If the peak inductor current exceeds 1.8A (Typ.) when in current limit, the cell is highlighted red. The inductor value must be increased to reduce the peak current.</a:t>
          </a:r>
        </a:p>
      </xdr:txBody>
    </xdr:sp>
    <xdr:clientData/>
  </xdr:twoCellAnchor>
  <xdr:twoCellAnchor>
    <xdr:from>
      <xdr:col>0</xdr:col>
      <xdr:colOff>209550</xdr:colOff>
      <xdr:row>35</xdr:row>
      <xdr:rowOff>57150</xdr:rowOff>
    </xdr:from>
    <xdr:to>
      <xdr:col>11</xdr:col>
      <xdr:colOff>552450</xdr:colOff>
      <xdr:row>39</xdr:row>
      <xdr:rowOff>95250</xdr:rowOff>
    </xdr:to>
    <xdr:sp>
      <xdr:nvSpPr>
        <xdr:cNvPr id="5" name="Text Box 6"/>
        <xdr:cNvSpPr txBox="1">
          <a:spLocks noChangeArrowheads="1"/>
        </xdr:cNvSpPr>
      </xdr:nvSpPr>
      <xdr:spPr>
        <a:xfrm>
          <a:off x="209550" y="5857875"/>
          <a:ext cx="6819900" cy="685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5. On-Time Calculations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calculation of the on time is essenetial for determining the ripple current component over the entire range of the input voltage. This ripple component aids in determining the peak ripple current at maximum load and maximum input voltage. More details are given in the next step.</a:t>
          </a:r>
        </a:p>
      </xdr:txBody>
    </xdr:sp>
    <xdr:clientData/>
  </xdr:twoCellAnchor>
  <xdr:twoCellAnchor>
    <xdr:from>
      <xdr:col>0</xdr:col>
      <xdr:colOff>228600</xdr:colOff>
      <xdr:row>52</xdr:row>
      <xdr:rowOff>19050</xdr:rowOff>
    </xdr:from>
    <xdr:to>
      <xdr:col>11</xdr:col>
      <xdr:colOff>571500</xdr:colOff>
      <xdr:row>55</xdr:row>
      <xdr:rowOff>66675</xdr:rowOff>
    </xdr:to>
    <xdr:sp>
      <xdr:nvSpPr>
        <xdr:cNvPr id="6" name="Text Box 7"/>
        <xdr:cNvSpPr txBox="1">
          <a:spLocks noChangeArrowheads="1"/>
        </xdr:cNvSpPr>
      </xdr:nvSpPr>
      <xdr:spPr>
        <a:xfrm>
          <a:off x="228600" y="8572500"/>
          <a:ext cx="6819900" cy="533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7. Soft-Start Time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a value for the desired soft-start time. A recommended value for Css is displayed. Select the closest available value for Css from standard available values.</a:t>
          </a:r>
        </a:p>
      </xdr:txBody>
    </xdr:sp>
    <xdr:clientData/>
  </xdr:twoCellAnchor>
  <xdr:twoCellAnchor>
    <xdr:from>
      <xdr:col>0</xdr:col>
      <xdr:colOff>228600</xdr:colOff>
      <xdr:row>55</xdr:row>
      <xdr:rowOff>114300</xdr:rowOff>
    </xdr:from>
    <xdr:to>
      <xdr:col>11</xdr:col>
      <xdr:colOff>571500</xdr:colOff>
      <xdr:row>69</xdr:row>
      <xdr:rowOff>76200</xdr:rowOff>
    </xdr:to>
    <xdr:sp>
      <xdr:nvSpPr>
        <xdr:cNvPr id="7" name="Text Box 8"/>
        <xdr:cNvSpPr txBox="1">
          <a:spLocks noChangeArrowheads="1"/>
        </xdr:cNvSpPr>
      </xdr:nvSpPr>
      <xdr:spPr>
        <a:xfrm>
          <a:off x="228600" y="9153525"/>
          <a:ext cx="6819900" cy="22288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8. Output Ripple Configuration and Output Capacitors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LM5160 when used in the Fly-buck topology needs Type 3 ripple generation circuit for proper operation. In the Type 3 configuration, a ripple waveform is instead generated by RA and CA, and supplied to the FB pin via CB. In this configuration the ripple voltage at V</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 is minimal, determined primarily by the characteristics of the output capacitor (C</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For Type 3 enter a value equal to, or smaller, than the recommended value for RA. Default values for CA and CB are automatically provided.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minimum recommended value for C</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 is displayed, based on a maximum of 10 mVp-p across a ceramic capacitor. Enter a value for C</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 equal to, or larger, than the recommended value. Other system considerations, such as transient response or start-up time, may determine the optimum value for C</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 A low ESR ceramic capacitor is recommended.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Maximum Ripple Voltage at V</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 is calculated and displayed. For Type 3 the calculation uses the Maximum Ripple Current Amplitude and the selected value for C</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 assuming the use of a ceramic capacitor. Use of a different type of capacitor, with higher ESR, results in higher ripple at V</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a:t>
          </a:r>
        </a:p>
      </xdr:txBody>
    </xdr:sp>
    <xdr:clientData/>
  </xdr:twoCellAnchor>
  <xdr:twoCellAnchor>
    <xdr:from>
      <xdr:col>0</xdr:col>
      <xdr:colOff>219075</xdr:colOff>
      <xdr:row>69</xdr:row>
      <xdr:rowOff>114300</xdr:rowOff>
    </xdr:from>
    <xdr:to>
      <xdr:col>11</xdr:col>
      <xdr:colOff>571500</xdr:colOff>
      <xdr:row>73</xdr:row>
      <xdr:rowOff>133350</xdr:rowOff>
    </xdr:to>
    <xdr:sp>
      <xdr:nvSpPr>
        <xdr:cNvPr id="8" name="Text Box 9"/>
        <xdr:cNvSpPr txBox="1">
          <a:spLocks noChangeArrowheads="1"/>
        </xdr:cNvSpPr>
      </xdr:nvSpPr>
      <xdr:spPr>
        <a:xfrm>
          <a:off x="219075" y="11420475"/>
          <a:ext cx="6829425" cy="666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9. Input Capacitors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Minimum Recommended Value for C</a:t>
          </a:r>
          <a:r>
            <a:rPr lang="en-US" cap="none" sz="1000" b="0" i="0" u="none" baseline="-25000">
              <a:solidFill>
                <a:srgbClr val="000000"/>
              </a:solidFill>
              <a:latin typeface="Arial"/>
              <a:ea typeface="Arial"/>
              <a:cs typeface="Arial"/>
            </a:rPr>
            <a:t>IN</a:t>
          </a:r>
          <a:r>
            <a:rPr lang="en-US" cap="none" sz="1000" b="0" i="0" u="none" baseline="0">
              <a:solidFill>
                <a:srgbClr val="000000"/>
              </a:solidFill>
              <a:latin typeface="Arial"/>
              <a:ea typeface="Arial"/>
              <a:cs typeface="Arial"/>
            </a:rPr>
            <a:t> is calculated based on a maximum ripple voltage of 0.5V at VIN. A higher input ripple voltage is acceptable as long as the lower peak of the ripple waveform does not reach the V</a:t>
          </a:r>
          <a:r>
            <a:rPr lang="en-US" cap="none" sz="1000" b="0" i="0" u="none" baseline="-25000">
              <a:solidFill>
                <a:srgbClr val="000000"/>
              </a:solidFill>
              <a:latin typeface="Arial"/>
              <a:ea typeface="Arial"/>
              <a:cs typeface="Arial"/>
            </a:rPr>
            <a:t>CC</a:t>
          </a:r>
          <a:r>
            <a:rPr lang="en-US" cap="none" sz="1000" b="0" i="0" u="none" baseline="0">
              <a:solidFill>
                <a:srgbClr val="000000"/>
              </a:solidFill>
              <a:latin typeface="Arial"/>
              <a:ea typeface="Arial"/>
              <a:cs typeface="Arial"/>
            </a:rPr>
            <a:t> UVLO threshold.</a:t>
          </a:r>
        </a:p>
      </xdr:txBody>
    </xdr:sp>
    <xdr:clientData/>
  </xdr:twoCellAnchor>
  <xdr:twoCellAnchor>
    <xdr:from>
      <xdr:col>0</xdr:col>
      <xdr:colOff>219075</xdr:colOff>
      <xdr:row>74</xdr:row>
      <xdr:rowOff>9525</xdr:rowOff>
    </xdr:from>
    <xdr:to>
      <xdr:col>11</xdr:col>
      <xdr:colOff>571500</xdr:colOff>
      <xdr:row>77</xdr:row>
      <xdr:rowOff>47625</xdr:rowOff>
    </xdr:to>
    <xdr:sp>
      <xdr:nvSpPr>
        <xdr:cNvPr id="9" name="Text Box 10"/>
        <xdr:cNvSpPr txBox="1">
          <a:spLocks noChangeArrowheads="1"/>
        </xdr:cNvSpPr>
      </xdr:nvSpPr>
      <xdr:spPr>
        <a:xfrm>
          <a:off x="219075" y="12125325"/>
          <a:ext cx="6829425" cy="523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10. Summary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section lists all the component values determined in Steps 2 through 9. The values shown for C</a:t>
          </a:r>
          <a:r>
            <a:rPr lang="en-US" cap="none" sz="1000" b="0" i="0" u="none" baseline="-25000">
              <a:solidFill>
                <a:srgbClr val="000000"/>
              </a:solidFill>
              <a:latin typeface="Arial"/>
              <a:ea typeface="Arial"/>
              <a:cs typeface="Arial"/>
            </a:rPr>
            <a:t>BYP</a:t>
          </a:r>
          <a:r>
            <a:rPr lang="en-US" cap="none" sz="1000" b="0" i="0" u="none" baseline="0">
              <a:solidFill>
                <a:srgbClr val="000000"/>
              </a:solidFill>
              <a:latin typeface="Arial"/>
              <a:ea typeface="Arial"/>
              <a:cs typeface="Arial"/>
            </a:rPr>
            <a:t> (adjacent to the VIN pin), C</a:t>
          </a:r>
          <a:r>
            <a:rPr lang="en-US" cap="none" sz="1000" b="0" i="0" u="none" baseline="-25000">
              <a:solidFill>
                <a:srgbClr val="000000"/>
              </a:solidFill>
              <a:latin typeface="Arial"/>
              <a:ea typeface="Arial"/>
              <a:cs typeface="Arial"/>
            </a:rPr>
            <a:t>VCC</a:t>
          </a:r>
          <a:r>
            <a:rPr lang="en-US" cap="none" sz="1000" b="0" i="0" u="none" baseline="0">
              <a:solidFill>
                <a:srgbClr val="000000"/>
              </a:solidFill>
              <a:latin typeface="Arial"/>
              <a:ea typeface="Arial"/>
              <a:cs typeface="Arial"/>
            </a:rPr>
            <a:t> (at the VCC pin), and C</a:t>
          </a:r>
          <a:r>
            <a:rPr lang="en-US" cap="none" sz="1000" b="0" i="0" u="none" baseline="-25000">
              <a:solidFill>
                <a:srgbClr val="000000"/>
              </a:solidFill>
              <a:latin typeface="Arial"/>
              <a:ea typeface="Arial"/>
              <a:cs typeface="Arial"/>
            </a:rPr>
            <a:t>BST</a:t>
          </a:r>
          <a:r>
            <a:rPr lang="en-US" cap="none" sz="1000" b="0" i="0" u="none" baseline="0">
              <a:solidFill>
                <a:srgbClr val="000000"/>
              </a:solidFill>
              <a:latin typeface="Arial"/>
              <a:ea typeface="Arial"/>
              <a:cs typeface="Arial"/>
            </a:rPr>
            <a:t> (at the BST pin) are default values which requires no calculations.</a:t>
          </a:r>
        </a:p>
      </xdr:txBody>
    </xdr:sp>
    <xdr:clientData/>
  </xdr:twoCellAnchor>
  <xdr:twoCellAnchor>
    <xdr:from>
      <xdr:col>0</xdr:col>
      <xdr:colOff>228600</xdr:colOff>
      <xdr:row>12</xdr:row>
      <xdr:rowOff>9525</xdr:rowOff>
    </xdr:from>
    <xdr:to>
      <xdr:col>11</xdr:col>
      <xdr:colOff>571500</xdr:colOff>
      <xdr:row>16</xdr:row>
      <xdr:rowOff>104775</xdr:rowOff>
    </xdr:to>
    <xdr:sp>
      <xdr:nvSpPr>
        <xdr:cNvPr id="10" name="Text Box 3"/>
        <xdr:cNvSpPr txBox="1">
          <a:spLocks noChangeArrowheads="1"/>
        </xdr:cNvSpPr>
      </xdr:nvSpPr>
      <xdr:spPr>
        <a:xfrm>
          <a:off x="228600" y="2085975"/>
          <a:ext cx="6819900" cy="742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2. EN/UVLO Resistors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resistors </a:t>
          </a:r>
          <a:r>
            <a:rPr lang="en-US" cap="none" sz="1000" b="0" i="0" u="none" baseline="0">
              <a:solidFill>
                <a:srgbClr val="000000"/>
              </a:solidFill>
              <a:latin typeface="Arial"/>
              <a:ea typeface="Arial"/>
              <a:cs typeface="Arial"/>
            </a:rPr>
            <a:t>R</a:t>
          </a:r>
          <a:r>
            <a:rPr lang="en-US" cap="none" sz="1000" b="0" i="0" u="none" baseline="-25000">
              <a:solidFill>
                <a:srgbClr val="000000"/>
              </a:solidFill>
              <a:latin typeface="Arial"/>
              <a:ea typeface="Arial"/>
              <a:cs typeface="Arial"/>
            </a:rPr>
            <a:t>UV2,</a:t>
          </a:r>
          <a:r>
            <a:rPr lang="en-US" cap="none" sz="1000" b="0" i="0" u="none" baseline="0">
              <a:solidFill>
                <a:srgbClr val="000000"/>
              </a:solidFill>
              <a:latin typeface="Arial"/>
              <a:ea typeface="Arial"/>
              <a:cs typeface="Arial"/>
            </a:rPr>
            <a:t> and R</a:t>
          </a:r>
          <a:r>
            <a:rPr lang="en-US" cap="none" sz="1000" b="0" i="0" u="none" baseline="-25000">
              <a:solidFill>
                <a:srgbClr val="000000"/>
              </a:solidFill>
              <a:latin typeface="Arial"/>
              <a:ea typeface="Arial"/>
              <a:cs typeface="Arial"/>
            </a:rPr>
            <a:t>UV1 </a:t>
          </a:r>
          <a:r>
            <a:rPr lang="en-US" cap="none" sz="1000" b="0" i="0" u="none" baseline="0">
              <a:solidFill>
                <a:srgbClr val="000000"/>
              </a:solidFill>
              <a:latin typeface="Arial"/>
              <a:ea typeface="Arial"/>
              <a:cs typeface="Arial"/>
            </a:rPr>
            <a:t>enable setting up the rising input voltage thresholds. The value of the R</a:t>
          </a:r>
          <a:r>
            <a:rPr lang="en-US" cap="none" sz="1000" b="0" i="0" u="none" baseline="-25000">
              <a:solidFill>
                <a:srgbClr val="000000"/>
              </a:solidFill>
              <a:latin typeface="Arial"/>
              <a:ea typeface="Arial"/>
              <a:cs typeface="Arial"/>
            </a:rPr>
            <a:t>UV2</a:t>
          </a:r>
          <a:r>
            <a:rPr lang="en-US" cap="none" sz="1000" b="0" i="0" u="none" baseline="0">
              <a:solidFill>
                <a:srgbClr val="000000"/>
              </a:solidFill>
              <a:latin typeface="Arial"/>
              <a:ea typeface="Arial"/>
              <a:cs typeface="Arial"/>
            </a:rPr>
            <a:t> can be determined based on the internal current source and the required input voltage hysteresis level. The rising input voltage threshold should always be more than 4.5V. </a:t>
          </a:r>
        </a:p>
      </xdr:txBody>
    </xdr:sp>
    <xdr:clientData/>
  </xdr:twoCellAnchor>
  <xdr:twoCellAnchor editAs="oneCell">
    <xdr:from>
      <xdr:col>6</xdr:col>
      <xdr:colOff>542925</xdr:colOff>
      <xdr:row>1</xdr:row>
      <xdr:rowOff>95250</xdr:rowOff>
    </xdr:from>
    <xdr:to>
      <xdr:col>12</xdr:col>
      <xdr:colOff>66675</xdr:colOff>
      <xdr:row>5</xdr:row>
      <xdr:rowOff>57150</xdr:rowOff>
    </xdr:to>
    <xdr:pic>
      <xdr:nvPicPr>
        <xdr:cNvPr id="11" name="Picture 3"/>
        <xdr:cNvPicPr preferRelativeResize="1">
          <a:picLocks noChangeAspect="1"/>
        </xdr:cNvPicPr>
      </xdr:nvPicPr>
      <xdr:blipFill>
        <a:blip r:embed="rId1"/>
        <a:stretch>
          <a:fillRect/>
        </a:stretch>
      </xdr:blipFill>
      <xdr:spPr>
        <a:xfrm>
          <a:off x="3971925" y="257175"/>
          <a:ext cx="3181350" cy="742950"/>
        </a:xfrm>
        <a:prstGeom prst="rect">
          <a:avLst/>
        </a:prstGeom>
        <a:solidFill>
          <a:srgbClr val="D9D9D9"/>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39</xdr:row>
      <xdr:rowOff>200025</xdr:rowOff>
    </xdr:from>
    <xdr:to>
      <xdr:col>10</xdr:col>
      <xdr:colOff>504825</xdr:colOff>
      <xdr:row>45</xdr:row>
      <xdr:rowOff>47625</xdr:rowOff>
    </xdr:to>
    <xdr:sp>
      <xdr:nvSpPr>
        <xdr:cNvPr id="1" name="Text Box 9"/>
        <xdr:cNvSpPr txBox="1">
          <a:spLocks noChangeArrowheads="1"/>
        </xdr:cNvSpPr>
      </xdr:nvSpPr>
      <xdr:spPr>
        <a:xfrm>
          <a:off x="7677150" y="8229600"/>
          <a:ext cx="2562225" cy="9334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Cambria Math"/>
              <a:ea typeface="Cambria Math"/>
              <a:cs typeface="Cambria Math"/>
            </a:rPr>
            <a:t>F</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sw, max(@V</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IN,max</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=V</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OUT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V</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IN,max</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  x  T</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ON,min</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 (ns)</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mn-lt"/>
              <a:ea typeface="+mn-lt"/>
              <a:cs typeface="+mn-lt"/>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mbria Math"/>
              <a:ea typeface="Cambria Math"/>
              <a:cs typeface="Cambria Math"/>
            </a:rPr>
            <a:t>F</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sw, max(@V</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IN,min</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V</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IN,min</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-V</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OUT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V</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IN,min</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  x  T</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OFF,min</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 (ns)</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mn-lt"/>
              <a:ea typeface="+mn-lt"/>
              <a:cs typeface="+mn-lt"/>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7</xdr:col>
      <xdr:colOff>0</xdr:colOff>
      <xdr:row>32</xdr:row>
      <xdr:rowOff>47625</xdr:rowOff>
    </xdr:from>
    <xdr:to>
      <xdr:col>9</xdr:col>
      <xdr:colOff>133350</xdr:colOff>
      <xdr:row>37</xdr:row>
      <xdr:rowOff>114300</xdr:rowOff>
    </xdr:to>
    <xdr:sp>
      <xdr:nvSpPr>
        <xdr:cNvPr id="2" name="Text Box 12"/>
        <xdr:cNvSpPr txBox="1">
          <a:spLocks noChangeArrowheads="1"/>
        </xdr:cNvSpPr>
      </xdr:nvSpPr>
      <xdr:spPr>
        <a:xfrm>
          <a:off x="7686675" y="6753225"/>
          <a:ext cx="1571625" cy="10287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Cambria Math"/>
              <a:ea typeface="Cambria Math"/>
              <a:cs typeface="Cambria Math"/>
            </a:rPr>
            <a:t>R</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FB2</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R</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FB1</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Cambria Math"/>
              <a:ea typeface="Cambria Math"/>
              <a:cs typeface="Cambria Math"/>
            </a:rPr>
            <a:t>=V</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OUT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V</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REF</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Cambria Math"/>
              <a:ea typeface="Cambria Math"/>
              <a:cs typeface="Cambria Math"/>
            </a:rPr>
            <a:t>-1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mbria Math"/>
              <a:ea typeface="Cambria Math"/>
              <a:cs typeface="Cambria Math"/>
            </a:rPr>
            <a:t>V</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OUT=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V</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REF   x (R</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FB2+R</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FB1)</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R</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FB1</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mn-lt"/>
              <a:ea typeface="+mn-lt"/>
              <a:cs typeface="+mn-lt"/>
            </a:rPr>
            <a:t> </a:t>
          </a:r>
          <a:r>
            <a:rPr lang="en-US" cap="none" sz="1100" b="0" i="0" u="none" baseline="0">
              <a:solidFill>
                <a:srgbClr val="000000"/>
              </a:solidFill>
              <a:latin typeface="Arial"/>
              <a:ea typeface="Arial"/>
              <a:cs typeface="Arial"/>
            </a:rPr>
            <a:t>
</a:t>
          </a:r>
        </a:p>
      </xdr:txBody>
    </xdr:sp>
    <xdr:clientData/>
  </xdr:twoCellAnchor>
  <xdr:twoCellAnchor>
    <xdr:from>
      <xdr:col>9</xdr:col>
      <xdr:colOff>247650</xdr:colOff>
      <xdr:row>29</xdr:row>
      <xdr:rowOff>95250</xdr:rowOff>
    </xdr:from>
    <xdr:to>
      <xdr:col>11</xdr:col>
      <xdr:colOff>438150</xdr:colOff>
      <xdr:row>37</xdr:row>
      <xdr:rowOff>133350</xdr:rowOff>
    </xdr:to>
    <xdr:sp>
      <xdr:nvSpPr>
        <xdr:cNvPr id="3" name="Text Box 16"/>
        <xdr:cNvSpPr txBox="1">
          <a:spLocks noChangeArrowheads="1"/>
        </xdr:cNvSpPr>
      </xdr:nvSpPr>
      <xdr:spPr>
        <a:xfrm>
          <a:off x="9372600" y="6200775"/>
          <a:ext cx="1409700" cy="16002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Cambria Math"/>
              <a:ea typeface="Cambria Math"/>
              <a:cs typeface="Cambria Math"/>
            </a:rPr>
            <a:t>F</a:t>
          </a:r>
          <a:r>
            <a:rPr lang="en-US" cap="none" sz="1200" b="0" i="0" u="none" baseline="0">
              <a:solidFill>
                <a:srgbClr val="000000"/>
              </a:solidFill>
              <a:latin typeface="Cambria Math"/>
              <a:ea typeface="Cambria Math"/>
              <a:cs typeface="Cambria Math"/>
            </a:rPr>
            <a:t>_</a:t>
          </a:r>
          <a:r>
            <a:rPr lang="en-US" cap="none" sz="1200" b="0" i="0" u="none" baseline="0">
              <a:solidFill>
                <a:srgbClr val="000000"/>
              </a:solidFill>
              <a:latin typeface="Cambria Math"/>
              <a:ea typeface="Cambria Math"/>
              <a:cs typeface="Cambria Math"/>
            </a:rPr>
            <a:t>sw=V</a:t>
          </a:r>
          <a:r>
            <a:rPr lang="en-US" cap="none" sz="1200" b="0" i="0" u="none" baseline="0">
              <a:solidFill>
                <a:srgbClr val="000000"/>
              </a:solidFill>
              <a:latin typeface="Cambria Math"/>
              <a:ea typeface="Cambria Math"/>
              <a:cs typeface="Cambria Math"/>
            </a:rPr>
            <a:t>_</a:t>
          </a:r>
          <a:r>
            <a:rPr lang="en-US" cap="none" sz="1200" b="0" i="0" u="none" baseline="0">
              <a:solidFill>
                <a:srgbClr val="000000"/>
              </a:solidFill>
              <a:latin typeface="Cambria Math"/>
              <a:ea typeface="Cambria Math"/>
              <a:cs typeface="Cambria Math"/>
            </a:rPr>
            <a:t>OUT</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R</a:t>
          </a:r>
          <a:r>
            <a:rPr lang="en-US" cap="none" sz="1200" b="0" i="0" u="none" baseline="0">
              <a:solidFill>
                <a:srgbClr val="000000"/>
              </a:solidFill>
              <a:latin typeface="Cambria Math"/>
              <a:ea typeface="Cambria Math"/>
              <a:cs typeface="Cambria Math"/>
            </a:rPr>
            <a:t>_</a:t>
          </a:r>
          <a:r>
            <a:rPr lang="en-US" cap="none" sz="1200" b="0" i="0" u="none" baseline="0">
              <a:solidFill>
                <a:srgbClr val="000000"/>
              </a:solidFill>
              <a:latin typeface="Cambria Math"/>
              <a:ea typeface="Cambria Math"/>
              <a:cs typeface="Cambria Math"/>
            </a:rPr>
            <a:t>ON  x 1 x </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Cambria Math"/>
              <a:ea typeface="Cambria Math"/>
              <a:cs typeface="Cambria Math"/>
            </a:rPr>
            <a:t>10</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-10</a:t>
          </a:r>
          <a:r>
            <a:rPr lang="en-US" cap="none" sz="1200" b="0" i="0" u="none" baseline="0">
              <a:solidFill>
                <a:srgbClr val="000000"/>
              </a:solidFill>
              <a:latin typeface="Cambria Math"/>
              <a:ea typeface="Cambria Math"/>
              <a:cs typeface="Cambria Math"/>
            </a:rPr>
            <a:t>) )</a:t>
          </a:r>
          <a:r>
            <a:rPr lang="en-US" cap="none" sz="1200" b="0" i="0" u="none" baseline="0">
              <a:solidFill>
                <a:srgbClr val="000000"/>
              </a:solidFill>
              <a:latin typeface="+mj-lt"/>
              <a:ea typeface="+mj-lt"/>
              <a:cs typeface="+mj-lt"/>
            </a:rPr>
            <a:t> 
</a:t>
          </a:r>
          <a:r>
            <a:rPr lang="en-US" cap="none" sz="1200" b="0" i="0" u="none" baseline="0">
              <a:solidFill>
                <a:srgbClr val="000000"/>
              </a:solidFill>
              <a:latin typeface="+mj-lt"/>
              <a:ea typeface="+mj-lt"/>
              <a:cs typeface="+mj-lt"/>
            </a:rPr>
            <a:t>
</a:t>
          </a:r>
          <a:r>
            <a:rPr lang="en-US" cap="none" sz="1200" b="0" i="0" u="none" baseline="0">
              <a:solidFill>
                <a:srgbClr val="000000"/>
              </a:solidFill>
              <a:latin typeface="Cambria Math"/>
              <a:ea typeface="Cambria Math"/>
              <a:cs typeface="Cambria Math"/>
            </a:rPr>
            <a:t>T</a:t>
          </a:r>
          <a:r>
            <a:rPr lang="en-US" cap="none" sz="1200" b="0" i="0" u="none" baseline="0">
              <a:solidFill>
                <a:srgbClr val="000000"/>
              </a:solidFill>
              <a:latin typeface="Cambria Math"/>
              <a:ea typeface="Cambria Math"/>
              <a:cs typeface="Cambria Math"/>
            </a:rPr>
            <a:t>_</a:t>
          </a:r>
          <a:r>
            <a:rPr lang="en-US" cap="none" sz="1200" b="0" i="0" u="none" baseline="0">
              <a:solidFill>
                <a:srgbClr val="000000"/>
              </a:solidFill>
              <a:latin typeface="Cambria Math"/>
              <a:ea typeface="Cambria Math"/>
              <a:cs typeface="Cambria Math"/>
            </a:rPr>
            <a:t>ON=</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R</a:t>
          </a:r>
          <a:r>
            <a:rPr lang="en-US" cap="none" sz="1200" b="0" i="0" u="none" baseline="0">
              <a:solidFill>
                <a:srgbClr val="000000"/>
              </a:solidFill>
              <a:latin typeface="Cambria Math"/>
              <a:ea typeface="Cambria Math"/>
              <a:cs typeface="Cambria Math"/>
            </a:rPr>
            <a:t>_</a:t>
          </a:r>
          <a:r>
            <a:rPr lang="en-US" cap="none" sz="1200" b="0" i="0" u="none" baseline="0">
              <a:solidFill>
                <a:srgbClr val="000000"/>
              </a:solidFill>
              <a:latin typeface="Cambria Math"/>
              <a:ea typeface="Cambria Math"/>
              <a:cs typeface="Cambria Math"/>
            </a:rPr>
            <a:t>ON  x 1 x </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10</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-10</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V</a:t>
          </a:r>
          <a:r>
            <a:rPr lang="en-US" cap="none" sz="1200" b="0" i="0" u="none" baseline="0">
              <a:solidFill>
                <a:srgbClr val="000000"/>
              </a:solidFill>
              <a:latin typeface="Cambria Math"/>
              <a:ea typeface="Cambria Math"/>
              <a:cs typeface="Cambria Math"/>
            </a:rPr>
            <a:t>_</a:t>
          </a:r>
          <a:r>
            <a:rPr lang="en-US" cap="none" sz="1200" b="0" i="0" u="none" baseline="0">
              <a:solidFill>
                <a:srgbClr val="000000"/>
              </a:solidFill>
              <a:latin typeface="Cambria Math"/>
              <a:ea typeface="Cambria Math"/>
              <a:cs typeface="Cambria Math"/>
            </a:rPr>
            <a:t>IN</a:t>
          </a:r>
          <a:r>
            <a:rPr lang="en-US" cap="none" sz="1200" b="0" i="0" u="none" baseline="0">
              <a:solidFill>
                <a:srgbClr val="000000"/>
              </a:solidFill>
              <a:latin typeface="Cambria Math"/>
              <a:ea typeface="Cambria Math"/>
              <a:cs typeface="Cambria Math"/>
            </a:rPr>
            <a:t> </a:t>
          </a:r>
          <a:r>
            <a:rPr lang="en-US" cap="none" sz="1200" b="0" i="0" u="none" baseline="0">
              <a:solidFill>
                <a:srgbClr val="000000"/>
              </a:solidFill>
              <a:latin typeface="+mj-lt"/>
              <a:ea typeface="+mj-lt"/>
              <a:cs typeface="+mj-lt"/>
            </a:rPr>
            <a:t> 
</a:t>
          </a:r>
          <a:r>
            <a:rPr lang="en-US" cap="none" sz="1200" b="0" i="0" u="none" baseline="0">
              <a:solidFill>
                <a:srgbClr val="000000"/>
              </a:solidFill>
              <a:latin typeface="+mj-lt"/>
              <a:ea typeface="+mj-lt"/>
              <a:cs typeface="+mj-lt"/>
            </a:rPr>
            <a:t>
</a:t>
          </a:r>
          <a:r>
            <a:rPr lang="en-US" cap="none" sz="1200" b="0" i="0" u="none" baseline="0">
              <a:solidFill>
                <a:srgbClr val="000000"/>
              </a:solidFill>
              <a:latin typeface="Cambria Math"/>
              <a:ea typeface="Cambria Math"/>
              <a:cs typeface="Cambria Math"/>
            </a:rPr>
            <a:t>R</a:t>
          </a:r>
          <a:r>
            <a:rPr lang="en-US" cap="none" sz="1200" b="0" i="0" u="none" baseline="0">
              <a:solidFill>
                <a:srgbClr val="000000"/>
              </a:solidFill>
              <a:latin typeface="Cambria Math"/>
              <a:ea typeface="Cambria Math"/>
              <a:cs typeface="Cambria Math"/>
            </a:rPr>
            <a:t>_</a:t>
          </a:r>
          <a:r>
            <a:rPr lang="en-US" cap="none" sz="1200" b="0" i="0" u="none" baseline="0">
              <a:solidFill>
                <a:srgbClr val="000000"/>
              </a:solidFill>
              <a:latin typeface="Cambria Math"/>
              <a:ea typeface="Cambria Math"/>
              <a:cs typeface="Cambria Math"/>
            </a:rPr>
            <a:t>ON=V</a:t>
          </a:r>
          <a:r>
            <a:rPr lang="en-US" cap="none" sz="1200" b="0" i="0" u="none" baseline="0">
              <a:solidFill>
                <a:srgbClr val="000000"/>
              </a:solidFill>
              <a:latin typeface="Cambria Math"/>
              <a:ea typeface="Cambria Math"/>
              <a:cs typeface="Cambria Math"/>
            </a:rPr>
            <a:t>_</a:t>
          </a:r>
          <a:r>
            <a:rPr lang="en-US" cap="none" sz="1200" b="0" i="0" u="none" baseline="0">
              <a:solidFill>
                <a:srgbClr val="000000"/>
              </a:solidFill>
              <a:latin typeface="Cambria Math"/>
              <a:ea typeface="Cambria Math"/>
              <a:cs typeface="Cambria Math"/>
            </a:rPr>
            <a:t>OUT</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F</a:t>
          </a:r>
          <a:r>
            <a:rPr lang="en-US" cap="none" sz="1200" b="0" i="0" u="none" baseline="0">
              <a:solidFill>
                <a:srgbClr val="000000"/>
              </a:solidFill>
              <a:latin typeface="Cambria Math"/>
              <a:ea typeface="Cambria Math"/>
              <a:cs typeface="Cambria Math"/>
            </a:rPr>
            <a:t>_</a:t>
          </a:r>
          <a:r>
            <a:rPr lang="en-US" cap="none" sz="1200" b="0" i="0" u="none" baseline="0">
              <a:solidFill>
                <a:srgbClr val="000000"/>
              </a:solidFill>
              <a:latin typeface="Cambria Math"/>
              <a:ea typeface="Cambria Math"/>
              <a:cs typeface="Cambria Math"/>
            </a:rPr>
            <a:t>SW  x 1 x </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10</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-10</a:t>
          </a:r>
          <a:r>
            <a:rPr lang="en-US" cap="none" sz="1200" b="0" i="0" u="none" baseline="0">
              <a:solidFill>
                <a:srgbClr val="000000"/>
              </a:solidFill>
              <a:latin typeface="Cambria Math"/>
              <a:ea typeface="Cambria Math"/>
              <a:cs typeface="Cambria Math"/>
            </a:rPr>
            <a:t>) )</a:t>
          </a:r>
          <a:r>
            <a:rPr lang="en-US" cap="none" sz="1200" b="0" i="0" u="none" baseline="0">
              <a:solidFill>
                <a:srgbClr val="000000"/>
              </a:solidFill>
              <a:latin typeface="+mn-lt"/>
              <a:ea typeface="+mn-lt"/>
              <a:cs typeface="+mn-lt"/>
            </a:rPr>
            <a:t> </a:t>
          </a:r>
          <a:r>
            <a:rPr lang="en-US" cap="none" sz="1200" b="0" i="0" u="none" baseline="0">
              <a:solidFill>
                <a:srgbClr val="000000"/>
              </a:solidFill>
              <a:latin typeface="Arial"/>
              <a:ea typeface="Arial"/>
              <a:cs typeface="Arial"/>
            </a:rPr>
            <a:t>
</a:t>
          </a:r>
        </a:p>
      </xdr:txBody>
    </xdr:sp>
    <xdr:clientData/>
  </xdr:twoCellAnchor>
  <xdr:twoCellAnchor>
    <xdr:from>
      <xdr:col>7</xdr:col>
      <xdr:colOff>19050</xdr:colOff>
      <xdr:row>47</xdr:row>
      <xdr:rowOff>161925</xdr:rowOff>
    </xdr:from>
    <xdr:to>
      <xdr:col>12</xdr:col>
      <xdr:colOff>85725</xdr:colOff>
      <xdr:row>58</xdr:row>
      <xdr:rowOff>66675</xdr:rowOff>
    </xdr:to>
    <xdr:sp>
      <xdr:nvSpPr>
        <xdr:cNvPr id="4" name="Text Box 18"/>
        <xdr:cNvSpPr txBox="1">
          <a:spLocks noChangeArrowheads="1"/>
        </xdr:cNvSpPr>
      </xdr:nvSpPr>
      <xdr:spPr>
        <a:xfrm>
          <a:off x="7705725" y="9601200"/>
          <a:ext cx="3333750" cy="17240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Cambria Math"/>
              <a:ea typeface="Cambria Math"/>
              <a:cs typeface="Cambria Math"/>
            </a:rPr>
            <a:t>I</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HS peak</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=I</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OUT,pri</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  1</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N  I</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OUT,sec</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Cambria Math"/>
              <a:ea typeface="Cambria Math"/>
              <a:cs typeface="Cambria Math"/>
            </a:rPr>
            <a:t>I</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L,  pri-ripple</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2</a:t>
          </a:r>
          <a:r>
            <a:rPr lang="en-US" cap="none" sz="1000" b="0" i="1" u="none" baseline="0">
              <a:solidFill>
                <a:srgbClr val="000000"/>
              </a:solidFill>
              <a:latin typeface="+mn-lt"/>
              <a:ea typeface="+mn-lt"/>
              <a:cs typeface="+mn-lt"/>
            </a:rPr>
            <a:t>
</a:t>
          </a:r>
          <a:r>
            <a:rPr lang="en-US" cap="none" sz="1000" b="0" i="1" u="none" baseline="0">
              <a:solidFill>
                <a:srgbClr val="000000"/>
              </a:solidFill>
              <a:latin typeface="+mn-lt"/>
              <a:ea typeface="+mn-lt"/>
              <a:cs typeface="+mn-lt"/>
            </a:rPr>
            <a:t>
</a:t>
          </a:r>
          <a:r>
            <a:rPr lang="en-US" cap="none" sz="1000" b="0" i="0" u="none" baseline="0">
              <a:solidFill>
                <a:srgbClr val="000000"/>
              </a:solidFill>
              <a:latin typeface="Cambria Math"/>
              <a:ea typeface="Cambria Math"/>
              <a:cs typeface="Cambria Math"/>
            </a:rPr>
            <a:t>L</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min=</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 (V</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in,max</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-V</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O,pri</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I</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L,  pri-ripple</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  x  F</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SW</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Cambria Math"/>
              <a:ea typeface="Cambria Math"/>
              <a:cs typeface="Cambria Math"/>
            </a:rPr>
            <a:t>V</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O, pri</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V</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in, max</a:t>
          </a:r>
          <a:r>
            <a:rPr lang="en-US" cap="none" sz="1000" b="0" i="0" u="none" baseline="0">
              <a:solidFill>
                <a:srgbClr val="000000"/>
              </a:solidFill>
              <a:latin typeface="Cambria Math"/>
              <a:ea typeface="Cambria Math"/>
              <a:cs typeface="Cambria Math"/>
            </a:rPr>
            <a:t>) </a:t>
          </a:r>
          <a:r>
            <a:rPr lang="en-US" cap="none" sz="1000" b="0" i="1" u="none" baseline="0">
              <a:solidFill>
                <a:srgbClr val="000000"/>
              </a:solidFill>
              <a:latin typeface="+mn-lt"/>
              <a:ea typeface="+mn-lt"/>
              <a:cs typeface="+mn-lt"/>
            </a:rPr>
            <a:t>
</a:t>
          </a:r>
          <a:r>
            <a:rPr lang="en-US" cap="none" sz="1000" b="0" i="1" u="none" baseline="0">
              <a:solidFill>
                <a:srgbClr val="000000"/>
              </a:solidFill>
              <a:latin typeface="+mn-lt"/>
              <a:ea typeface="+mn-lt"/>
              <a:cs typeface="+mn-lt"/>
            </a:rPr>
            <a:t>
</a:t>
          </a:r>
          <a:r>
            <a:rPr lang="en-US" cap="none" sz="1000" b="0" i="0" u="none" baseline="0">
              <a:solidFill>
                <a:srgbClr val="000000"/>
              </a:solidFill>
              <a:latin typeface="Cambria Math"/>
              <a:ea typeface="Cambria Math"/>
              <a:cs typeface="Cambria Math"/>
            </a:rPr>
            <a:t>I</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L,  pri-ripple,max</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 (V</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in,max</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-V</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O,pri</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L</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min  x  F</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SW</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Cambria Math"/>
              <a:ea typeface="Cambria Math"/>
              <a:cs typeface="Cambria Math"/>
            </a:rPr>
            <a:t>V</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O,  pri</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V</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in, max</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7</xdr:col>
      <xdr:colOff>152400</xdr:colOff>
      <xdr:row>64</xdr:row>
      <xdr:rowOff>38100</xdr:rowOff>
    </xdr:from>
    <xdr:to>
      <xdr:col>8</xdr:col>
      <xdr:colOff>695325</xdr:colOff>
      <xdr:row>67</xdr:row>
      <xdr:rowOff>104775</xdr:rowOff>
    </xdr:to>
    <xdr:sp>
      <xdr:nvSpPr>
        <xdr:cNvPr id="5" name="Text Box 30"/>
        <xdr:cNvSpPr txBox="1">
          <a:spLocks noChangeArrowheads="1"/>
        </xdr:cNvSpPr>
      </xdr:nvSpPr>
      <xdr:spPr>
        <a:xfrm>
          <a:off x="7839075" y="12344400"/>
          <a:ext cx="1152525" cy="552450"/>
        </a:xfrm>
        <a:prstGeom prst="rect">
          <a:avLst/>
        </a:prstGeom>
        <a:solidFill>
          <a:srgbClr val="FFFFCC"/>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Type 3
</a:t>
          </a:r>
          <a:r>
            <a:rPr lang="en-US" cap="none" sz="1000" b="1" i="0" u="none" baseline="0">
              <a:solidFill>
                <a:srgbClr val="0000FF"/>
              </a:solidFill>
              <a:latin typeface="Arial"/>
              <a:ea typeface="Arial"/>
              <a:cs typeface="Arial"/>
            </a:rPr>
            <a:t>Minimum Ripple
</a:t>
          </a:r>
          <a:r>
            <a:rPr lang="en-US" cap="none" sz="1000" b="1" i="0" u="none" baseline="0">
              <a:solidFill>
                <a:srgbClr val="0000FF"/>
              </a:solidFill>
              <a:latin typeface="Arial"/>
              <a:ea typeface="Arial"/>
              <a:cs typeface="Arial"/>
            </a:rPr>
            <a:t>Configuration</a:t>
          </a:r>
        </a:p>
      </xdr:txBody>
    </xdr:sp>
    <xdr:clientData/>
  </xdr:twoCellAnchor>
  <xdr:twoCellAnchor>
    <xdr:from>
      <xdr:col>6</xdr:col>
      <xdr:colOff>600075</xdr:colOff>
      <xdr:row>76</xdr:row>
      <xdr:rowOff>161925</xdr:rowOff>
    </xdr:from>
    <xdr:to>
      <xdr:col>9</xdr:col>
      <xdr:colOff>476250</xdr:colOff>
      <xdr:row>79</xdr:row>
      <xdr:rowOff>171450</xdr:rowOff>
    </xdr:to>
    <xdr:sp>
      <xdr:nvSpPr>
        <xdr:cNvPr id="6" name="Text Box 127"/>
        <xdr:cNvSpPr txBox="1">
          <a:spLocks noChangeArrowheads="1"/>
        </xdr:cNvSpPr>
      </xdr:nvSpPr>
      <xdr:spPr>
        <a:xfrm>
          <a:off x="7677150" y="14449425"/>
          <a:ext cx="1924050" cy="6096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Cambria Math"/>
              <a:ea typeface="Cambria Math"/>
              <a:cs typeface="Cambria Math"/>
            </a:rPr>
            <a:t>C</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OUT,pri</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=I</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L,ripple (max)</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8 x F</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SW  x V</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ripple</a:t>
          </a:r>
          <a:r>
            <a:rPr lang="en-US" cap="none" sz="1000" b="0" i="0" u="none" baseline="0">
              <a:solidFill>
                <a:srgbClr val="000000"/>
              </a:solidFill>
              <a:latin typeface="Cambria Math"/>
              <a:ea typeface="Cambria Math"/>
              <a:cs typeface="Cambria Math"/>
            </a:rPr>
            <a:t> )</a:t>
          </a:r>
        </a:p>
      </xdr:txBody>
    </xdr:sp>
    <xdr:clientData/>
  </xdr:twoCellAnchor>
  <xdr:twoCellAnchor>
    <xdr:from>
      <xdr:col>9</xdr:col>
      <xdr:colOff>200025</xdr:colOff>
      <xdr:row>71</xdr:row>
      <xdr:rowOff>38100</xdr:rowOff>
    </xdr:from>
    <xdr:to>
      <xdr:col>12</xdr:col>
      <xdr:colOff>323850</xdr:colOff>
      <xdr:row>76</xdr:row>
      <xdr:rowOff>47625</xdr:rowOff>
    </xdr:to>
    <xdr:sp>
      <xdr:nvSpPr>
        <xdr:cNvPr id="7" name="Text Box 129"/>
        <xdr:cNvSpPr txBox="1">
          <a:spLocks noChangeArrowheads="1"/>
        </xdr:cNvSpPr>
      </xdr:nvSpPr>
      <xdr:spPr>
        <a:xfrm>
          <a:off x="9324975" y="13477875"/>
          <a:ext cx="1952625" cy="8572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Cambria Math"/>
              <a:ea typeface="Cambria Math"/>
              <a:cs typeface="Cambria Math"/>
            </a:rPr>
            <a:t>V</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a</a:t>
          </a:r>
          <a:r>
            <a:rPr lang="en-US" cap="none" sz="1000" b="0" i="0" u="none" baseline="0">
              <a:solidFill>
                <a:srgbClr val="000000"/>
              </a:solidFill>
              <a:latin typeface="+mj-lt"/>
              <a:ea typeface="+mj-lt"/>
              <a:cs typeface="+mj-lt"/>
            </a:rPr>
            <a:t>=</a:t>
          </a:r>
          <a:r>
            <a:rPr lang="en-US" cap="none" sz="1000" b="0" i="0" u="none" baseline="0">
              <a:solidFill>
                <a:srgbClr val="000000"/>
              </a:solidFill>
              <a:latin typeface="Cambria Math"/>
              <a:ea typeface="Cambria Math"/>
              <a:cs typeface="Cambria Math"/>
            </a:rPr>
            <a:t>V</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out</a:t>
          </a:r>
          <a:r>
            <a:rPr lang="en-US" cap="none" sz="1000" b="0" i="0" u="none" baseline="0">
              <a:solidFill>
                <a:srgbClr val="000000"/>
              </a:solidFill>
              <a:latin typeface="+mj-lt"/>
              <a:ea typeface="+mj-lt"/>
              <a:cs typeface="+mj-lt"/>
            </a:rPr>
            <a:t>
</a:t>
          </a:r>
          <a:r>
            <a:rPr lang="en-US" cap="none" sz="1000" b="0" i="0" u="none" baseline="0">
              <a:solidFill>
                <a:srgbClr val="000000"/>
              </a:solidFill>
              <a:latin typeface="Cambria Math"/>
              <a:ea typeface="Cambria Math"/>
              <a:cs typeface="Cambria Math"/>
            </a:rPr>
            <a:t>R</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r  x C</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r=</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V</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in, min</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-V</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a</a:t>
          </a:r>
          <a:r>
            <a:rPr lang="en-US" cap="none" sz="1000" b="0" i="0" u="none" baseline="0">
              <a:solidFill>
                <a:srgbClr val="000000"/>
              </a:solidFill>
              <a:latin typeface="Cambria Math"/>
              <a:ea typeface="Cambria Math"/>
              <a:cs typeface="Cambria Math"/>
            </a:rPr>
            <a:t> ) </a:t>
          </a:r>
          <a:r>
            <a:rPr lang="en-US" cap="none" sz="1000" b="0" i="0" u="none" baseline="0">
              <a:solidFill>
                <a:srgbClr val="000000"/>
              </a:solidFill>
              <a:latin typeface="Cambria Math"/>
              <a:ea typeface="Cambria Math"/>
              <a:cs typeface="Cambria Math"/>
            </a:rPr>
            <a:t>T</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on, max</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50mV</a:t>
          </a:r>
          <a:r>
            <a:rPr lang="en-US" cap="none" sz="1000" b="0" i="0" u="none" baseline="0">
              <a:solidFill>
                <a:srgbClr val="000000"/>
              </a:solidFill>
              <a:latin typeface="+mj-lt"/>
              <a:ea typeface="+mj-lt"/>
              <a:cs typeface="+mj-lt"/>
            </a:rPr>
            <a:t>
</a:t>
          </a:r>
          <a:r>
            <a:rPr lang="en-US" cap="none" sz="1000" b="0" i="0" u="none" baseline="0">
              <a:solidFill>
                <a:srgbClr val="000000"/>
              </a:solidFill>
              <a:latin typeface="Cambria Math"/>
              <a:ea typeface="Cambria Math"/>
              <a:cs typeface="Cambria Math"/>
            </a:rPr>
            <a:t>R</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r=</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R</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r  x C</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r</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10</a:t>
          </a:r>
          <a:r>
            <a:rPr lang="en-US" cap="none" sz="1000" b="0" i="0" u="none" baseline="0">
              <a:solidFill>
                <a:srgbClr val="000000"/>
              </a:solidFill>
              <a:latin typeface="Cambria Math"/>
              <a:ea typeface="Cambria Math"/>
              <a:cs typeface="Cambria Math"/>
            </a:rPr>
            <a:t>00pF</a:t>
          </a:r>
        </a:p>
      </xdr:txBody>
    </xdr:sp>
    <xdr:clientData/>
  </xdr:twoCellAnchor>
  <xdr:twoCellAnchor>
    <xdr:from>
      <xdr:col>6</xdr:col>
      <xdr:colOff>600075</xdr:colOff>
      <xdr:row>82</xdr:row>
      <xdr:rowOff>66675</xdr:rowOff>
    </xdr:from>
    <xdr:to>
      <xdr:col>9</xdr:col>
      <xdr:colOff>428625</xdr:colOff>
      <xdr:row>84</xdr:row>
      <xdr:rowOff>66675</xdr:rowOff>
    </xdr:to>
    <xdr:sp>
      <xdr:nvSpPr>
        <xdr:cNvPr id="8" name="Text Box 130"/>
        <xdr:cNvSpPr txBox="1">
          <a:spLocks noChangeArrowheads="1"/>
        </xdr:cNvSpPr>
      </xdr:nvSpPr>
      <xdr:spPr>
        <a:xfrm>
          <a:off x="7677150" y="15516225"/>
          <a:ext cx="1876425" cy="4000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Cambria Math"/>
              <a:ea typeface="Cambria Math"/>
              <a:cs typeface="Cambria Math"/>
            </a:rPr>
            <a:t>C</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IN=</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I</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O,   max</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  x T</a:t>
          </a:r>
          <a:r>
            <a:rPr lang="en-US" cap="none" sz="1000" b="0" i="0" u="none" baseline="0">
              <a:solidFill>
                <a:srgbClr val="000000"/>
              </a:solidFill>
              <a:latin typeface="Cambria Math"/>
              <a:ea typeface="Cambria Math"/>
              <a:cs typeface="Cambria Math"/>
            </a:rPr>
            <a:t>_(</a:t>
          </a:r>
          <a:r>
            <a:rPr lang="en-US" cap="none" sz="1000" b="0" i="0" u="none" baseline="0">
              <a:solidFill>
                <a:srgbClr val="000000"/>
              </a:solidFill>
              <a:latin typeface="Cambria Math"/>
              <a:ea typeface="Cambria Math"/>
              <a:cs typeface="Cambria Math"/>
            </a:rPr>
            <a:t>on (</a:t>
          </a:r>
          <a:r>
            <a:rPr lang="en-US" cap="none" sz="1000" b="0" i="0" u="none" baseline="0">
              <a:solidFill>
                <a:srgbClr val="000000"/>
              </a:solidFill>
              <a:latin typeface="Cambria Math"/>
              <a:ea typeface="Cambria Math"/>
              <a:cs typeface="Cambria Math"/>
            </a:rPr>
            <a:t>max</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0.5V  </a:t>
          </a:r>
        </a:p>
      </xdr:txBody>
    </xdr:sp>
    <xdr:clientData/>
  </xdr:twoCellAnchor>
  <xdr:twoCellAnchor>
    <xdr:from>
      <xdr:col>7</xdr:col>
      <xdr:colOff>57150</xdr:colOff>
      <xdr:row>59</xdr:row>
      <xdr:rowOff>38100</xdr:rowOff>
    </xdr:from>
    <xdr:to>
      <xdr:col>8</xdr:col>
      <xdr:colOff>695325</xdr:colOff>
      <xdr:row>60</xdr:row>
      <xdr:rowOff>190500</xdr:rowOff>
    </xdr:to>
    <xdr:sp>
      <xdr:nvSpPr>
        <xdr:cNvPr id="9" name="Text Box 150"/>
        <xdr:cNvSpPr txBox="1">
          <a:spLocks noChangeArrowheads="1"/>
        </xdr:cNvSpPr>
      </xdr:nvSpPr>
      <xdr:spPr>
        <a:xfrm>
          <a:off x="7743825" y="11458575"/>
          <a:ext cx="1247775" cy="3524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Cambria Math"/>
              <a:ea typeface="Cambria Math"/>
              <a:cs typeface="Cambria Math"/>
            </a:rPr>
            <a:t>C</a:t>
          </a:r>
          <a:r>
            <a:rPr lang="en-US" cap="none" sz="1200" b="0" i="0" u="none" baseline="0">
              <a:solidFill>
                <a:srgbClr val="000000"/>
              </a:solidFill>
              <a:latin typeface="Cambria Math"/>
              <a:ea typeface="Cambria Math"/>
              <a:cs typeface="Cambria Math"/>
            </a:rPr>
            <a:t>_</a:t>
          </a:r>
          <a:r>
            <a:rPr lang="en-US" cap="none" sz="1200" b="0" i="0" u="none" baseline="0">
              <a:solidFill>
                <a:srgbClr val="000000"/>
              </a:solidFill>
              <a:latin typeface="Cambria Math"/>
              <a:ea typeface="Cambria Math"/>
              <a:cs typeface="Cambria Math"/>
            </a:rPr>
            <a:t>SS=</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T</a:t>
          </a:r>
          <a:r>
            <a:rPr lang="en-US" cap="none" sz="1200" b="0" i="0" u="none" baseline="0">
              <a:solidFill>
                <a:srgbClr val="000000"/>
              </a:solidFill>
              <a:latin typeface="Cambria Math"/>
              <a:ea typeface="Cambria Math"/>
              <a:cs typeface="Cambria Math"/>
            </a:rPr>
            <a:t>_</a:t>
          </a:r>
          <a:r>
            <a:rPr lang="en-US" cap="none" sz="1200" b="0" i="0" u="none" baseline="0">
              <a:solidFill>
                <a:srgbClr val="000000"/>
              </a:solidFill>
              <a:latin typeface="Cambria Math"/>
              <a:ea typeface="Cambria Math"/>
              <a:cs typeface="Cambria Math"/>
            </a:rPr>
            <a:t>SS  x 10.5µA</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2V</a:t>
          </a:r>
          <a:r>
            <a:rPr lang="en-US" cap="none" sz="1200" b="0" i="0" u="none" baseline="0">
              <a:solidFill>
                <a:srgbClr val="000000"/>
              </a:solidFill>
              <a:latin typeface="+mn-lt"/>
              <a:ea typeface="+mn-lt"/>
              <a:cs typeface="+mn-lt"/>
            </a:rPr>
            <a:t> </a:t>
          </a:r>
        </a:p>
      </xdr:txBody>
    </xdr:sp>
    <xdr:clientData/>
  </xdr:twoCellAnchor>
  <xdr:oneCellAnchor>
    <xdr:from>
      <xdr:col>20</xdr:col>
      <xdr:colOff>161925</xdr:colOff>
      <xdr:row>153</xdr:row>
      <xdr:rowOff>114300</xdr:rowOff>
    </xdr:from>
    <xdr:ext cx="76200" cy="200025"/>
    <xdr:sp fLocksText="0">
      <xdr:nvSpPr>
        <xdr:cNvPr id="10" name="Text Box 185"/>
        <xdr:cNvSpPr txBox="1">
          <a:spLocks noChangeArrowheads="1"/>
        </xdr:cNvSpPr>
      </xdr:nvSpPr>
      <xdr:spPr>
        <a:xfrm>
          <a:off x="17021175" y="2761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16</xdr:col>
      <xdr:colOff>542925</xdr:colOff>
      <xdr:row>0</xdr:row>
      <xdr:rowOff>19050</xdr:rowOff>
    </xdr:from>
    <xdr:to>
      <xdr:col>19</xdr:col>
      <xdr:colOff>0</xdr:colOff>
      <xdr:row>0</xdr:row>
      <xdr:rowOff>504825</xdr:rowOff>
    </xdr:to>
    <xdr:pic>
      <xdr:nvPicPr>
        <xdr:cNvPr id="11" name="Picture 3"/>
        <xdr:cNvPicPr preferRelativeResize="1">
          <a:picLocks noChangeAspect="1"/>
        </xdr:cNvPicPr>
      </xdr:nvPicPr>
      <xdr:blipFill>
        <a:blip r:embed="rId1"/>
        <a:stretch>
          <a:fillRect/>
        </a:stretch>
      </xdr:blipFill>
      <xdr:spPr>
        <a:xfrm>
          <a:off x="14087475" y="19050"/>
          <a:ext cx="2028825" cy="485775"/>
        </a:xfrm>
        <a:prstGeom prst="rect">
          <a:avLst/>
        </a:prstGeom>
        <a:solidFill>
          <a:srgbClr val="D9D9D9"/>
        </a:solidFill>
        <a:ln w="9525" cmpd="sng">
          <a:noFill/>
        </a:ln>
      </xdr:spPr>
    </xdr:pic>
    <xdr:clientData/>
  </xdr:twoCellAnchor>
  <xdr:twoCellAnchor>
    <xdr:from>
      <xdr:col>6</xdr:col>
      <xdr:colOff>590550</xdr:colOff>
      <xdr:row>22</xdr:row>
      <xdr:rowOff>9525</xdr:rowOff>
    </xdr:from>
    <xdr:to>
      <xdr:col>11</xdr:col>
      <xdr:colOff>171450</xdr:colOff>
      <xdr:row>27</xdr:row>
      <xdr:rowOff>171450</xdr:rowOff>
    </xdr:to>
    <xdr:sp>
      <xdr:nvSpPr>
        <xdr:cNvPr id="12" name="TextBox 2"/>
        <xdr:cNvSpPr txBox="1">
          <a:spLocks noChangeArrowheads="1"/>
        </xdr:cNvSpPr>
      </xdr:nvSpPr>
      <xdr:spPr>
        <a:xfrm>
          <a:off x="7667625" y="4752975"/>
          <a:ext cx="2847975" cy="1123950"/>
        </a:xfrm>
        <a:prstGeom prst="rect">
          <a:avLst/>
        </a:prstGeom>
        <a:solidFill>
          <a:srgbClr val="FF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latin typeface="Arial"/>
              <a:ea typeface="Arial"/>
              <a:cs typeface="Arial"/>
            </a:rPr>
            <a:t>Net Primary Load Current = Primary load current + secondary load</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current reflected on the primary side.
</a:t>
          </a:r>
          <a:r>
            <a:rPr lang="en-US" cap="none" sz="1100" b="0" i="0" u="none" baseline="0">
              <a:solidFill>
                <a:srgbClr val="000000"/>
              </a:solidFill>
              <a:latin typeface="Cambria Math"/>
              <a:ea typeface="Cambria Math"/>
              <a:cs typeface="Cambria Math"/>
            </a:rPr>
            <a:t>I</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OUT,pri′</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=I</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OUT,pri</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  1</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N  I</a:t>
          </a:r>
          <a:r>
            <a:rPr lang="en-US" cap="none" sz="1100" b="0" i="0" u="none" baseline="0">
              <a:solidFill>
                <a:srgbClr val="000000"/>
              </a:solidFill>
              <a:latin typeface="Cambria Math"/>
              <a:ea typeface="Cambria Math"/>
              <a:cs typeface="Cambria Math"/>
            </a:rPr>
            <a:t>_(</a:t>
          </a:r>
          <a:r>
            <a:rPr lang="en-US" cap="none" sz="1100" b="0" i="0" u="none" baseline="0">
              <a:solidFill>
                <a:srgbClr val="000000"/>
              </a:solidFill>
              <a:latin typeface="Cambria Math"/>
              <a:ea typeface="Cambria Math"/>
              <a:cs typeface="Cambria Math"/>
            </a:rPr>
            <a:t>OUT,sec</a:t>
          </a:r>
          <a:r>
            <a:rPr lang="en-US" cap="none" sz="1100" b="0" i="0" u="none" baseline="0">
              <a:solidFill>
                <a:srgbClr val="000000"/>
              </a:solidFill>
              <a:latin typeface="Cambria Math"/>
              <a:ea typeface="Cambria Math"/>
              <a:cs typeface="Cambria Math"/>
            </a:rPr>
            <a:t>)</a:t>
          </a:r>
          <a:r>
            <a:rPr lang="en-US" cap="none" sz="1000" b="0" i="0" u="none" baseline="0">
              <a:solidFill>
                <a:srgbClr val="000000"/>
              </a:solidFill>
              <a:latin typeface="Arial"/>
              <a:ea typeface="Arial"/>
              <a:cs typeface="Arial"/>
            </a:rPr>
            <a:t>
</a:t>
          </a:r>
        </a:p>
      </xdr:txBody>
    </xdr:sp>
    <xdr:clientData/>
  </xdr:twoCellAnchor>
  <xdr:twoCellAnchor>
    <xdr:from>
      <xdr:col>12</xdr:col>
      <xdr:colOff>209550</xdr:colOff>
      <xdr:row>31</xdr:row>
      <xdr:rowOff>19050</xdr:rowOff>
    </xdr:from>
    <xdr:to>
      <xdr:col>18</xdr:col>
      <xdr:colOff>657225</xdr:colOff>
      <xdr:row>50</xdr:row>
      <xdr:rowOff>57150</xdr:rowOff>
    </xdr:to>
    <xdr:graphicFrame>
      <xdr:nvGraphicFramePr>
        <xdr:cNvPr id="13" name="Chart 3"/>
        <xdr:cNvGraphicFramePr/>
      </xdr:nvGraphicFramePr>
      <xdr:xfrm>
        <a:off x="11163300" y="6524625"/>
        <a:ext cx="4724400" cy="34575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AppData\Local\Temp\Rar$DIa10688.7857\LM5160BKQuickStartCalculator%20-%20Final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
      <sheetName val="Calcula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Z150"/>
  <sheetViews>
    <sheetView showGridLines="0" zoomScalePageLayoutView="0" workbookViewId="0" topLeftCell="A22">
      <selection activeCell="M63" sqref="M63"/>
    </sheetView>
  </sheetViews>
  <sheetFormatPr defaultColWidth="9.140625" defaultRowHeight="12.75"/>
  <cols>
    <col min="1" max="1" width="4.00390625" style="13" customWidth="1"/>
    <col min="2" max="2" width="9.140625" style="13" customWidth="1"/>
    <col min="3" max="3" width="10.8515625" style="13" bestFit="1" customWidth="1"/>
    <col min="4" max="16384" width="9.140625" style="13" customWidth="1"/>
  </cols>
  <sheetData>
    <row r="1" spans="1:26" ht="12.75">
      <c r="A1" s="15"/>
      <c r="B1" s="15"/>
      <c r="C1" s="15"/>
      <c r="D1" s="15"/>
      <c r="E1" s="15"/>
      <c r="F1" s="15"/>
      <c r="G1" s="15"/>
      <c r="H1" s="15"/>
      <c r="I1" s="15"/>
      <c r="J1" s="15"/>
      <c r="K1" s="15"/>
      <c r="L1" s="15"/>
      <c r="M1" s="15"/>
      <c r="N1" s="15"/>
      <c r="O1" s="15"/>
      <c r="P1" s="15"/>
      <c r="Q1" s="15"/>
      <c r="R1" s="15"/>
      <c r="S1" s="15"/>
      <c r="T1" s="15"/>
      <c r="U1" s="15"/>
      <c r="V1" s="15"/>
      <c r="W1" s="15"/>
      <c r="X1" s="15"/>
      <c r="Y1" s="15"/>
      <c r="Z1" s="15"/>
    </row>
    <row r="2" spans="1:26" ht="18">
      <c r="A2" s="15"/>
      <c r="B2" s="20" t="s">
        <v>240</v>
      </c>
      <c r="C2" s="15"/>
      <c r="D2" s="15"/>
      <c r="E2" s="15"/>
      <c r="F2" s="15"/>
      <c r="G2" s="15"/>
      <c r="H2" s="15"/>
      <c r="I2" s="15"/>
      <c r="J2" s="15"/>
      <c r="K2" s="15"/>
      <c r="L2" s="15"/>
      <c r="M2" s="15"/>
      <c r="N2" s="15"/>
      <c r="O2" s="15"/>
      <c r="P2" s="15"/>
      <c r="Q2" s="15"/>
      <c r="R2" s="15"/>
      <c r="S2" s="15"/>
      <c r="T2" s="15"/>
      <c r="U2" s="15"/>
      <c r="V2" s="15"/>
      <c r="W2" s="15"/>
      <c r="X2" s="15"/>
      <c r="Y2" s="15"/>
      <c r="Z2" s="15"/>
    </row>
    <row r="3" spans="1:26" ht="18">
      <c r="A3" s="15"/>
      <c r="B3" s="20" t="s">
        <v>30</v>
      </c>
      <c r="C3" s="15"/>
      <c r="D3" s="15"/>
      <c r="E3" s="19"/>
      <c r="F3" s="15"/>
      <c r="G3" s="15"/>
      <c r="H3" s="15"/>
      <c r="I3" s="15"/>
      <c r="J3" s="15"/>
      <c r="K3" s="15"/>
      <c r="L3" s="15"/>
      <c r="M3" s="15"/>
      <c r="N3" s="15"/>
      <c r="O3" s="15"/>
      <c r="P3" s="15"/>
      <c r="Q3" s="15"/>
      <c r="R3" s="15"/>
      <c r="S3" s="15"/>
      <c r="T3" s="15"/>
      <c r="U3" s="15"/>
      <c r="V3" s="15"/>
      <c r="W3" s="15"/>
      <c r="X3" s="15"/>
      <c r="Y3" s="15"/>
      <c r="Z3" s="15"/>
    </row>
    <row r="4" spans="1:26" ht="12.75">
      <c r="A4" s="15"/>
      <c r="B4" s="17"/>
      <c r="C4" s="16"/>
      <c r="D4" s="15"/>
      <c r="E4" s="15"/>
      <c r="F4" s="15"/>
      <c r="G4" s="15"/>
      <c r="H4" s="15"/>
      <c r="I4" s="15"/>
      <c r="J4" s="15"/>
      <c r="K4" s="15"/>
      <c r="L4" s="15"/>
      <c r="M4" s="15"/>
      <c r="N4" s="15"/>
      <c r="O4" s="15"/>
      <c r="P4" s="15"/>
      <c r="Q4" s="15"/>
      <c r="R4" s="15"/>
      <c r="S4" s="15"/>
      <c r="T4" s="15"/>
      <c r="U4" s="15"/>
      <c r="V4" s="15"/>
      <c r="W4" s="15"/>
      <c r="X4" s="15"/>
      <c r="Y4" s="15"/>
      <c r="Z4" s="15"/>
    </row>
    <row r="5" spans="1:26" ht="12.75">
      <c r="A5" s="15"/>
      <c r="B5" s="15"/>
      <c r="C5" s="15"/>
      <c r="D5" s="15"/>
      <c r="E5" s="15"/>
      <c r="F5" s="15"/>
      <c r="G5" s="15"/>
      <c r="H5" s="15"/>
      <c r="I5" s="15"/>
      <c r="J5" s="15"/>
      <c r="K5" s="15"/>
      <c r="L5" s="15"/>
      <c r="M5" s="15"/>
      <c r="N5" s="15"/>
      <c r="O5" s="15"/>
      <c r="P5" s="15"/>
      <c r="Q5" s="15"/>
      <c r="R5" s="15"/>
      <c r="S5" s="15"/>
      <c r="T5" s="15"/>
      <c r="U5" s="15"/>
      <c r="V5" s="15"/>
      <c r="W5" s="15"/>
      <c r="X5" s="15"/>
      <c r="Y5" s="15"/>
      <c r="Z5" s="15"/>
    </row>
    <row r="6" spans="1:26" ht="12.75">
      <c r="A6" s="15"/>
      <c r="B6" s="18" t="s">
        <v>31</v>
      </c>
      <c r="C6" s="15"/>
      <c r="D6" s="15"/>
      <c r="E6" s="15"/>
      <c r="F6" s="15"/>
      <c r="G6" s="15"/>
      <c r="H6" s="15"/>
      <c r="I6" s="15"/>
      <c r="J6" s="15"/>
      <c r="K6" s="15"/>
      <c r="L6" s="15"/>
      <c r="M6" s="15"/>
      <c r="N6" s="15"/>
      <c r="O6" s="15"/>
      <c r="P6" s="15"/>
      <c r="Q6" s="15"/>
      <c r="R6" s="15"/>
      <c r="S6" s="15"/>
      <c r="T6" s="15"/>
      <c r="U6" s="15"/>
      <c r="V6" s="15"/>
      <c r="W6" s="15"/>
      <c r="X6" s="15"/>
      <c r="Y6" s="15"/>
      <c r="Z6" s="15"/>
    </row>
    <row r="7" spans="1:26" ht="12.75">
      <c r="A7" s="15"/>
      <c r="B7" s="18" t="s">
        <v>32</v>
      </c>
      <c r="C7" s="15"/>
      <c r="D7" s="15"/>
      <c r="E7" s="15"/>
      <c r="F7" s="15"/>
      <c r="G7" s="15"/>
      <c r="H7" s="15"/>
      <c r="I7" s="15"/>
      <c r="J7" s="15"/>
      <c r="K7" s="15"/>
      <c r="L7" s="15"/>
      <c r="M7" s="15"/>
      <c r="N7" s="15"/>
      <c r="O7" s="15"/>
      <c r="P7" s="15"/>
      <c r="Q7" s="15"/>
      <c r="R7" s="15"/>
      <c r="S7" s="15"/>
      <c r="T7" s="15"/>
      <c r="U7" s="15"/>
      <c r="V7" s="15"/>
      <c r="W7" s="15"/>
      <c r="X7" s="15"/>
      <c r="Y7" s="15"/>
      <c r="Z7" s="15"/>
    </row>
    <row r="8" spans="1:26" ht="12.75">
      <c r="A8" s="15"/>
      <c r="B8" s="15"/>
      <c r="C8" s="15"/>
      <c r="D8" s="15"/>
      <c r="E8" s="15"/>
      <c r="F8" s="15"/>
      <c r="G8" s="15"/>
      <c r="H8" s="15"/>
      <c r="I8" s="15"/>
      <c r="J8" s="15"/>
      <c r="K8" s="15"/>
      <c r="L8" s="15"/>
      <c r="M8" s="15"/>
      <c r="N8" s="15"/>
      <c r="O8" s="15"/>
      <c r="P8" s="15"/>
      <c r="Q8" s="15"/>
      <c r="R8" s="15"/>
      <c r="S8" s="15"/>
      <c r="T8" s="15"/>
      <c r="U8" s="15"/>
      <c r="V8" s="15"/>
      <c r="W8" s="15"/>
      <c r="X8" s="15"/>
      <c r="Y8" s="15"/>
      <c r="Z8" s="15"/>
    </row>
    <row r="9" spans="1:26" ht="12.75">
      <c r="A9" s="15"/>
      <c r="B9" s="15"/>
      <c r="C9" s="15"/>
      <c r="D9" s="15"/>
      <c r="E9" s="15"/>
      <c r="F9" s="15"/>
      <c r="G9" s="15"/>
      <c r="H9" s="15"/>
      <c r="I9" s="15"/>
      <c r="J9" s="15"/>
      <c r="K9" s="15"/>
      <c r="L9" s="15"/>
      <c r="M9" s="15"/>
      <c r="N9" s="17"/>
      <c r="O9" s="15"/>
      <c r="P9" s="15"/>
      <c r="Q9" s="15"/>
      <c r="R9" s="15"/>
      <c r="S9" s="15"/>
      <c r="T9" s="15"/>
      <c r="U9" s="15"/>
      <c r="V9" s="15"/>
      <c r="W9" s="15"/>
      <c r="X9" s="15"/>
      <c r="Y9" s="15"/>
      <c r="Z9" s="15"/>
    </row>
    <row r="10" spans="1:26" ht="12.75">
      <c r="A10" s="15"/>
      <c r="B10" s="15"/>
      <c r="C10" s="15"/>
      <c r="D10" s="15"/>
      <c r="E10" s="15"/>
      <c r="F10" s="15"/>
      <c r="G10" s="15"/>
      <c r="H10" s="15"/>
      <c r="I10" s="15"/>
      <c r="J10" s="15"/>
      <c r="K10" s="15"/>
      <c r="L10" s="15"/>
      <c r="M10" s="15"/>
      <c r="N10" s="16"/>
      <c r="O10" s="15"/>
      <c r="P10" s="15"/>
      <c r="Q10" s="15"/>
      <c r="R10" s="15"/>
      <c r="S10" s="15"/>
      <c r="T10" s="15"/>
      <c r="U10" s="15"/>
      <c r="V10" s="15"/>
      <c r="W10" s="15"/>
      <c r="X10" s="15"/>
      <c r="Y10" s="15"/>
      <c r="Z10" s="15"/>
    </row>
    <row r="11" spans="1:26" ht="12.7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12.7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ht="12.7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ht="12.7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ht="12.7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2.7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ht="12.7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ht="12.7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ht="12.7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12.7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ht="12.7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12.7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ht="12.7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12.7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2.7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ht="12.7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2.7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2.7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2.7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2.7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2.7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2.7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2.7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2.7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2.7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2.7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2.7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2.7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2.7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2.7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2.7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2.7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2.7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2.7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2.7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2.7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2.7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2.7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2.7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2.7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2.7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2.7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2.7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2.7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2.7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2.7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2.7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2.7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2.7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2.7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2.7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2.7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2.7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2.7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2.7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2.7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2.7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2.7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2.7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2.7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2.7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2.7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2.7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2.7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2.7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2.7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2.7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2.7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2.7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2.7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2.7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2.7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2.7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2.7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2.7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2.7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2.7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2.7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2.7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2.7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2.7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2.7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2.7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2.7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2.7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2.7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2.7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2.7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2.7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2.7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2.7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2.7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2.7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2.7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2.7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2.7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2.7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2.7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2.7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2.7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2.7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2.7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9:26" ht="12.75">
      <c r="S116" s="14"/>
      <c r="T116" s="14"/>
      <c r="U116" s="14"/>
      <c r="V116" s="14"/>
      <c r="W116" s="14"/>
      <c r="X116" s="14"/>
      <c r="Y116" s="14"/>
      <c r="Z116" s="14"/>
    </row>
    <row r="117" spans="19:26" ht="12.75">
      <c r="S117" s="14"/>
      <c r="T117" s="14"/>
      <c r="U117" s="14"/>
      <c r="V117" s="14"/>
      <c r="W117" s="14"/>
      <c r="X117" s="14"/>
      <c r="Y117" s="14"/>
      <c r="Z117" s="14"/>
    </row>
    <row r="118" spans="19:26" ht="12.75">
      <c r="S118" s="14"/>
      <c r="T118" s="14"/>
      <c r="U118" s="14"/>
      <c r="V118" s="14"/>
      <c r="W118" s="14"/>
      <c r="X118" s="14"/>
      <c r="Y118" s="14"/>
      <c r="Z118" s="14"/>
    </row>
    <row r="119" spans="19:26" ht="12.75">
      <c r="S119" s="14"/>
      <c r="T119" s="14"/>
      <c r="U119" s="14"/>
      <c r="V119" s="14"/>
      <c r="W119" s="14"/>
      <c r="X119" s="14"/>
      <c r="Y119" s="14"/>
      <c r="Z119" s="14"/>
    </row>
    <row r="120" spans="19:26" ht="12.75">
      <c r="S120" s="14"/>
      <c r="T120" s="14"/>
      <c r="U120" s="14"/>
      <c r="V120" s="14"/>
      <c r="W120" s="14"/>
      <c r="X120" s="14"/>
      <c r="Y120" s="14"/>
      <c r="Z120" s="14"/>
    </row>
    <row r="121" spans="19:26" ht="12.75">
      <c r="S121" s="14"/>
      <c r="T121" s="14"/>
      <c r="U121" s="14"/>
      <c r="V121" s="14"/>
      <c r="W121" s="14"/>
      <c r="X121" s="14"/>
      <c r="Y121" s="14"/>
      <c r="Z121" s="14"/>
    </row>
    <row r="122" spans="19:26" ht="12.75">
      <c r="S122" s="14"/>
      <c r="T122" s="14"/>
      <c r="U122" s="14"/>
      <c r="V122" s="14"/>
      <c r="W122" s="14"/>
      <c r="X122" s="14"/>
      <c r="Y122" s="14"/>
      <c r="Z122" s="14"/>
    </row>
    <row r="123" spans="19:26" ht="12.75">
      <c r="S123" s="14"/>
      <c r="T123" s="14"/>
      <c r="U123" s="14"/>
      <c r="V123" s="14"/>
      <c r="W123" s="14"/>
      <c r="X123" s="14"/>
      <c r="Y123" s="14"/>
      <c r="Z123" s="14"/>
    </row>
    <row r="124" spans="19:26" ht="12.75">
      <c r="S124" s="14"/>
      <c r="T124" s="14"/>
      <c r="U124" s="14"/>
      <c r="V124" s="14"/>
      <c r="W124" s="14"/>
      <c r="X124" s="14"/>
      <c r="Y124" s="14"/>
      <c r="Z124" s="14"/>
    </row>
    <row r="125" spans="19:26" ht="12.75">
      <c r="S125" s="14"/>
      <c r="T125" s="14"/>
      <c r="U125" s="14"/>
      <c r="V125" s="14"/>
      <c r="W125" s="14"/>
      <c r="X125" s="14"/>
      <c r="Y125" s="14"/>
      <c r="Z125" s="14"/>
    </row>
    <row r="126" spans="19:26" ht="12.75">
      <c r="S126" s="14"/>
      <c r="T126" s="14"/>
      <c r="U126" s="14"/>
      <c r="V126" s="14"/>
      <c r="W126" s="14"/>
      <c r="X126" s="14"/>
      <c r="Y126" s="14"/>
      <c r="Z126" s="14"/>
    </row>
    <row r="127" spans="19:26" ht="12.75">
      <c r="S127" s="14"/>
      <c r="T127" s="14"/>
      <c r="U127" s="14"/>
      <c r="V127" s="14"/>
      <c r="W127" s="14"/>
      <c r="X127" s="14"/>
      <c r="Y127" s="14"/>
      <c r="Z127" s="14"/>
    </row>
    <row r="128" spans="19:26" ht="12.75">
      <c r="S128" s="14"/>
      <c r="T128" s="14"/>
      <c r="U128" s="14"/>
      <c r="V128" s="14"/>
      <c r="W128" s="14"/>
      <c r="X128" s="14"/>
      <c r="Y128" s="14"/>
      <c r="Z128" s="14"/>
    </row>
    <row r="129" spans="19:26" ht="12.75">
      <c r="S129" s="14"/>
      <c r="T129" s="14"/>
      <c r="U129" s="14"/>
      <c r="V129" s="14"/>
      <c r="W129" s="14"/>
      <c r="X129" s="14"/>
      <c r="Y129" s="14"/>
      <c r="Z129" s="14"/>
    </row>
    <row r="130" spans="19:26" ht="12.75">
      <c r="S130" s="14"/>
      <c r="T130" s="14"/>
      <c r="U130" s="14"/>
      <c r="V130" s="14"/>
      <c r="W130" s="14"/>
      <c r="X130" s="14"/>
      <c r="Y130" s="14"/>
      <c r="Z130" s="14"/>
    </row>
    <row r="131" spans="19:26" ht="12.75">
      <c r="S131" s="14"/>
      <c r="T131" s="14"/>
      <c r="U131" s="14"/>
      <c r="V131" s="14"/>
      <c r="W131" s="14"/>
      <c r="X131" s="14"/>
      <c r="Y131" s="14"/>
      <c r="Z131" s="14"/>
    </row>
    <row r="132" spans="19:26" ht="12.75">
      <c r="S132" s="14"/>
      <c r="T132" s="14"/>
      <c r="U132" s="14"/>
      <c r="V132" s="14"/>
      <c r="W132" s="14"/>
      <c r="X132" s="14"/>
      <c r="Y132" s="14"/>
      <c r="Z132" s="14"/>
    </row>
    <row r="133" spans="19:26" ht="12.75">
      <c r="S133" s="14"/>
      <c r="T133" s="14"/>
      <c r="U133" s="14"/>
      <c r="V133" s="14"/>
      <c r="W133" s="14"/>
      <c r="X133" s="14"/>
      <c r="Y133" s="14"/>
      <c r="Z133" s="14"/>
    </row>
    <row r="134" spans="19:26" ht="12.75">
      <c r="S134" s="14"/>
      <c r="T134" s="14"/>
      <c r="U134" s="14"/>
      <c r="V134" s="14"/>
      <c r="W134" s="14"/>
      <c r="X134" s="14"/>
      <c r="Y134" s="14"/>
      <c r="Z134" s="14"/>
    </row>
    <row r="135" spans="19:26" ht="12.75">
      <c r="S135" s="14"/>
      <c r="T135" s="14"/>
      <c r="U135" s="14"/>
      <c r="V135" s="14"/>
      <c r="W135" s="14"/>
      <c r="X135" s="14"/>
      <c r="Y135" s="14"/>
      <c r="Z135" s="14"/>
    </row>
    <row r="136" spans="19:26" ht="12.75">
      <c r="S136" s="14"/>
      <c r="T136" s="14"/>
      <c r="U136" s="14"/>
      <c r="V136" s="14"/>
      <c r="W136" s="14"/>
      <c r="X136" s="14"/>
      <c r="Y136" s="14"/>
      <c r="Z136" s="14"/>
    </row>
    <row r="137" spans="19:26" ht="12.75">
      <c r="S137" s="14"/>
      <c r="T137" s="14"/>
      <c r="U137" s="14"/>
      <c r="V137" s="14"/>
      <c r="W137" s="14"/>
      <c r="X137" s="14"/>
      <c r="Y137" s="14"/>
      <c r="Z137" s="14"/>
    </row>
    <row r="138" spans="19:26" ht="12.75">
      <c r="S138" s="14"/>
      <c r="T138" s="14"/>
      <c r="U138" s="14"/>
      <c r="V138" s="14"/>
      <c r="W138" s="14"/>
      <c r="X138" s="14"/>
      <c r="Y138" s="14"/>
      <c r="Z138" s="14"/>
    </row>
    <row r="139" spans="19:26" ht="12.75">
      <c r="S139" s="14"/>
      <c r="T139" s="14"/>
      <c r="U139" s="14"/>
      <c r="V139" s="14"/>
      <c r="W139" s="14"/>
      <c r="X139" s="14"/>
      <c r="Y139" s="14"/>
      <c r="Z139" s="14"/>
    </row>
    <row r="140" spans="19:26" ht="12.75">
      <c r="S140" s="14"/>
      <c r="T140" s="14"/>
      <c r="U140" s="14"/>
      <c r="V140" s="14"/>
      <c r="W140" s="14"/>
      <c r="X140" s="14"/>
      <c r="Y140" s="14"/>
      <c r="Z140" s="14"/>
    </row>
    <row r="141" spans="19:26" ht="12.75">
      <c r="S141" s="14"/>
      <c r="T141" s="14"/>
      <c r="U141" s="14"/>
      <c r="V141" s="14"/>
      <c r="W141" s="14"/>
      <c r="X141" s="14"/>
      <c r="Y141" s="14"/>
      <c r="Z141" s="14"/>
    </row>
    <row r="142" spans="19:26" ht="12.75">
      <c r="S142" s="14"/>
      <c r="T142" s="14"/>
      <c r="U142" s="14"/>
      <c r="V142" s="14"/>
      <c r="W142" s="14"/>
      <c r="X142" s="14"/>
      <c r="Y142" s="14"/>
      <c r="Z142" s="14"/>
    </row>
    <row r="143" spans="19:26" ht="12.75">
      <c r="S143" s="14"/>
      <c r="T143" s="14"/>
      <c r="U143" s="14"/>
      <c r="V143" s="14"/>
      <c r="W143" s="14"/>
      <c r="X143" s="14"/>
      <c r="Y143" s="14"/>
      <c r="Z143" s="14"/>
    </row>
    <row r="144" spans="19:26" ht="12.75">
      <c r="S144" s="14"/>
      <c r="T144" s="14"/>
      <c r="U144" s="14"/>
      <c r="V144" s="14"/>
      <c r="W144" s="14"/>
      <c r="X144" s="14"/>
      <c r="Y144" s="14"/>
      <c r="Z144" s="14"/>
    </row>
    <row r="145" spans="19:26" ht="12.75">
      <c r="S145" s="14"/>
      <c r="T145" s="14"/>
      <c r="U145" s="14"/>
      <c r="V145" s="14"/>
      <c r="W145" s="14"/>
      <c r="X145" s="14"/>
      <c r="Y145" s="14"/>
      <c r="Z145" s="14"/>
    </row>
    <row r="146" spans="19:26" ht="12.75">
      <c r="S146" s="14"/>
      <c r="T146" s="14"/>
      <c r="U146" s="14"/>
      <c r="V146" s="14"/>
      <c r="W146" s="14"/>
      <c r="X146" s="14"/>
      <c r="Y146" s="14"/>
      <c r="Z146" s="14"/>
    </row>
    <row r="147" spans="19:26" ht="12.75">
      <c r="S147" s="14"/>
      <c r="T147" s="14"/>
      <c r="U147" s="14"/>
      <c r="V147" s="14"/>
      <c r="W147" s="14"/>
      <c r="X147" s="14"/>
      <c r="Y147" s="14"/>
      <c r="Z147" s="14"/>
    </row>
    <row r="148" spans="19:26" ht="12.75">
      <c r="S148" s="14"/>
      <c r="T148" s="14"/>
      <c r="U148" s="14"/>
      <c r="V148" s="14"/>
      <c r="W148" s="14"/>
      <c r="X148" s="14"/>
      <c r="Y148" s="14"/>
      <c r="Z148" s="14"/>
    </row>
    <row r="149" spans="19:26" ht="12.75">
      <c r="S149" s="14"/>
      <c r="T149" s="14"/>
      <c r="U149" s="14"/>
      <c r="V149" s="14"/>
      <c r="W149" s="14"/>
      <c r="X149" s="14"/>
      <c r="Y149" s="14"/>
      <c r="Z149" s="14"/>
    </row>
    <row r="150" spans="19:26" ht="12.75">
      <c r="S150" s="14"/>
      <c r="T150" s="14"/>
      <c r="U150" s="14"/>
      <c r="V150" s="14"/>
      <c r="W150" s="14"/>
      <c r="X150" s="14"/>
      <c r="Y150" s="14"/>
      <c r="Z150" s="14"/>
    </row>
  </sheetData>
  <sheetProtection password="E1E4" sheet="1" selectLockedCells="1"/>
  <printOptions/>
  <pageMargins left="0.75" right="0.75" top="1" bottom="1" header="0.5" footer="0.5"/>
  <pageSetup fitToHeight="5" horizontalDpi="600" verticalDpi="600" orientation="portrait" scale="78" r:id="rId2"/>
  <rowBreaks count="1" manualBreakCount="1">
    <brk id="52" max="12" man="1"/>
  </rowBreaks>
  <drawing r:id="rId1"/>
</worksheet>
</file>

<file path=xl/worksheets/sheet2.xml><?xml version="1.0" encoding="utf-8"?>
<worksheet xmlns="http://schemas.openxmlformats.org/spreadsheetml/2006/main" xmlns:r="http://schemas.openxmlformats.org/officeDocument/2006/relationships">
  <sheetPr codeName="Sheet2"/>
  <dimension ref="A1:AV203"/>
  <sheetViews>
    <sheetView showGridLines="0" tabSelected="1" zoomScalePageLayoutView="0" workbookViewId="0" topLeftCell="A31">
      <selection activeCell="E58" sqref="E58"/>
    </sheetView>
  </sheetViews>
  <sheetFormatPr defaultColWidth="9.140625" defaultRowHeight="12.75"/>
  <cols>
    <col min="1" max="1" width="5.140625" style="1" customWidth="1"/>
    <col min="2" max="2" width="27.8515625" style="1" customWidth="1"/>
    <col min="3" max="3" width="11.7109375" style="1" customWidth="1"/>
    <col min="4" max="4" width="40.421875" style="1" customWidth="1"/>
    <col min="5" max="5" width="11.8515625" style="6" customWidth="1"/>
    <col min="6" max="6" width="9.140625" style="3" customWidth="1"/>
    <col min="7" max="8" width="9.140625" style="1" customWidth="1"/>
    <col min="9" max="9" width="12.421875" style="1" customWidth="1"/>
    <col min="10" max="13" width="9.140625" style="1" customWidth="1"/>
    <col min="14" max="14" width="13.140625" style="1" customWidth="1"/>
    <col min="15" max="15" width="5.7109375" style="1" customWidth="1"/>
    <col min="16" max="16" width="10.8515625" style="1" customWidth="1"/>
    <col min="17" max="17" width="17.00390625" style="1" customWidth="1"/>
    <col min="18" max="18" width="8.28125" style="1" customWidth="1"/>
    <col min="19" max="19" width="13.28125" style="1" customWidth="1"/>
    <col min="20" max="20" width="11.140625" style="1" customWidth="1"/>
    <col min="21" max="21" width="9.421875" style="1" customWidth="1"/>
    <col min="22" max="22" width="9.140625" style="1" customWidth="1"/>
    <col min="23" max="23" width="12.57421875" style="1" customWidth="1"/>
    <col min="24" max="24" width="11.7109375" style="1" customWidth="1"/>
    <col min="25" max="25" width="3.421875" style="1" customWidth="1"/>
    <col min="26" max="26" width="12.8515625" style="1" customWidth="1"/>
    <col min="27" max="27" width="11.57421875" style="1" customWidth="1"/>
    <col min="28" max="28" width="10.8515625" style="1" customWidth="1"/>
    <col min="29" max="29" width="11.421875" style="1" customWidth="1"/>
    <col min="30" max="30" width="9.8515625" style="1" customWidth="1"/>
    <col min="31" max="35" width="9.140625" style="1" customWidth="1"/>
    <col min="36" max="36" width="10.421875" style="1" customWidth="1"/>
    <col min="37" max="39" width="9.140625" style="1" customWidth="1"/>
    <col min="40" max="41" width="11.7109375" style="1" customWidth="1"/>
    <col min="42" max="42" width="12.28125" style="1" customWidth="1"/>
    <col min="43" max="16384" width="9.140625" style="1" customWidth="1"/>
  </cols>
  <sheetData>
    <row r="1" spans="1:19" ht="40.5">
      <c r="A1" s="145" t="s">
        <v>252</v>
      </c>
      <c r="B1" s="146"/>
      <c r="C1" s="146"/>
      <c r="D1" s="146"/>
      <c r="E1" s="146"/>
      <c r="F1" s="146"/>
      <c r="G1" s="146"/>
      <c r="H1" s="146"/>
      <c r="I1" s="146"/>
      <c r="J1" s="146"/>
      <c r="K1" s="146"/>
      <c r="L1" s="146"/>
      <c r="M1" s="146"/>
      <c r="N1" s="146"/>
      <c r="O1" s="146"/>
      <c r="P1" s="146"/>
      <c r="Q1" s="146"/>
      <c r="R1" s="90"/>
      <c r="S1" s="90"/>
    </row>
    <row r="2" spans="1:19" ht="28.5">
      <c r="A2" s="95"/>
      <c r="B2" s="96"/>
      <c r="C2" s="96"/>
      <c r="D2" s="96"/>
      <c r="E2" s="96"/>
      <c r="F2" s="96"/>
      <c r="G2" s="96"/>
      <c r="H2" s="96"/>
      <c r="I2" s="96"/>
      <c r="J2" s="96"/>
      <c r="K2" s="96"/>
      <c r="L2" s="96"/>
      <c r="M2" s="96"/>
      <c r="N2" s="96"/>
      <c r="O2" s="97"/>
      <c r="P2" s="96"/>
      <c r="Q2" s="96"/>
      <c r="R2" s="98"/>
      <c r="S2" s="98"/>
    </row>
    <row r="3" spans="1:26" ht="28.5">
      <c r="A3" s="138" t="s">
        <v>248</v>
      </c>
      <c r="B3" s="139"/>
      <c r="C3" s="100"/>
      <c r="D3" s="99"/>
      <c r="E3" s="101"/>
      <c r="F3" s="140" t="s">
        <v>249</v>
      </c>
      <c r="G3" s="102"/>
      <c r="H3" s="96"/>
      <c r="I3" s="96"/>
      <c r="J3" s="102"/>
      <c r="K3" s="103"/>
      <c r="L3" s="32"/>
      <c r="M3" s="32"/>
      <c r="N3" s="32"/>
      <c r="O3" s="147" t="s">
        <v>250</v>
      </c>
      <c r="P3" s="147"/>
      <c r="Q3" s="32" t="s">
        <v>251</v>
      </c>
      <c r="R3" s="98"/>
      <c r="S3" s="98"/>
      <c r="Y3" s="7"/>
      <c r="Z3" s="3"/>
    </row>
    <row r="4" spans="1:26" ht="19.5" thickBot="1">
      <c r="A4" s="104"/>
      <c r="B4" s="105"/>
      <c r="C4" s="106"/>
      <c r="D4" s="106"/>
      <c r="E4" s="106"/>
      <c r="F4" s="106"/>
      <c r="G4" s="106"/>
      <c r="H4" s="106"/>
      <c r="I4" s="106"/>
      <c r="J4" s="106"/>
      <c r="K4" s="106"/>
      <c r="L4" s="106"/>
      <c r="M4" s="106"/>
      <c r="N4" s="106"/>
      <c r="O4" s="106"/>
      <c r="P4" s="106"/>
      <c r="Q4" s="106"/>
      <c r="R4" s="106"/>
      <c r="S4" s="106"/>
      <c r="Y4" s="7"/>
      <c r="Z4" s="3"/>
    </row>
    <row r="5" spans="1:19" ht="12.75">
      <c r="A5" s="34"/>
      <c r="B5" s="34"/>
      <c r="C5" s="34"/>
      <c r="D5" s="34"/>
      <c r="E5" s="35"/>
      <c r="F5" s="36"/>
      <c r="G5" s="34"/>
      <c r="H5" s="34"/>
      <c r="I5" s="34"/>
      <c r="J5" s="34"/>
      <c r="K5" s="34"/>
      <c r="L5" s="34"/>
      <c r="M5" s="34"/>
      <c r="N5" s="34"/>
      <c r="O5" s="34"/>
      <c r="P5" s="34"/>
      <c r="Q5" s="34"/>
      <c r="R5" s="34"/>
      <c r="S5" s="34"/>
    </row>
    <row r="6" spans="1:26" ht="12.75">
      <c r="A6" s="34"/>
      <c r="B6" s="34"/>
      <c r="C6" s="34"/>
      <c r="D6" s="34"/>
      <c r="E6" s="35"/>
      <c r="F6" s="36"/>
      <c r="G6" s="34"/>
      <c r="H6" s="34"/>
      <c r="I6" s="34"/>
      <c r="J6" s="34"/>
      <c r="K6" s="34"/>
      <c r="L6" s="34"/>
      <c r="M6" s="119"/>
      <c r="N6" s="119"/>
      <c r="O6" s="119"/>
      <c r="P6" s="119"/>
      <c r="Q6" s="119"/>
      <c r="R6" s="34"/>
      <c r="S6" s="34"/>
      <c r="Y6" s="7"/>
      <c r="Z6" s="3"/>
    </row>
    <row r="7" spans="1:48" ht="15.75">
      <c r="A7" s="34"/>
      <c r="B7" s="34"/>
      <c r="C7" s="34"/>
      <c r="D7" s="34"/>
      <c r="E7" s="35"/>
      <c r="F7" s="36"/>
      <c r="G7" s="34"/>
      <c r="H7" s="34"/>
      <c r="I7" s="34"/>
      <c r="J7" s="34"/>
      <c r="K7" s="34"/>
      <c r="L7" s="34"/>
      <c r="M7" s="119"/>
      <c r="N7" s="124"/>
      <c r="O7" s="124"/>
      <c r="P7" s="125" t="s">
        <v>253</v>
      </c>
      <c r="Q7" s="124"/>
      <c r="R7" s="34"/>
      <c r="S7" s="34"/>
      <c r="Y7" s="7"/>
      <c r="Z7" s="3"/>
      <c r="AC7" s="118"/>
      <c r="AD7" s="118"/>
      <c r="AE7" s="118"/>
      <c r="AF7" s="118"/>
      <c r="AG7" s="118"/>
      <c r="AH7" s="118"/>
      <c r="AI7" s="118"/>
      <c r="AJ7" s="118"/>
      <c r="AK7" s="118"/>
      <c r="AL7" s="118"/>
      <c r="AM7" s="118"/>
      <c r="AN7" s="118"/>
      <c r="AO7" s="118"/>
      <c r="AP7" s="118"/>
      <c r="AQ7" s="118"/>
      <c r="AR7" s="118"/>
      <c r="AS7" s="118"/>
      <c r="AT7" s="118"/>
      <c r="AU7" s="118"/>
      <c r="AV7" s="118"/>
    </row>
    <row r="8" spans="1:48" ht="12.75">
      <c r="A8" s="34"/>
      <c r="B8" s="34"/>
      <c r="C8" s="34"/>
      <c r="D8" s="34"/>
      <c r="E8" s="35"/>
      <c r="F8" s="36"/>
      <c r="G8" s="34"/>
      <c r="H8" s="34"/>
      <c r="I8" s="34"/>
      <c r="J8" s="34"/>
      <c r="K8" s="34"/>
      <c r="L8" s="34"/>
      <c r="M8" s="119"/>
      <c r="N8" s="119"/>
      <c r="O8" s="119"/>
      <c r="P8" s="119"/>
      <c r="Q8" s="119"/>
      <c r="R8" s="34"/>
      <c r="S8" s="34"/>
      <c r="Y8" s="7"/>
      <c r="Z8" s="3"/>
      <c r="AC8" s="118"/>
      <c r="AD8" s="118"/>
      <c r="AE8" s="118"/>
      <c r="AF8" s="118"/>
      <c r="AG8" s="118"/>
      <c r="AH8" s="118"/>
      <c r="AI8" s="118"/>
      <c r="AJ8" s="118"/>
      <c r="AK8" s="118"/>
      <c r="AL8" s="118"/>
      <c r="AM8" s="118"/>
      <c r="AN8" s="118"/>
      <c r="AO8" s="118"/>
      <c r="AP8" s="118"/>
      <c r="AQ8" s="118"/>
      <c r="AR8" s="118"/>
      <c r="AS8" s="118"/>
      <c r="AT8" s="118"/>
      <c r="AU8" s="118"/>
      <c r="AV8" s="118"/>
    </row>
    <row r="9" spans="1:48" ht="12.75">
      <c r="A9" s="34"/>
      <c r="B9" s="93"/>
      <c r="C9" s="37"/>
      <c r="D9" s="26"/>
      <c r="E9" s="35"/>
      <c r="F9" s="36"/>
      <c r="G9" s="34"/>
      <c r="H9" s="34"/>
      <c r="I9" s="34"/>
      <c r="J9" s="34"/>
      <c r="K9" s="34"/>
      <c r="L9" s="34"/>
      <c r="M9" s="119"/>
      <c r="N9" s="119"/>
      <c r="O9" s="119"/>
      <c r="P9" s="119"/>
      <c r="Q9" s="119"/>
      <c r="R9" s="34"/>
      <c r="S9" s="34"/>
      <c r="AB9" s="4"/>
      <c r="AC9" s="107"/>
      <c r="AD9" s="107"/>
      <c r="AE9" s="107"/>
      <c r="AF9" s="107"/>
      <c r="AG9" s="107"/>
      <c r="AH9" s="118"/>
      <c r="AI9" s="118"/>
      <c r="AJ9" s="118"/>
      <c r="AK9" s="118"/>
      <c r="AL9" s="118"/>
      <c r="AM9" s="118"/>
      <c r="AN9" s="118"/>
      <c r="AO9" s="118"/>
      <c r="AP9" s="118" t="s">
        <v>257</v>
      </c>
      <c r="AQ9" s="118" t="s">
        <v>258</v>
      </c>
      <c r="AR9" s="118" t="s">
        <v>259</v>
      </c>
      <c r="AS9" s="118" t="s">
        <v>260</v>
      </c>
      <c r="AT9" s="107" t="s">
        <v>261</v>
      </c>
      <c r="AU9" s="118"/>
      <c r="AV9" s="118"/>
    </row>
    <row r="10" spans="1:48" ht="12.75">
      <c r="A10" s="34"/>
      <c r="B10" s="37"/>
      <c r="C10" s="34"/>
      <c r="D10" s="21" t="s">
        <v>35</v>
      </c>
      <c r="E10" s="35"/>
      <c r="F10" s="36"/>
      <c r="G10" s="34"/>
      <c r="H10" s="34"/>
      <c r="I10" s="34"/>
      <c r="J10" s="34"/>
      <c r="K10" s="34"/>
      <c r="L10" s="34"/>
      <c r="M10" s="34"/>
      <c r="N10" s="34"/>
      <c r="O10" s="34"/>
      <c r="P10" s="34"/>
      <c r="Q10" s="34"/>
      <c r="R10" s="34"/>
      <c r="S10" s="34"/>
      <c r="AB10" s="4"/>
      <c r="AC10" s="107"/>
      <c r="AD10" s="107"/>
      <c r="AE10" s="107"/>
      <c r="AF10" s="107"/>
      <c r="AG10" s="107"/>
      <c r="AH10" s="118"/>
      <c r="AI10" s="118"/>
      <c r="AJ10" s="118"/>
      <c r="AK10" s="118"/>
      <c r="AL10" s="118"/>
      <c r="AM10" s="118"/>
      <c r="AN10" s="118"/>
      <c r="AO10" s="118"/>
      <c r="AP10" s="143">
        <f>VLOOKUP($E$19,$AN12:$AN43,1,TRUE)</f>
        <v>4.5</v>
      </c>
      <c r="AQ10" s="118">
        <f>((AP10-0.5*AP10)*0.5*AP10)/(AP10*$E$45*10^3*$E$52*10^-6)</f>
        <v>0.09858822588385854</v>
      </c>
      <c r="AR10" s="118">
        <f>2.12-0.5*AQ10</f>
        <v>2.070705887058071</v>
      </c>
      <c r="AS10" s="118">
        <f>IF(OR($E$52=""),"",(0.5*AP10*AR10))</f>
        <v>4.6590882458806595</v>
      </c>
      <c r="AT10" s="107">
        <f>IF(OR($E$24="",$E$38=""),"",($E$38*$E$24))</f>
        <v>6.44848484848485</v>
      </c>
      <c r="AU10" s="118"/>
      <c r="AV10" s="118"/>
    </row>
    <row r="11" spans="1:48" ht="12.75">
      <c r="A11" s="34"/>
      <c r="B11" s="34"/>
      <c r="C11" s="34"/>
      <c r="D11" s="2" t="s">
        <v>36</v>
      </c>
      <c r="E11" s="35"/>
      <c r="F11" s="36"/>
      <c r="G11" s="34"/>
      <c r="H11" s="34"/>
      <c r="I11" s="34"/>
      <c r="J11" s="34"/>
      <c r="K11" s="34"/>
      <c r="L11" s="34"/>
      <c r="M11" s="34"/>
      <c r="N11" s="34"/>
      <c r="O11" s="34"/>
      <c r="P11" s="34"/>
      <c r="Q11" s="34"/>
      <c r="R11" s="34"/>
      <c r="S11" s="34"/>
      <c r="Y11" s="7"/>
      <c r="Z11" s="8"/>
      <c r="AB11" s="4"/>
      <c r="AC11" s="107"/>
      <c r="AD11" s="107"/>
      <c r="AE11" s="107"/>
      <c r="AF11" s="107"/>
      <c r="AG11" s="107"/>
      <c r="AH11" s="118"/>
      <c r="AI11" s="118"/>
      <c r="AJ11" s="118"/>
      <c r="AK11" s="118"/>
      <c r="AL11" s="118"/>
      <c r="AM11" s="118"/>
      <c r="AN11" s="118" t="s">
        <v>256</v>
      </c>
      <c r="AO11" s="118"/>
      <c r="AP11" s="143">
        <f>IF((AP10+2)&lt;65,(AP10+2),65)</f>
        <v>6.5</v>
      </c>
      <c r="AQ11" s="118">
        <f aca="true" t="shared" si="0" ref="AQ11:AQ64">((AP11-0.5*AP11)*0.5*AP11)/(AP11*$E$45*10^3*$E$52*10^-6)</f>
        <v>0.14240521516557345</v>
      </c>
      <c r="AR11" s="118">
        <f aca="true" t="shared" si="1" ref="AR11:AR64">2.12-0.5*AQ11</f>
        <v>2.0487973924172134</v>
      </c>
      <c r="AS11" s="118">
        <f>IF(OR($E$52=""),"",(0.5*AP11*AR11))</f>
        <v>6.658591525355943</v>
      </c>
      <c r="AT11" s="107">
        <f aca="true" t="shared" si="2" ref="AT11:AT64">IF(OR($E$24="",$E$38=""),"",($E$38*$E$24))</f>
        <v>6.44848484848485</v>
      </c>
      <c r="AU11" s="118"/>
      <c r="AV11" s="118"/>
    </row>
    <row r="12" spans="1:48" ht="12.75">
      <c r="A12" s="34"/>
      <c r="B12" s="34"/>
      <c r="C12" s="34"/>
      <c r="D12" s="34"/>
      <c r="E12" s="36"/>
      <c r="F12" s="36"/>
      <c r="G12" s="34"/>
      <c r="H12" s="34"/>
      <c r="I12" s="34"/>
      <c r="J12" s="34"/>
      <c r="K12" s="34"/>
      <c r="L12" s="34"/>
      <c r="M12" s="34"/>
      <c r="N12" s="34"/>
      <c r="O12" s="34"/>
      <c r="P12" s="34"/>
      <c r="Q12" s="34"/>
      <c r="R12" s="34"/>
      <c r="S12" s="34"/>
      <c r="X12" s="7"/>
      <c r="Y12" s="8"/>
      <c r="AB12" s="4"/>
      <c r="AC12" s="107"/>
      <c r="AD12" s="107"/>
      <c r="AE12" s="107"/>
      <c r="AF12" s="107" t="s">
        <v>255</v>
      </c>
      <c r="AG12" s="107"/>
      <c r="AH12" s="118"/>
      <c r="AI12" s="118"/>
      <c r="AJ12" s="118"/>
      <c r="AK12" s="118">
        <f>0.6*E19</f>
        <v>2.6999999999999997</v>
      </c>
      <c r="AL12" s="118" t="s">
        <v>62</v>
      </c>
      <c r="AM12" s="118"/>
      <c r="AN12" s="123">
        <v>4.5</v>
      </c>
      <c r="AO12" s="118"/>
      <c r="AP12" s="143">
        <f aca="true" t="shared" si="3" ref="AP12:AP54">IF((AP11+2)&lt;65,(AP11+2),65)</f>
        <v>8.5</v>
      </c>
      <c r="AQ12" s="118">
        <f t="shared" si="0"/>
        <v>0.18622220444728838</v>
      </c>
      <c r="AR12" s="118">
        <f t="shared" si="1"/>
        <v>2.026888897776356</v>
      </c>
      <c r="AS12" s="118">
        <f aca="true" t="shared" si="4" ref="AS12:AS64">IF(OR($E$52=""),"",(0.5*AP12*AR12))</f>
        <v>8.614277815549514</v>
      </c>
      <c r="AT12" s="107">
        <f t="shared" si="2"/>
        <v>6.44848484848485</v>
      </c>
      <c r="AU12" s="118"/>
      <c r="AV12" s="118"/>
    </row>
    <row r="13" spans="1:48" ht="15.75">
      <c r="A13" s="34"/>
      <c r="B13" s="34" t="s">
        <v>0</v>
      </c>
      <c r="C13" s="34"/>
      <c r="D13" s="92" t="s">
        <v>187</v>
      </c>
      <c r="E13" s="27">
        <v>8</v>
      </c>
      <c r="F13" s="21" t="s">
        <v>62</v>
      </c>
      <c r="G13" s="34"/>
      <c r="H13" s="34"/>
      <c r="I13" s="34"/>
      <c r="J13" s="34"/>
      <c r="K13" s="34"/>
      <c r="L13" s="34"/>
      <c r="M13" s="34"/>
      <c r="N13" s="34"/>
      <c r="O13" s="34"/>
      <c r="P13" s="34"/>
      <c r="Q13" s="34"/>
      <c r="R13" s="34"/>
      <c r="S13" s="34"/>
      <c r="X13" s="7"/>
      <c r="Y13" s="8"/>
      <c r="AB13" s="4"/>
      <c r="AC13" s="108"/>
      <c r="AD13" s="109">
        <v>8</v>
      </c>
      <c r="AE13" s="107"/>
      <c r="AF13" s="107"/>
      <c r="AG13" s="107"/>
      <c r="AH13" s="118"/>
      <c r="AI13" s="118"/>
      <c r="AJ13" s="118"/>
      <c r="AK13" s="118"/>
      <c r="AL13" s="118"/>
      <c r="AM13" s="118"/>
      <c r="AN13" s="123">
        <f>AN12+2</f>
        <v>6.5</v>
      </c>
      <c r="AO13" s="118"/>
      <c r="AP13" s="143">
        <f t="shared" si="3"/>
        <v>10.5</v>
      </c>
      <c r="AQ13" s="118">
        <f t="shared" si="0"/>
        <v>0.23003919372900328</v>
      </c>
      <c r="AR13" s="118">
        <f t="shared" si="1"/>
        <v>2.0049804031354985</v>
      </c>
      <c r="AS13" s="118">
        <f t="shared" si="4"/>
        <v>10.526147116461367</v>
      </c>
      <c r="AT13" s="107">
        <f t="shared" si="2"/>
        <v>6.44848484848485</v>
      </c>
      <c r="AU13" s="118"/>
      <c r="AV13" s="118"/>
    </row>
    <row r="14" spans="1:48" ht="15.75">
      <c r="A14" s="34"/>
      <c r="B14" s="34"/>
      <c r="C14" s="34"/>
      <c r="D14" s="92" t="s">
        <v>188</v>
      </c>
      <c r="E14" s="27">
        <v>7.5</v>
      </c>
      <c r="F14" s="21" t="s">
        <v>62</v>
      </c>
      <c r="G14" s="34"/>
      <c r="H14" s="34"/>
      <c r="I14" s="34"/>
      <c r="J14" s="34"/>
      <c r="K14" s="34"/>
      <c r="L14" s="34"/>
      <c r="M14" s="34"/>
      <c r="N14" s="34"/>
      <c r="O14" s="34"/>
      <c r="P14" s="34"/>
      <c r="Q14" s="34"/>
      <c r="R14" s="34"/>
      <c r="S14" s="34"/>
      <c r="X14" s="7"/>
      <c r="Y14" s="8"/>
      <c r="AB14" s="4"/>
      <c r="AC14" s="108"/>
      <c r="AD14" s="109">
        <v>12</v>
      </c>
      <c r="AE14" s="107"/>
      <c r="AF14" s="107"/>
      <c r="AG14" s="107"/>
      <c r="AH14" s="118"/>
      <c r="AI14" s="118"/>
      <c r="AJ14" s="118"/>
      <c r="AK14" s="118"/>
      <c r="AL14" s="118"/>
      <c r="AM14" s="118"/>
      <c r="AN14" s="123">
        <f aca="true" t="shared" si="5" ref="AN14:AN42">AN13+2</f>
        <v>8.5</v>
      </c>
      <c r="AO14" s="118"/>
      <c r="AP14" s="143">
        <f t="shared" si="3"/>
        <v>12.5</v>
      </c>
      <c r="AQ14" s="118">
        <f t="shared" si="0"/>
        <v>0.27385618301071823</v>
      </c>
      <c r="AR14" s="118">
        <f t="shared" si="1"/>
        <v>1.983071908494641</v>
      </c>
      <c r="AS14" s="118">
        <f t="shared" si="4"/>
        <v>12.394199428091508</v>
      </c>
      <c r="AT14" s="107">
        <f t="shared" si="2"/>
        <v>6.44848484848485</v>
      </c>
      <c r="AU14" s="118"/>
      <c r="AV14" s="118"/>
    </row>
    <row r="15" spans="1:48" ht="15.75">
      <c r="A15" s="34"/>
      <c r="B15" s="34"/>
      <c r="C15" s="34"/>
      <c r="D15" s="92" t="s">
        <v>238</v>
      </c>
      <c r="E15" s="27">
        <v>0.5</v>
      </c>
      <c r="F15" s="21" t="s">
        <v>62</v>
      </c>
      <c r="G15" s="34"/>
      <c r="H15" s="34"/>
      <c r="I15" s="34"/>
      <c r="J15" s="34"/>
      <c r="K15" s="34"/>
      <c r="L15" s="34"/>
      <c r="M15" s="34"/>
      <c r="N15" s="34"/>
      <c r="O15" s="34"/>
      <c r="P15" s="141"/>
      <c r="Q15" s="34"/>
      <c r="R15" s="34"/>
      <c r="S15" s="34"/>
      <c r="X15" s="7"/>
      <c r="Y15" s="8"/>
      <c r="AB15" s="4"/>
      <c r="AC15" s="108"/>
      <c r="AD15" s="110">
        <v>0.7</v>
      </c>
      <c r="AE15" s="107"/>
      <c r="AF15" s="107"/>
      <c r="AG15" s="107"/>
      <c r="AH15" s="118"/>
      <c r="AI15" s="118"/>
      <c r="AJ15" s="118"/>
      <c r="AK15" s="118"/>
      <c r="AL15" s="118"/>
      <c r="AM15" s="118"/>
      <c r="AN15" s="123">
        <f t="shared" si="5"/>
        <v>10.5</v>
      </c>
      <c r="AO15" s="118"/>
      <c r="AP15" s="143">
        <f t="shared" si="3"/>
        <v>14.5</v>
      </c>
      <c r="AQ15" s="118">
        <f t="shared" si="0"/>
        <v>0.3176731722924332</v>
      </c>
      <c r="AR15" s="118">
        <f t="shared" si="1"/>
        <v>1.9611634138537835</v>
      </c>
      <c r="AS15" s="118">
        <f t="shared" si="4"/>
        <v>14.21843475043993</v>
      </c>
      <c r="AT15" s="107">
        <f t="shared" si="2"/>
        <v>6.44848484848485</v>
      </c>
      <c r="AU15" s="118"/>
      <c r="AV15" s="118"/>
    </row>
    <row r="16" spans="1:48" ht="12.75">
      <c r="A16" s="34"/>
      <c r="B16" s="34"/>
      <c r="C16" s="34"/>
      <c r="D16" s="92" t="s">
        <v>114</v>
      </c>
      <c r="E16" s="5">
        <f>IF(OR(E13="",E14="",E15=""),"",$R$37)</f>
        <v>1</v>
      </c>
      <c r="F16" s="21"/>
      <c r="G16" s="34"/>
      <c r="H16" s="34"/>
      <c r="I16" s="34"/>
      <c r="J16" s="34"/>
      <c r="K16" s="34"/>
      <c r="L16" s="34"/>
      <c r="M16" s="34"/>
      <c r="N16" s="34"/>
      <c r="O16" s="34"/>
      <c r="P16" s="34"/>
      <c r="Q16" s="34"/>
      <c r="R16" s="34"/>
      <c r="S16" s="34"/>
      <c r="Y16" s="7"/>
      <c r="Z16" s="8"/>
      <c r="AB16" s="4"/>
      <c r="AC16" s="108"/>
      <c r="AD16" s="111">
        <f>IF(OR(AD13="",AD14="",AD15=""),"",$R$37)</f>
        <v>1</v>
      </c>
      <c r="AE16" s="107"/>
      <c r="AF16" s="107"/>
      <c r="AG16" s="107"/>
      <c r="AH16" s="118"/>
      <c r="AI16" s="118"/>
      <c r="AJ16" s="118"/>
      <c r="AK16" s="118"/>
      <c r="AL16" s="118"/>
      <c r="AM16" s="118"/>
      <c r="AN16" s="123">
        <f t="shared" si="5"/>
        <v>12.5</v>
      </c>
      <c r="AO16" s="118"/>
      <c r="AP16" s="143">
        <f t="shared" si="3"/>
        <v>16.5</v>
      </c>
      <c r="AQ16" s="118">
        <f t="shared" si="0"/>
        <v>0.36149016157414804</v>
      </c>
      <c r="AR16" s="118">
        <f t="shared" si="1"/>
        <v>1.939254919212926</v>
      </c>
      <c r="AS16" s="118">
        <f t="shared" si="4"/>
        <v>15.99885308350664</v>
      </c>
      <c r="AT16" s="107">
        <f t="shared" si="2"/>
        <v>6.44848484848485</v>
      </c>
      <c r="AU16" s="118"/>
      <c r="AV16" s="118"/>
    </row>
    <row r="17" spans="1:48" ht="12.75">
      <c r="A17" s="34"/>
      <c r="B17" s="34"/>
      <c r="C17" s="34"/>
      <c r="D17" s="92" t="s">
        <v>115</v>
      </c>
      <c r="E17" s="28">
        <v>1</v>
      </c>
      <c r="F17" s="21"/>
      <c r="G17" s="34"/>
      <c r="H17" s="34"/>
      <c r="I17" s="34"/>
      <c r="J17" s="34"/>
      <c r="K17" s="34"/>
      <c r="L17" s="34"/>
      <c r="M17" s="34"/>
      <c r="N17" s="34"/>
      <c r="O17" s="34"/>
      <c r="P17" s="34"/>
      <c r="Q17" s="34"/>
      <c r="R17" s="34"/>
      <c r="S17" s="34"/>
      <c r="Y17" s="7"/>
      <c r="Z17" s="8"/>
      <c r="AB17" s="4"/>
      <c r="AC17" s="108"/>
      <c r="AD17" s="112">
        <v>0.67</v>
      </c>
      <c r="AE17" s="107"/>
      <c r="AF17" s="107"/>
      <c r="AG17" s="107"/>
      <c r="AH17" s="118"/>
      <c r="AI17" s="118"/>
      <c r="AJ17" s="118"/>
      <c r="AK17" s="118"/>
      <c r="AL17" s="118"/>
      <c r="AM17" s="118"/>
      <c r="AN17" s="123">
        <f t="shared" si="5"/>
        <v>14.5</v>
      </c>
      <c r="AO17" s="118"/>
      <c r="AP17" s="143">
        <f t="shared" si="3"/>
        <v>18.5</v>
      </c>
      <c r="AQ17" s="118">
        <f t="shared" si="0"/>
        <v>0.405307150855863</v>
      </c>
      <c r="AR17" s="118">
        <f t="shared" si="1"/>
        <v>1.9173464245720686</v>
      </c>
      <c r="AS17" s="118">
        <f t="shared" si="4"/>
        <v>17.735454427291636</v>
      </c>
      <c r="AT17" s="107">
        <f t="shared" si="2"/>
        <v>6.44848484848485</v>
      </c>
      <c r="AU17" s="118"/>
      <c r="AV17" s="118"/>
    </row>
    <row r="18" spans="1:48" ht="15.75">
      <c r="A18" s="34"/>
      <c r="B18" s="34"/>
      <c r="C18" s="34"/>
      <c r="D18" s="92" t="s">
        <v>189</v>
      </c>
      <c r="E18" s="5">
        <f>IF(E17="","",$R$41)</f>
        <v>7.5</v>
      </c>
      <c r="F18" s="21" t="s">
        <v>62</v>
      </c>
      <c r="G18" s="34"/>
      <c r="H18" s="34"/>
      <c r="I18" s="34"/>
      <c r="J18" s="34"/>
      <c r="K18" s="34"/>
      <c r="L18" s="34"/>
      <c r="M18" s="34"/>
      <c r="N18" s="34"/>
      <c r="O18" s="34"/>
      <c r="P18" s="34"/>
      <c r="Q18" s="34"/>
      <c r="R18" s="34"/>
      <c r="S18" s="34"/>
      <c r="Y18" s="7"/>
      <c r="Z18" s="8"/>
      <c r="AB18" s="4"/>
      <c r="AC18" s="108"/>
      <c r="AD18" s="111">
        <f>IF(AD17="","",$R$41)</f>
        <v>7.5</v>
      </c>
      <c r="AE18" s="107"/>
      <c r="AF18" s="107"/>
      <c r="AG18" s="107"/>
      <c r="AH18" s="118"/>
      <c r="AI18" s="118"/>
      <c r="AJ18" s="118"/>
      <c r="AK18" s="118"/>
      <c r="AL18" s="118"/>
      <c r="AM18" s="118"/>
      <c r="AN18" s="123">
        <f t="shared" si="5"/>
        <v>16.5</v>
      </c>
      <c r="AO18" s="118"/>
      <c r="AP18" s="143">
        <f t="shared" si="3"/>
        <v>20.5</v>
      </c>
      <c r="AQ18" s="118">
        <f t="shared" si="0"/>
        <v>0.4491241401375779</v>
      </c>
      <c r="AR18" s="118">
        <f t="shared" si="1"/>
        <v>1.8954379299312112</v>
      </c>
      <c r="AS18" s="118">
        <f t="shared" si="4"/>
        <v>19.428238781794914</v>
      </c>
      <c r="AT18" s="107">
        <f t="shared" si="2"/>
        <v>6.44848484848485</v>
      </c>
      <c r="AU18" s="118"/>
      <c r="AV18" s="118"/>
    </row>
    <row r="19" spans="1:48" ht="15.75">
      <c r="A19" s="34"/>
      <c r="B19" s="34"/>
      <c r="C19" s="34"/>
      <c r="D19" s="92" t="s">
        <v>190</v>
      </c>
      <c r="E19" s="28">
        <v>4.5</v>
      </c>
      <c r="F19" s="21" t="s">
        <v>62</v>
      </c>
      <c r="G19" s="34"/>
      <c r="H19" s="34"/>
      <c r="I19" s="34"/>
      <c r="J19" s="34"/>
      <c r="K19" s="34"/>
      <c r="L19" s="34"/>
      <c r="M19" s="34"/>
      <c r="N19" s="34"/>
      <c r="O19" s="34"/>
      <c r="P19" s="34"/>
      <c r="Q19" s="34"/>
      <c r="R19" s="34"/>
      <c r="S19" s="34"/>
      <c r="Y19" s="7"/>
      <c r="Z19" s="8"/>
      <c r="AB19" s="4"/>
      <c r="AC19" s="108"/>
      <c r="AD19" s="112">
        <v>18</v>
      </c>
      <c r="AE19" s="107"/>
      <c r="AF19" s="107" t="s">
        <v>262</v>
      </c>
      <c r="AG19" s="107"/>
      <c r="AH19" s="118"/>
      <c r="AI19" s="118"/>
      <c r="AJ19" s="118"/>
      <c r="AK19" s="118">
        <f>VLOOKUP($E$20,AP10:AP64,1,TRUE)</f>
        <v>4.5</v>
      </c>
      <c r="AL19" s="118"/>
      <c r="AM19" s="118"/>
      <c r="AN19" s="123">
        <f t="shared" si="5"/>
        <v>18.5</v>
      </c>
      <c r="AO19" s="118"/>
      <c r="AP19" s="143">
        <f t="shared" si="3"/>
        <v>22.5</v>
      </c>
      <c r="AQ19" s="118">
        <f t="shared" si="0"/>
        <v>0.4929411294192929</v>
      </c>
      <c r="AR19" s="118">
        <f t="shared" si="1"/>
        <v>1.8735294352903535</v>
      </c>
      <c r="AS19" s="118">
        <f t="shared" si="4"/>
        <v>21.077206147016476</v>
      </c>
      <c r="AT19" s="107">
        <f t="shared" si="2"/>
        <v>6.44848484848485</v>
      </c>
      <c r="AU19" s="118"/>
      <c r="AV19" s="118"/>
    </row>
    <row r="20" spans="1:48" ht="15.75">
      <c r="A20" s="34"/>
      <c r="B20" s="34"/>
      <c r="C20" s="34"/>
      <c r="D20" s="92" t="s">
        <v>191</v>
      </c>
      <c r="E20" s="28">
        <v>5</v>
      </c>
      <c r="F20" s="21" t="s">
        <v>62</v>
      </c>
      <c r="G20" s="34"/>
      <c r="H20" s="34"/>
      <c r="I20" s="34"/>
      <c r="J20" s="34"/>
      <c r="K20" s="34"/>
      <c r="L20" s="34"/>
      <c r="M20" s="34"/>
      <c r="N20" s="34"/>
      <c r="O20" s="34"/>
      <c r="P20" s="34"/>
      <c r="Q20" s="34"/>
      <c r="R20" s="34"/>
      <c r="S20" s="34"/>
      <c r="Y20" s="7"/>
      <c r="Z20" s="8"/>
      <c r="AB20" s="4"/>
      <c r="AC20" s="108"/>
      <c r="AD20" s="112">
        <v>24</v>
      </c>
      <c r="AE20" s="107"/>
      <c r="AF20" s="107" t="s">
        <v>263</v>
      </c>
      <c r="AG20" s="107"/>
      <c r="AH20" s="118"/>
      <c r="AI20" s="118"/>
      <c r="AJ20" s="118"/>
      <c r="AK20" s="118" t="e">
        <f>VLOOKUP($E$20,AT10:AT64,1,TRUE)</f>
        <v>#N/A</v>
      </c>
      <c r="AL20" s="118"/>
      <c r="AM20" s="118"/>
      <c r="AN20" s="123">
        <f t="shared" si="5"/>
        <v>20.5</v>
      </c>
      <c r="AO20" s="118"/>
      <c r="AP20" s="143">
        <f t="shared" si="3"/>
        <v>24.5</v>
      </c>
      <c r="AQ20" s="118">
        <f t="shared" si="0"/>
        <v>0.5367581187010078</v>
      </c>
      <c r="AR20" s="118">
        <f t="shared" si="1"/>
        <v>1.8516209406494961</v>
      </c>
      <c r="AS20" s="118">
        <f t="shared" si="4"/>
        <v>22.682356522956326</v>
      </c>
      <c r="AT20" s="107">
        <f t="shared" si="2"/>
        <v>6.44848484848485</v>
      </c>
      <c r="AU20" s="118"/>
      <c r="AV20" s="118"/>
    </row>
    <row r="21" spans="1:48" ht="15.75">
      <c r="A21" s="34"/>
      <c r="B21" s="34"/>
      <c r="C21" s="34"/>
      <c r="D21" s="92" t="s">
        <v>192</v>
      </c>
      <c r="E21" s="28">
        <v>5.5</v>
      </c>
      <c r="F21" s="21" t="s">
        <v>62</v>
      </c>
      <c r="G21" s="34"/>
      <c r="H21" s="34"/>
      <c r="I21" s="34"/>
      <c r="J21" s="34"/>
      <c r="K21" s="34"/>
      <c r="L21" s="34"/>
      <c r="M21" s="34"/>
      <c r="N21" s="34"/>
      <c r="O21" s="34"/>
      <c r="P21" s="119"/>
      <c r="Q21" s="119"/>
      <c r="R21" s="119"/>
      <c r="S21" s="119"/>
      <c r="T21" s="118"/>
      <c r="U21" s="118"/>
      <c r="V21" s="118"/>
      <c r="W21" s="118"/>
      <c r="X21" s="118"/>
      <c r="Y21" s="120"/>
      <c r="Z21" s="121"/>
      <c r="AB21" s="4"/>
      <c r="AC21" s="108"/>
      <c r="AD21" s="112">
        <v>32</v>
      </c>
      <c r="AE21" s="107"/>
      <c r="AF21" s="107"/>
      <c r="AG21" s="107"/>
      <c r="AH21" s="118"/>
      <c r="AI21" s="118"/>
      <c r="AJ21" s="118"/>
      <c r="AK21" s="118"/>
      <c r="AL21" s="118"/>
      <c r="AM21" s="118"/>
      <c r="AN21" s="123">
        <f t="shared" si="5"/>
        <v>22.5</v>
      </c>
      <c r="AO21" s="118"/>
      <c r="AP21" s="143">
        <f t="shared" si="3"/>
        <v>26.5</v>
      </c>
      <c r="AQ21" s="118">
        <f t="shared" si="0"/>
        <v>0.5805751079827226</v>
      </c>
      <c r="AR21" s="118">
        <f t="shared" si="1"/>
        <v>1.8297124460086387</v>
      </c>
      <c r="AS21" s="118">
        <f t="shared" si="4"/>
        <v>24.243689909614464</v>
      </c>
      <c r="AT21" s="107">
        <f t="shared" si="2"/>
        <v>6.44848484848485</v>
      </c>
      <c r="AU21" s="118"/>
      <c r="AV21" s="118"/>
    </row>
    <row r="22" spans="1:48" ht="15.75">
      <c r="A22" s="34"/>
      <c r="B22" s="34"/>
      <c r="C22" s="34"/>
      <c r="D22" s="92" t="s">
        <v>193</v>
      </c>
      <c r="E22" s="28">
        <v>0.6</v>
      </c>
      <c r="F22" s="21" t="s">
        <v>117</v>
      </c>
      <c r="G22" s="34"/>
      <c r="H22" s="34"/>
      <c r="I22" s="34"/>
      <c r="J22" s="34"/>
      <c r="K22" s="34"/>
      <c r="L22" s="34"/>
      <c r="M22" s="34"/>
      <c r="N22" s="34"/>
      <c r="O22" s="34"/>
      <c r="P22" s="119"/>
      <c r="Q22" s="119"/>
      <c r="R22" s="119"/>
      <c r="S22" s="119"/>
      <c r="T22" s="118"/>
      <c r="U22" s="118"/>
      <c r="V22" s="118"/>
      <c r="W22" s="118"/>
      <c r="X22" s="118"/>
      <c r="Y22" s="120"/>
      <c r="Z22" s="121"/>
      <c r="AB22" s="4"/>
      <c r="AC22" s="108"/>
      <c r="AD22" s="112">
        <v>0.4</v>
      </c>
      <c r="AE22" s="107"/>
      <c r="AF22" s="107"/>
      <c r="AG22" s="107"/>
      <c r="AH22" s="118"/>
      <c r="AI22" s="118"/>
      <c r="AJ22" s="118"/>
      <c r="AK22" s="118"/>
      <c r="AL22" s="118"/>
      <c r="AM22" s="118"/>
      <c r="AN22" s="123">
        <f t="shared" si="5"/>
        <v>24.5</v>
      </c>
      <c r="AO22" s="118"/>
      <c r="AP22" s="143">
        <f t="shared" si="3"/>
        <v>28.5</v>
      </c>
      <c r="AQ22" s="118">
        <f t="shared" si="0"/>
        <v>0.6243920972644376</v>
      </c>
      <c r="AR22" s="118">
        <f t="shared" si="1"/>
        <v>1.8078039513677813</v>
      </c>
      <c r="AS22" s="118">
        <f t="shared" si="4"/>
        <v>25.761206306990882</v>
      </c>
      <c r="AT22" s="107">
        <f t="shared" si="2"/>
        <v>6.44848484848485</v>
      </c>
      <c r="AU22" s="118"/>
      <c r="AV22" s="118"/>
    </row>
    <row r="23" spans="1:48" ht="15.75">
      <c r="A23" s="34"/>
      <c r="B23" s="34"/>
      <c r="C23" s="34"/>
      <c r="D23" s="92" t="s">
        <v>194</v>
      </c>
      <c r="E23" s="28">
        <v>0.2</v>
      </c>
      <c r="F23" s="21" t="s">
        <v>117</v>
      </c>
      <c r="G23" s="34"/>
      <c r="H23" s="34"/>
      <c r="I23" s="34"/>
      <c r="J23" s="34"/>
      <c r="K23" s="34"/>
      <c r="L23" s="34"/>
      <c r="M23" s="34"/>
      <c r="N23" s="34"/>
      <c r="O23" s="34"/>
      <c r="P23" s="119"/>
      <c r="Q23" s="119"/>
      <c r="R23" s="119"/>
      <c r="S23" s="119"/>
      <c r="T23" s="118"/>
      <c r="U23" s="118"/>
      <c r="V23" s="118"/>
      <c r="W23" s="118"/>
      <c r="X23" s="118"/>
      <c r="Y23" s="118"/>
      <c r="Z23" s="118"/>
      <c r="AB23" s="4"/>
      <c r="AC23" s="108"/>
      <c r="AD23" s="112">
        <v>0</v>
      </c>
      <c r="AE23" s="107"/>
      <c r="AF23" s="107"/>
      <c r="AG23" s="107"/>
      <c r="AH23" s="118"/>
      <c r="AI23" s="118"/>
      <c r="AJ23" s="118"/>
      <c r="AK23" s="118"/>
      <c r="AL23" s="118"/>
      <c r="AM23" s="118"/>
      <c r="AN23" s="123">
        <f t="shared" si="5"/>
        <v>26.5</v>
      </c>
      <c r="AO23" s="118"/>
      <c r="AP23" s="143">
        <f t="shared" si="3"/>
        <v>30.5</v>
      </c>
      <c r="AQ23" s="118">
        <f t="shared" si="0"/>
        <v>0.6682090865461525</v>
      </c>
      <c r="AR23" s="118">
        <f t="shared" si="1"/>
        <v>1.7858954567269238</v>
      </c>
      <c r="AS23" s="118">
        <f t="shared" si="4"/>
        <v>27.23490571508559</v>
      </c>
      <c r="AT23" s="107">
        <f t="shared" si="2"/>
        <v>6.44848484848485</v>
      </c>
      <c r="AU23" s="118"/>
      <c r="AV23" s="118"/>
    </row>
    <row r="24" spans="1:48" ht="15.75">
      <c r="A24" s="34"/>
      <c r="B24" s="34"/>
      <c r="C24" s="34"/>
      <c r="D24" s="92" t="s">
        <v>144</v>
      </c>
      <c r="E24" s="5">
        <f>IF(OR(E22="",E23=""),"",$R$42)</f>
        <v>0.8</v>
      </c>
      <c r="F24" s="21" t="s">
        <v>117</v>
      </c>
      <c r="G24" s="34"/>
      <c r="H24" s="34"/>
      <c r="I24" s="34"/>
      <c r="J24" s="34"/>
      <c r="K24" s="34"/>
      <c r="L24" s="34"/>
      <c r="M24" s="34"/>
      <c r="N24" s="34"/>
      <c r="O24" s="34"/>
      <c r="P24" s="119"/>
      <c r="Q24" s="119"/>
      <c r="R24" s="119"/>
      <c r="S24" s="119"/>
      <c r="T24" s="118"/>
      <c r="U24" s="118"/>
      <c r="V24" s="118"/>
      <c r="W24" s="118"/>
      <c r="X24" s="118"/>
      <c r="Y24" s="118"/>
      <c r="Z24" s="118"/>
      <c r="AB24" s="4"/>
      <c r="AC24" s="108"/>
      <c r="AD24" s="111">
        <f>IF(OR(AD22="",AD23=""),"",$R$42)</f>
        <v>0.8</v>
      </c>
      <c r="AE24" s="107"/>
      <c r="AF24" s="107"/>
      <c r="AG24" s="107"/>
      <c r="AH24" s="118"/>
      <c r="AI24" s="118"/>
      <c r="AJ24" s="118"/>
      <c r="AK24" s="118"/>
      <c r="AL24" s="118"/>
      <c r="AM24" s="118"/>
      <c r="AN24" s="123">
        <f t="shared" si="5"/>
        <v>28.5</v>
      </c>
      <c r="AO24" s="118"/>
      <c r="AP24" s="143">
        <f t="shared" si="3"/>
        <v>32.5</v>
      </c>
      <c r="AQ24" s="118">
        <f t="shared" si="0"/>
        <v>0.7120260758278675</v>
      </c>
      <c r="AR24" s="118">
        <f t="shared" si="1"/>
        <v>1.7639869620860664</v>
      </c>
      <c r="AS24" s="118">
        <f t="shared" si="4"/>
        <v>28.66478813389858</v>
      </c>
      <c r="AT24" s="107">
        <f t="shared" si="2"/>
        <v>6.44848484848485</v>
      </c>
      <c r="AU24" s="118"/>
      <c r="AV24" s="118"/>
    </row>
    <row r="25" spans="1:48" ht="12.75">
      <c r="A25" s="34"/>
      <c r="B25" s="34"/>
      <c r="C25" s="34"/>
      <c r="D25" s="38"/>
      <c r="E25" s="39"/>
      <c r="F25" s="36"/>
      <c r="G25" s="34"/>
      <c r="H25" s="34"/>
      <c r="I25" s="34"/>
      <c r="J25" s="34"/>
      <c r="K25" s="34"/>
      <c r="L25" s="34"/>
      <c r="M25" s="34"/>
      <c r="N25" s="34"/>
      <c r="O25" s="34"/>
      <c r="P25" s="119"/>
      <c r="Q25" s="119" t="s">
        <v>156</v>
      </c>
      <c r="R25" s="122">
        <f>E27</f>
        <v>3</v>
      </c>
      <c r="S25" s="119" t="s">
        <v>62</v>
      </c>
      <c r="T25" s="118"/>
      <c r="U25" s="118"/>
      <c r="V25" s="118"/>
      <c r="W25" s="118"/>
      <c r="X25" s="118"/>
      <c r="Y25" s="118"/>
      <c r="Z25" s="118"/>
      <c r="AB25" s="4"/>
      <c r="AC25" s="108"/>
      <c r="AD25" s="109"/>
      <c r="AE25" s="107"/>
      <c r="AF25" s="107"/>
      <c r="AG25" s="107"/>
      <c r="AH25" s="118"/>
      <c r="AI25" s="118"/>
      <c r="AJ25" s="118"/>
      <c r="AK25" s="118"/>
      <c r="AL25" s="118"/>
      <c r="AM25" s="118"/>
      <c r="AN25" s="123">
        <f t="shared" si="5"/>
        <v>30.5</v>
      </c>
      <c r="AO25" s="118"/>
      <c r="AP25" s="143">
        <f t="shared" si="3"/>
        <v>34.5</v>
      </c>
      <c r="AQ25" s="118">
        <f t="shared" si="0"/>
        <v>0.7558430651095823</v>
      </c>
      <c r="AR25" s="118">
        <f t="shared" si="1"/>
        <v>1.742078467445209</v>
      </c>
      <c r="AS25" s="118">
        <f t="shared" si="4"/>
        <v>30.050853563429854</v>
      </c>
      <c r="AT25" s="107">
        <f t="shared" si="2"/>
        <v>6.44848484848485</v>
      </c>
      <c r="AU25" s="118"/>
      <c r="AV25" s="118"/>
    </row>
    <row r="26" spans="1:48" ht="15.75">
      <c r="A26" s="34"/>
      <c r="B26" s="34" t="s">
        <v>110</v>
      </c>
      <c r="C26" s="34"/>
      <c r="D26" s="92" t="s">
        <v>195</v>
      </c>
      <c r="E26" s="29">
        <v>4.5</v>
      </c>
      <c r="F26" s="21" t="s">
        <v>62</v>
      </c>
      <c r="G26" s="34"/>
      <c r="H26" s="34"/>
      <c r="I26" s="34"/>
      <c r="J26" s="34"/>
      <c r="K26" s="34"/>
      <c r="L26" s="34"/>
      <c r="M26" s="34"/>
      <c r="N26" s="34"/>
      <c r="O26" s="34"/>
      <c r="P26" s="119"/>
      <c r="Q26" s="119" t="s">
        <v>155</v>
      </c>
      <c r="R26" s="122">
        <f>E26</f>
        <v>4.5</v>
      </c>
      <c r="S26" s="119" t="s">
        <v>62</v>
      </c>
      <c r="T26" s="118"/>
      <c r="U26" s="118"/>
      <c r="V26" s="118"/>
      <c r="W26" s="118"/>
      <c r="X26" s="118"/>
      <c r="Y26" s="118"/>
      <c r="Z26" s="118"/>
      <c r="AB26" s="4"/>
      <c r="AC26" s="108"/>
      <c r="AD26" s="112">
        <v>15</v>
      </c>
      <c r="AE26" s="107"/>
      <c r="AF26" s="107"/>
      <c r="AG26" s="107"/>
      <c r="AH26" s="118"/>
      <c r="AI26" s="118"/>
      <c r="AJ26" s="118"/>
      <c r="AK26" s="118"/>
      <c r="AL26" s="118"/>
      <c r="AM26" s="118"/>
      <c r="AN26" s="123">
        <f t="shared" si="5"/>
        <v>32.5</v>
      </c>
      <c r="AO26" s="118"/>
      <c r="AP26" s="143">
        <f t="shared" si="3"/>
        <v>36.5</v>
      </c>
      <c r="AQ26" s="118">
        <f t="shared" si="0"/>
        <v>0.7996600543912973</v>
      </c>
      <c r="AR26" s="118">
        <f t="shared" si="1"/>
        <v>1.7201699728043516</v>
      </c>
      <c r="AS26" s="118">
        <f t="shared" si="4"/>
        <v>31.393102003679417</v>
      </c>
      <c r="AT26" s="107">
        <f t="shared" si="2"/>
        <v>6.44848484848485</v>
      </c>
      <c r="AU26" s="118"/>
      <c r="AV26" s="118"/>
    </row>
    <row r="27" spans="1:48" ht="15.75">
      <c r="A27" s="34"/>
      <c r="B27" s="34"/>
      <c r="C27" s="34"/>
      <c r="D27" s="92" t="s">
        <v>196</v>
      </c>
      <c r="E27" s="29">
        <v>3</v>
      </c>
      <c r="F27" s="21" t="s">
        <v>62</v>
      </c>
      <c r="G27" s="34"/>
      <c r="H27" s="34"/>
      <c r="I27" s="34"/>
      <c r="J27" s="34"/>
      <c r="K27" s="34"/>
      <c r="L27" s="34"/>
      <c r="M27" s="34"/>
      <c r="N27" s="34"/>
      <c r="O27" s="34"/>
      <c r="P27" s="119"/>
      <c r="Q27" s="119" t="s">
        <v>154</v>
      </c>
      <c r="R27" s="119">
        <f>R25/(20*10^-6*10^3)</f>
        <v>150.00000000000003</v>
      </c>
      <c r="S27" s="119" t="s">
        <v>157</v>
      </c>
      <c r="T27" s="123">
        <f>E29</f>
        <v>49.9</v>
      </c>
      <c r="U27" s="118" t="s">
        <v>159</v>
      </c>
      <c r="V27" s="118" t="s">
        <v>160</v>
      </c>
      <c r="W27" s="118"/>
      <c r="X27" s="118"/>
      <c r="Y27" s="118"/>
      <c r="Z27" s="118"/>
      <c r="AB27" s="4"/>
      <c r="AC27" s="108"/>
      <c r="AD27" s="112">
        <v>2.5</v>
      </c>
      <c r="AE27" s="107"/>
      <c r="AF27" s="107"/>
      <c r="AG27" s="107"/>
      <c r="AH27" s="118"/>
      <c r="AI27" s="118"/>
      <c r="AJ27" s="118"/>
      <c r="AK27" s="118"/>
      <c r="AL27" s="118"/>
      <c r="AM27" s="118"/>
      <c r="AN27" s="123">
        <f t="shared" si="5"/>
        <v>34.5</v>
      </c>
      <c r="AO27" s="118"/>
      <c r="AP27" s="143">
        <f t="shared" si="3"/>
        <v>38.5</v>
      </c>
      <c r="AQ27" s="118">
        <f t="shared" si="0"/>
        <v>0.8434770436730121</v>
      </c>
      <c r="AR27" s="118">
        <f t="shared" si="1"/>
        <v>1.6982614781634942</v>
      </c>
      <c r="AS27" s="118">
        <f t="shared" si="4"/>
        <v>32.691533454647264</v>
      </c>
      <c r="AT27" s="107">
        <f t="shared" si="2"/>
        <v>6.44848484848485</v>
      </c>
      <c r="AU27" s="118"/>
      <c r="AV27" s="118"/>
    </row>
    <row r="28" spans="1:48" ht="15.75">
      <c r="A28" s="34"/>
      <c r="B28" s="34"/>
      <c r="C28" s="34"/>
      <c r="D28" s="92" t="s">
        <v>197</v>
      </c>
      <c r="E28" s="40">
        <f>IF(OR(E26="",E27=""),"",$R$27)</f>
        <v>150.00000000000003</v>
      </c>
      <c r="F28" s="21" t="s">
        <v>207</v>
      </c>
      <c r="G28" s="34"/>
      <c r="H28" s="34"/>
      <c r="I28" s="34"/>
      <c r="J28" s="34"/>
      <c r="K28" s="34"/>
      <c r="L28" s="34"/>
      <c r="M28" s="34"/>
      <c r="N28" s="34"/>
      <c r="O28" s="34"/>
      <c r="P28" s="119"/>
      <c r="Q28" s="119" t="s">
        <v>158</v>
      </c>
      <c r="R28" s="119">
        <f>T27/((R26/1.24)-1)</f>
        <v>18.98036809815951</v>
      </c>
      <c r="S28" s="119" t="s">
        <v>157</v>
      </c>
      <c r="T28" s="123">
        <f>E31</f>
        <v>22.6</v>
      </c>
      <c r="U28" s="118" t="s">
        <v>159</v>
      </c>
      <c r="V28" s="118" t="s">
        <v>160</v>
      </c>
      <c r="W28" s="118"/>
      <c r="X28" s="118"/>
      <c r="Y28" s="118"/>
      <c r="Z28" s="118"/>
      <c r="AB28" s="4"/>
      <c r="AC28" s="108"/>
      <c r="AD28" s="110">
        <f>IF(OR(AD26="",AD27=""),"",$R$27)</f>
        <v>150.00000000000003</v>
      </c>
      <c r="AE28" s="107"/>
      <c r="AF28" s="107"/>
      <c r="AG28" s="107"/>
      <c r="AH28" s="118"/>
      <c r="AI28" s="118"/>
      <c r="AJ28" s="118"/>
      <c r="AK28" s="118"/>
      <c r="AL28" s="118"/>
      <c r="AM28" s="118"/>
      <c r="AN28" s="123">
        <f t="shared" si="5"/>
        <v>36.5</v>
      </c>
      <c r="AO28" s="118"/>
      <c r="AP28" s="143">
        <f t="shared" si="3"/>
        <v>40.5</v>
      </c>
      <c r="AQ28" s="118">
        <f t="shared" si="0"/>
        <v>0.887294032954727</v>
      </c>
      <c r="AR28" s="118">
        <f t="shared" si="1"/>
        <v>1.6763529835226367</v>
      </c>
      <c r="AS28" s="118">
        <f t="shared" si="4"/>
        <v>33.946147916333395</v>
      </c>
      <c r="AT28" s="107">
        <f t="shared" si="2"/>
        <v>6.44848484848485</v>
      </c>
      <c r="AU28" s="118"/>
      <c r="AV28" s="118"/>
    </row>
    <row r="29" spans="1:48" ht="15.75">
      <c r="A29" s="34"/>
      <c r="B29" s="34"/>
      <c r="C29" s="34"/>
      <c r="D29" s="92" t="s">
        <v>198</v>
      </c>
      <c r="E29" s="29">
        <v>49.9</v>
      </c>
      <c r="F29" s="21" t="s">
        <v>207</v>
      </c>
      <c r="G29" s="34"/>
      <c r="H29" s="34"/>
      <c r="I29" s="34"/>
      <c r="J29" s="34"/>
      <c r="K29" s="34"/>
      <c r="L29" s="34"/>
      <c r="M29" s="34"/>
      <c r="N29" s="34"/>
      <c r="O29" s="34"/>
      <c r="P29" s="119"/>
      <c r="Q29" s="119" t="s">
        <v>182</v>
      </c>
      <c r="R29" s="119">
        <f>1.24/$T$28*($T$28+$T$27)</f>
        <v>3.97787610619469</v>
      </c>
      <c r="S29" s="119" t="s">
        <v>62</v>
      </c>
      <c r="T29" s="118"/>
      <c r="U29" s="118"/>
      <c r="V29" s="118"/>
      <c r="W29" s="118"/>
      <c r="X29" s="118"/>
      <c r="Y29" s="118"/>
      <c r="Z29" s="118"/>
      <c r="AB29" s="4"/>
      <c r="AC29" s="108"/>
      <c r="AD29" s="112">
        <v>127</v>
      </c>
      <c r="AE29" s="107"/>
      <c r="AF29" s="107"/>
      <c r="AG29" s="107"/>
      <c r="AH29" s="118"/>
      <c r="AI29" s="118"/>
      <c r="AJ29" s="118"/>
      <c r="AK29" s="118"/>
      <c r="AL29" s="118"/>
      <c r="AM29" s="118"/>
      <c r="AN29" s="123">
        <f t="shared" si="5"/>
        <v>38.5</v>
      </c>
      <c r="AO29" s="118"/>
      <c r="AP29" s="143">
        <f t="shared" si="3"/>
        <v>42.5</v>
      </c>
      <c r="AQ29" s="118">
        <f t="shared" si="0"/>
        <v>0.931111022236442</v>
      </c>
      <c r="AR29" s="118">
        <f t="shared" si="1"/>
        <v>1.654444488881779</v>
      </c>
      <c r="AS29" s="118">
        <f t="shared" si="4"/>
        <v>35.1569453887378</v>
      </c>
      <c r="AT29" s="107">
        <f t="shared" si="2"/>
        <v>6.44848484848485</v>
      </c>
      <c r="AU29" s="118"/>
      <c r="AV29" s="118"/>
    </row>
    <row r="30" spans="1:48" ht="15.75">
      <c r="A30" s="34"/>
      <c r="B30" s="34"/>
      <c r="C30" s="34"/>
      <c r="D30" s="92" t="s">
        <v>199</v>
      </c>
      <c r="E30" s="40">
        <f>IF(E29="","",$R$28)</f>
        <v>18.98036809815951</v>
      </c>
      <c r="F30" s="21" t="s">
        <v>207</v>
      </c>
      <c r="G30" s="34"/>
      <c r="H30" s="34"/>
      <c r="I30" s="34"/>
      <c r="J30" s="34"/>
      <c r="K30" s="34"/>
      <c r="L30" s="34"/>
      <c r="M30" s="34"/>
      <c r="N30" s="34"/>
      <c r="O30" s="34"/>
      <c r="P30" s="119"/>
      <c r="Q30" s="119"/>
      <c r="R30" s="119"/>
      <c r="S30" s="119"/>
      <c r="T30" s="118"/>
      <c r="U30" s="118"/>
      <c r="V30" s="118"/>
      <c r="W30" s="118"/>
      <c r="X30" s="118"/>
      <c r="Y30" s="118"/>
      <c r="Z30" s="118"/>
      <c r="AB30" s="4"/>
      <c r="AC30" s="108"/>
      <c r="AD30" s="110">
        <f>IF(AD29="","",$R$28)</f>
        <v>18.98036809815951</v>
      </c>
      <c r="AE30" s="107"/>
      <c r="AF30" s="107"/>
      <c r="AG30" s="107"/>
      <c r="AH30" s="118"/>
      <c r="AI30" s="118"/>
      <c r="AJ30" s="118"/>
      <c r="AK30" s="118"/>
      <c r="AL30" s="118"/>
      <c r="AM30" s="118"/>
      <c r="AN30" s="123">
        <f t="shared" si="5"/>
        <v>40.5</v>
      </c>
      <c r="AO30" s="118"/>
      <c r="AP30" s="143">
        <f t="shared" si="3"/>
        <v>44.5</v>
      </c>
      <c r="AQ30" s="118">
        <f t="shared" si="0"/>
        <v>0.9749280115181568</v>
      </c>
      <c r="AR30" s="118">
        <f t="shared" si="1"/>
        <v>1.6325359942409217</v>
      </c>
      <c r="AS30" s="118">
        <f t="shared" si="4"/>
        <v>36.32392587186051</v>
      </c>
      <c r="AT30" s="107">
        <f t="shared" si="2"/>
        <v>6.44848484848485</v>
      </c>
      <c r="AU30" s="118"/>
      <c r="AV30" s="118"/>
    </row>
    <row r="31" spans="1:48" ht="15.75">
      <c r="A31" s="34"/>
      <c r="B31" s="34"/>
      <c r="C31" s="34"/>
      <c r="D31" s="92" t="s">
        <v>200</v>
      </c>
      <c r="E31" s="29">
        <v>22.6</v>
      </c>
      <c r="F31" s="21" t="s">
        <v>207</v>
      </c>
      <c r="G31" s="34"/>
      <c r="H31" s="34"/>
      <c r="I31" s="34"/>
      <c r="J31" s="34"/>
      <c r="K31" s="34"/>
      <c r="L31" s="34"/>
      <c r="M31" s="34"/>
      <c r="N31" s="34"/>
      <c r="O31" s="34"/>
      <c r="P31" s="119"/>
      <c r="Q31" s="119"/>
      <c r="R31" s="119"/>
      <c r="S31" s="119"/>
      <c r="T31" s="118"/>
      <c r="U31" s="118"/>
      <c r="V31" s="118"/>
      <c r="W31" s="118"/>
      <c r="X31" s="118"/>
      <c r="Y31" s="118"/>
      <c r="Z31" s="118"/>
      <c r="AB31" s="4"/>
      <c r="AC31" s="108"/>
      <c r="AD31" s="112">
        <v>11.4</v>
      </c>
      <c r="AE31" s="107"/>
      <c r="AF31" s="107"/>
      <c r="AG31" s="107"/>
      <c r="AH31" s="118"/>
      <c r="AI31" s="118"/>
      <c r="AJ31" s="118"/>
      <c r="AK31" s="118"/>
      <c r="AL31" s="118"/>
      <c r="AM31" s="118"/>
      <c r="AN31" s="123">
        <f t="shared" si="5"/>
        <v>42.5</v>
      </c>
      <c r="AO31" s="118"/>
      <c r="AP31" s="143">
        <f t="shared" si="3"/>
        <v>46.5</v>
      </c>
      <c r="AQ31" s="118">
        <f t="shared" si="0"/>
        <v>1.018745000799872</v>
      </c>
      <c r="AR31" s="118">
        <f t="shared" si="1"/>
        <v>1.610627499600064</v>
      </c>
      <c r="AS31" s="118">
        <f t="shared" si="4"/>
        <v>37.44708936570149</v>
      </c>
      <c r="AT31" s="107">
        <f t="shared" si="2"/>
        <v>6.44848484848485</v>
      </c>
      <c r="AU31" s="118"/>
      <c r="AV31" s="118"/>
    </row>
    <row r="32" spans="1:48" ht="15.75">
      <c r="A32" s="34"/>
      <c r="B32" s="34"/>
      <c r="C32" s="34"/>
      <c r="D32" s="24" t="s">
        <v>244</v>
      </c>
      <c r="E32" s="40">
        <f>IF(OR(E29="",E31=""),"",$R$29)</f>
        <v>3.97787610619469</v>
      </c>
      <c r="F32" s="21" t="s">
        <v>62</v>
      </c>
      <c r="G32" s="34"/>
      <c r="H32" s="34"/>
      <c r="I32" s="34"/>
      <c r="J32" s="34"/>
      <c r="K32" s="34"/>
      <c r="L32" s="34"/>
      <c r="M32" s="34"/>
      <c r="N32" s="34"/>
      <c r="O32" s="34"/>
      <c r="P32" s="144"/>
      <c r="Q32" s="34"/>
      <c r="R32" s="34"/>
      <c r="S32" s="34"/>
      <c r="AB32" s="4"/>
      <c r="AC32" s="108"/>
      <c r="AD32" s="110">
        <f>IF(OR(AD29="",AD31=""),"",$R$29)</f>
        <v>3.97787610619469</v>
      </c>
      <c r="AE32" s="107"/>
      <c r="AF32" s="107"/>
      <c r="AG32" s="107"/>
      <c r="AH32" s="118"/>
      <c r="AI32" s="118"/>
      <c r="AJ32" s="118"/>
      <c r="AK32" s="118"/>
      <c r="AL32" s="118"/>
      <c r="AM32" s="118"/>
      <c r="AN32" s="123">
        <f t="shared" si="5"/>
        <v>44.5</v>
      </c>
      <c r="AO32" s="118"/>
      <c r="AP32" s="143">
        <f t="shared" si="3"/>
        <v>48.5</v>
      </c>
      <c r="AQ32" s="118">
        <f t="shared" si="0"/>
        <v>1.0625619900815866</v>
      </c>
      <c r="AR32" s="118">
        <f t="shared" si="1"/>
        <v>1.5887190049592068</v>
      </c>
      <c r="AS32" s="118">
        <f t="shared" si="4"/>
        <v>38.52643587026076</v>
      </c>
      <c r="AT32" s="107">
        <f t="shared" si="2"/>
        <v>6.44848484848485</v>
      </c>
      <c r="AU32" s="118"/>
      <c r="AV32" s="118"/>
    </row>
    <row r="33" spans="1:48" ht="12.75">
      <c r="A33" s="34"/>
      <c r="B33" s="34"/>
      <c r="C33" s="34"/>
      <c r="D33" s="41"/>
      <c r="E33" s="42"/>
      <c r="F33" s="36"/>
      <c r="G33" s="34"/>
      <c r="H33" s="34"/>
      <c r="I33" s="34"/>
      <c r="J33" s="34"/>
      <c r="K33" s="34"/>
      <c r="L33" s="34"/>
      <c r="M33" s="34"/>
      <c r="N33" s="34"/>
      <c r="O33" s="34"/>
      <c r="P33" s="34"/>
      <c r="Q33" s="34"/>
      <c r="R33" s="34"/>
      <c r="S33" s="34"/>
      <c r="Y33" s="7"/>
      <c r="AB33" s="4"/>
      <c r="AC33" s="107"/>
      <c r="AD33" s="109"/>
      <c r="AE33" s="107"/>
      <c r="AF33" s="107"/>
      <c r="AG33" s="107"/>
      <c r="AH33" s="118"/>
      <c r="AI33" s="118"/>
      <c r="AJ33" s="118"/>
      <c r="AK33" s="118"/>
      <c r="AL33" s="118"/>
      <c r="AM33" s="118"/>
      <c r="AN33" s="123">
        <f t="shared" si="5"/>
        <v>46.5</v>
      </c>
      <c r="AO33" s="118"/>
      <c r="AP33" s="143">
        <f t="shared" si="3"/>
        <v>50.5</v>
      </c>
      <c r="AQ33" s="118">
        <f t="shared" si="0"/>
        <v>1.1063789793633017</v>
      </c>
      <c r="AR33" s="118">
        <f t="shared" si="1"/>
        <v>1.5668105103183492</v>
      </c>
      <c r="AS33" s="118">
        <f t="shared" si="4"/>
        <v>39.561965385538315</v>
      </c>
      <c r="AT33" s="107">
        <f t="shared" si="2"/>
        <v>6.44848484848485</v>
      </c>
      <c r="AU33" s="118"/>
      <c r="AV33" s="118"/>
    </row>
    <row r="34" spans="1:48" ht="15.75">
      <c r="A34" s="34"/>
      <c r="B34" s="34" t="s">
        <v>111</v>
      </c>
      <c r="C34" s="34"/>
      <c r="D34" s="22" t="s">
        <v>239</v>
      </c>
      <c r="E34" s="40">
        <f>IF(E13="","",$S$96)</f>
        <v>3</v>
      </c>
      <c r="F34" s="36"/>
      <c r="G34" s="34"/>
      <c r="H34" s="34"/>
      <c r="I34" s="34"/>
      <c r="J34" s="34"/>
      <c r="K34" s="34"/>
      <c r="L34" s="34"/>
      <c r="M34" s="34"/>
      <c r="N34" s="34"/>
      <c r="O34" s="34"/>
      <c r="P34" s="34"/>
      <c r="Q34" s="34"/>
      <c r="R34" s="34"/>
      <c r="S34" s="34"/>
      <c r="Y34" s="7"/>
      <c r="AB34" s="4"/>
      <c r="AC34" s="108"/>
      <c r="AD34" s="110">
        <f>IF(AD13="","",$S$96)</f>
        <v>3</v>
      </c>
      <c r="AE34" s="107"/>
      <c r="AF34" s="107"/>
      <c r="AG34" s="107"/>
      <c r="AH34" s="118"/>
      <c r="AI34" s="118"/>
      <c r="AJ34" s="118"/>
      <c r="AK34" s="118"/>
      <c r="AL34" s="118"/>
      <c r="AM34" s="118"/>
      <c r="AN34" s="123">
        <f t="shared" si="5"/>
        <v>48.5</v>
      </c>
      <c r="AO34" s="118"/>
      <c r="AP34" s="143">
        <f t="shared" si="3"/>
        <v>52.5</v>
      </c>
      <c r="AQ34" s="118">
        <f t="shared" si="0"/>
        <v>1.1501959686450167</v>
      </c>
      <c r="AR34" s="118">
        <f t="shared" si="1"/>
        <v>1.5449020156774917</v>
      </c>
      <c r="AS34" s="118">
        <f t="shared" si="4"/>
        <v>40.55367791153416</v>
      </c>
      <c r="AT34" s="107">
        <f t="shared" si="2"/>
        <v>6.44848484848485</v>
      </c>
      <c r="AU34" s="118"/>
      <c r="AV34" s="118"/>
    </row>
    <row r="35" spans="1:48" ht="15.75">
      <c r="A35" s="34"/>
      <c r="B35" s="34"/>
      <c r="C35" s="34"/>
      <c r="D35" s="92" t="s">
        <v>201</v>
      </c>
      <c r="E35" s="29">
        <v>3.3</v>
      </c>
      <c r="F35" s="21" t="s">
        <v>207</v>
      </c>
      <c r="G35" s="34"/>
      <c r="H35" s="34"/>
      <c r="I35" s="34"/>
      <c r="J35" s="34"/>
      <c r="K35" s="34"/>
      <c r="L35" s="34"/>
      <c r="M35" s="119"/>
      <c r="N35" s="119"/>
      <c r="O35" s="119"/>
      <c r="P35" s="119"/>
      <c r="Q35" s="119"/>
      <c r="R35" s="119"/>
      <c r="S35" s="119"/>
      <c r="T35" s="118"/>
      <c r="U35" s="118"/>
      <c r="V35" s="118"/>
      <c r="W35" s="118"/>
      <c r="X35" s="118"/>
      <c r="Y35" s="120"/>
      <c r="Z35" s="118"/>
      <c r="AB35" s="4"/>
      <c r="AC35" s="108"/>
      <c r="AD35" s="112">
        <v>2</v>
      </c>
      <c r="AE35" s="107"/>
      <c r="AF35" s="107"/>
      <c r="AG35" s="107"/>
      <c r="AH35" s="118"/>
      <c r="AI35" s="118"/>
      <c r="AJ35" s="118"/>
      <c r="AK35" s="118"/>
      <c r="AL35" s="118"/>
      <c r="AM35" s="118"/>
      <c r="AN35" s="123">
        <f t="shared" si="5"/>
        <v>50.5</v>
      </c>
      <c r="AO35" s="118"/>
      <c r="AP35" s="143">
        <f t="shared" si="3"/>
        <v>54.5</v>
      </c>
      <c r="AQ35" s="118">
        <f t="shared" si="0"/>
        <v>1.1940129579267316</v>
      </c>
      <c r="AR35" s="118">
        <f t="shared" si="1"/>
        <v>1.5229935210366343</v>
      </c>
      <c r="AS35" s="118">
        <f t="shared" si="4"/>
        <v>41.50157344824829</v>
      </c>
      <c r="AT35" s="107">
        <f t="shared" si="2"/>
        <v>6.44848484848485</v>
      </c>
      <c r="AU35" s="118"/>
      <c r="AV35" s="118"/>
    </row>
    <row r="36" spans="1:48" ht="15.75">
      <c r="A36" s="34"/>
      <c r="B36" s="34"/>
      <c r="C36" s="34"/>
      <c r="D36" s="92" t="s">
        <v>202</v>
      </c>
      <c r="E36" s="40">
        <f>IF((OR(E14="",E35="")),"",$S$97)</f>
        <v>9.899999999999999</v>
      </c>
      <c r="F36" s="21" t="s">
        <v>207</v>
      </c>
      <c r="G36" s="34"/>
      <c r="H36" s="34"/>
      <c r="I36" s="34"/>
      <c r="J36" s="34"/>
      <c r="K36" s="34"/>
      <c r="L36" s="34"/>
      <c r="M36" s="119"/>
      <c r="N36" s="119"/>
      <c r="O36" s="119"/>
      <c r="P36" s="119"/>
      <c r="Q36" s="119"/>
      <c r="R36" s="122"/>
      <c r="S36" s="119"/>
      <c r="T36" s="118"/>
      <c r="U36" s="118"/>
      <c r="V36" s="118"/>
      <c r="W36" s="118"/>
      <c r="X36" s="118"/>
      <c r="Y36" s="118"/>
      <c r="Z36" s="118"/>
      <c r="AB36" s="4"/>
      <c r="AC36" s="108"/>
      <c r="AD36" s="110">
        <f>IF((OR(AD14="",AD35="")),"",$S$97)</f>
        <v>9.899999999999999</v>
      </c>
      <c r="AE36" s="107"/>
      <c r="AF36" s="107"/>
      <c r="AG36" s="107"/>
      <c r="AH36" s="118"/>
      <c r="AI36" s="118"/>
      <c r="AJ36" s="118"/>
      <c r="AK36" s="118"/>
      <c r="AL36" s="118"/>
      <c r="AM36" s="118"/>
      <c r="AN36" s="123">
        <f t="shared" si="5"/>
        <v>52.5</v>
      </c>
      <c r="AO36" s="118"/>
      <c r="AP36" s="143">
        <f t="shared" si="3"/>
        <v>56.5</v>
      </c>
      <c r="AQ36" s="118">
        <f t="shared" si="0"/>
        <v>1.2378299472084466</v>
      </c>
      <c r="AR36" s="118">
        <f t="shared" si="1"/>
        <v>1.501085026395777</v>
      </c>
      <c r="AS36" s="118">
        <f t="shared" si="4"/>
        <v>42.4056519956807</v>
      </c>
      <c r="AT36" s="107">
        <f t="shared" si="2"/>
        <v>6.44848484848485</v>
      </c>
      <c r="AU36" s="118"/>
      <c r="AV36" s="118"/>
    </row>
    <row r="37" spans="1:48" ht="15.75">
      <c r="A37" s="34"/>
      <c r="B37" s="34"/>
      <c r="C37" s="34"/>
      <c r="D37" s="92" t="s">
        <v>203</v>
      </c>
      <c r="E37" s="29">
        <v>10</v>
      </c>
      <c r="F37" s="21" t="s">
        <v>207</v>
      </c>
      <c r="G37" s="34"/>
      <c r="H37" s="34"/>
      <c r="I37" s="34"/>
      <c r="J37" s="34"/>
      <c r="K37" s="34"/>
      <c r="L37" s="34"/>
      <c r="M37" s="119"/>
      <c r="N37" s="119"/>
      <c r="O37" s="119"/>
      <c r="P37" s="119"/>
      <c r="Q37" s="119" t="s">
        <v>152</v>
      </c>
      <c r="R37" s="122">
        <f>($R$39/($R$40+$R$38))</f>
        <v>1</v>
      </c>
      <c r="S37" s="119"/>
      <c r="T37" s="118"/>
      <c r="U37" s="118"/>
      <c r="V37" s="118"/>
      <c r="W37" s="118"/>
      <c r="X37" s="118"/>
      <c r="Y37" s="118"/>
      <c r="Z37" s="118"/>
      <c r="AB37" s="4"/>
      <c r="AC37" s="108"/>
      <c r="AD37" s="112">
        <v>6.04</v>
      </c>
      <c r="AE37" s="107"/>
      <c r="AF37" s="107"/>
      <c r="AG37" s="107"/>
      <c r="AH37" s="118"/>
      <c r="AI37" s="118"/>
      <c r="AJ37" s="118"/>
      <c r="AK37" s="118"/>
      <c r="AL37" s="118"/>
      <c r="AM37" s="118"/>
      <c r="AN37" s="123">
        <f t="shared" si="5"/>
        <v>54.5</v>
      </c>
      <c r="AO37" s="118"/>
      <c r="AP37" s="143">
        <f t="shared" si="3"/>
        <v>58.5</v>
      </c>
      <c r="AQ37" s="118">
        <f t="shared" si="0"/>
        <v>1.281646936490161</v>
      </c>
      <c r="AR37" s="118">
        <f t="shared" si="1"/>
        <v>1.4791765317549195</v>
      </c>
      <c r="AS37" s="118">
        <f t="shared" si="4"/>
        <v>43.265913553831396</v>
      </c>
      <c r="AT37" s="107">
        <f t="shared" si="2"/>
        <v>6.44848484848485</v>
      </c>
      <c r="AU37" s="118"/>
      <c r="AV37" s="118"/>
    </row>
    <row r="38" spans="1:48" ht="15.75">
      <c r="A38" s="34"/>
      <c r="B38" s="34"/>
      <c r="C38" s="34"/>
      <c r="D38" s="92" t="s">
        <v>204</v>
      </c>
      <c r="E38" s="40">
        <f>IF(E37="","",$S$98)</f>
        <v>8.060606060606062</v>
      </c>
      <c r="F38" s="21" t="s">
        <v>62</v>
      </c>
      <c r="G38" s="34"/>
      <c r="H38" s="34"/>
      <c r="I38" s="34"/>
      <c r="J38" s="34"/>
      <c r="K38" s="34"/>
      <c r="L38" s="34"/>
      <c r="M38" s="119"/>
      <c r="N38" s="119"/>
      <c r="O38" s="119"/>
      <c r="P38" s="119"/>
      <c r="Q38" s="119" t="s">
        <v>151</v>
      </c>
      <c r="R38" s="122">
        <f>E15</f>
        <v>0.5</v>
      </c>
      <c r="S38" s="119" t="s">
        <v>62</v>
      </c>
      <c r="T38" s="118"/>
      <c r="U38" s="118"/>
      <c r="V38" s="118"/>
      <c r="W38" s="118"/>
      <c r="X38" s="118"/>
      <c r="Y38" s="120"/>
      <c r="Z38" s="118"/>
      <c r="AB38" s="4"/>
      <c r="AC38" s="108"/>
      <c r="AD38" s="110">
        <f>IF(AD37="","",$S$98)</f>
        <v>8.060606060606062</v>
      </c>
      <c r="AE38" s="107"/>
      <c r="AF38" s="107"/>
      <c r="AG38" s="107"/>
      <c r="AH38" s="118"/>
      <c r="AI38" s="118"/>
      <c r="AJ38" s="118"/>
      <c r="AK38" s="118"/>
      <c r="AL38" s="118"/>
      <c r="AM38" s="118"/>
      <c r="AN38" s="123">
        <f t="shared" si="5"/>
        <v>56.5</v>
      </c>
      <c r="AO38" s="118"/>
      <c r="AP38" s="143">
        <f t="shared" si="3"/>
        <v>60.5</v>
      </c>
      <c r="AQ38" s="118">
        <f t="shared" si="0"/>
        <v>1.325463925771876</v>
      </c>
      <c r="AR38" s="118">
        <f t="shared" si="1"/>
        <v>1.457268037114062</v>
      </c>
      <c r="AS38" s="118">
        <f t="shared" si="4"/>
        <v>44.08235812270038</v>
      </c>
      <c r="AT38" s="107">
        <f t="shared" si="2"/>
        <v>6.44848484848485</v>
      </c>
      <c r="AU38" s="118"/>
      <c r="AV38" s="118"/>
    </row>
    <row r="39" spans="1:48" ht="12.75">
      <c r="A39" s="34"/>
      <c r="B39" s="34"/>
      <c r="C39" s="34"/>
      <c r="D39" s="34"/>
      <c r="E39" s="42"/>
      <c r="F39" s="36"/>
      <c r="G39" s="34"/>
      <c r="H39" s="34"/>
      <c r="I39" s="34"/>
      <c r="J39" s="34"/>
      <c r="K39" s="34"/>
      <c r="L39" s="34"/>
      <c r="M39" s="119"/>
      <c r="N39" s="119"/>
      <c r="O39" s="119"/>
      <c r="P39" s="119"/>
      <c r="Q39" s="119" t="s">
        <v>148</v>
      </c>
      <c r="R39" s="122">
        <f>E13</f>
        <v>8</v>
      </c>
      <c r="S39" s="119" t="s">
        <v>62</v>
      </c>
      <c r="T39" s="118"/>
      <c r="U39" s="118"/>
      <c r="V39" s="118"/>
      <c r="W39" s="118"/>
      <c r="X39" s="118"/>
      <c r="Y39" s="120"/>
      <c r="Z39" s="118"/>
      <c r="AB39" s="4"/>
      <c r="AC39" s="107"/>
      <c r="AD39" s="109"/>
      <c r="AE39" s="107"/>
      <c r="AF39" s="107"/>
      <c r="AG39" s="107"/>
      <c r="AH39" s="118"/>
      <c r="AI39" s="118"/>
      <c r="AJ39" s="118"/>
      <c r="AK39" s="118"/>
      <c r="AL39" s="118"/>
      <c r="AM39" s="118"/>
      <c r="AN39" s="123">
        <f t="shared" si="5"/>
        <v>58.5</v>
      </c>
      <c r="AO39" s="118"/>
      <c r="AP39" s="143">
        <f t="shared" si="3"/>
        <v>62.5</v>
      </c>
      <c r="AQ39" s="118">
        <f t="shared" si="0"/>
        <v>1.3692809150535912</v>
      </c>
      <c r="AR39" s="118">
        <f t="shared" si="1"/>
        <v>1.4353595424732046</v>
      </c>
      <c r="AS39" s="118">
        <f t="shared" si="4"/>
        <v>44.85498570228764</v>
      </c>
      <c r="AT39" s="107">
        <f t="shared" si="2"/>
        <v>6.44848484848485</v>
      </c>
      <c r="AU39" s="118"/>
      <c r="AV39" s="118"/>
    </row>
    <row r="40" spans="1:48" ht="15.75">
      <c r="A40" s="34"/>
      <c r="B40" s="34"/>
      <c r="C40" s="34"/>
      <c r="D40" s="34"/>
      <c r="E40" s="42"/>
      <c r="F40" s="36"/>
      <c r="G40" s="34"/>
      <c r="H40" s="34"/>
      <c r="I40" s="43"/>
      <c r="J40" s="34"/>
      <c r="K40" s="34"/>
      <c r="L40" s="34"/>
      <c r="M40" s="119"/>
      <c r="N40" s="119"/>
      <c r="O40" s="119"/>
      <c r="P40" s="119"/>
      <c r="Q40" s="119" t="s">
        <v>149</v>
      </c>
      <c r="R40" s="122">
        <f>E14</f>
        <v>7.5</v>
      </c>
      <c r="S40" s="119" t="s">
        <v>62</v>
      </c>
      <c r="T40" s="118"/>
      <c r="U40" s="118"/>
      <c r="V40" s="118"/>
      <c r="W40" s="118"/>
      <c r="X40" s="118"/>
      <c r="Y40" s="120"/>
      <c r="Z40" s="118"/>
      <c r="AB40" s="4"/>
      <c r="AC40" s="107"/>
      <c r="AD40" s="109"/>
      <c r="AE40" s="107"/>
      <c r="AF40" s="107"/>
      <c r="AG40" s="107"/>
      <c r="AH40" s="118"/>
      <c r="AI40" s="118"/>
      <c r="AJ40" s="118"/>
      <c r="AK40" s="118"/>
      <c r="AL40" s="118"/>
      <c r="AM40" s="118"/>
      <c r="AN40" s="123">
        <f t="shared" si="5"/>
        <v>60.5</v>
      </c>
      <c r="AO40" s="118"/>
      <c r="AP40" s="143">
        <f t="shared" si="3"/>
        <v>64.5</v>
      </c>
      <c r="AQ40" s="118">
        <f t="shared" si="0"/>
        <v>1.413097904335306</v>
      </c>
      <c r="AR40" s="118">
        <f t="shared" si="1"/>
        <v>1.4134510478323472</v>
      </c>
      <c r="AS40" s="118">
        <f t="shared" si="4"/>
        <v>45.5837962925932</v>
      </c>
      <c r="AT40" s="107">
        <f t="shared" si="2"/>
        <v>6.44848484848485</v>
      </c>
      <c r="AU40" s="118"/>
      <c r="AV40" s="118"/>
    </row>
    <row r="41" spans="1:48" ht="12.75">
      <c r="A41" s="34"/>
      <c r="B41" s="34" t="s">
        <v>112</v>
      </c>
      <c r="C41" s="34"/>
      <c r="D41" s="92" t="s">
        <v>33</v>
      </c>
      <c r="E41" s="9">
        <f>IF(E37="","",$S$103)</f>
        <v>-5274.971941638611</v>
      </c>
      <c r="F41" s="21" t="s">
        <v>2</v>
      </c>
      <c r="G41" s="34"/>
      <c r="H41" s="34"/>
      <c r="I41" s="34"/>
      <c r="J41" s="34"/>
      <c r="K41" s="34"/>
      <c r="L41" s="34"/>
      <c r="M41" s="119"/>
      <c r="N41" s="119"/>
      <c r="O41" s="119"/>
      <c r="P41" s="119"/>
      <c r="Q41" s="119" t="s">
        <v>150</v>
      </c>
      <c r="R41" s="122">
        <f>R39/R48-R38</f>
        <v>7.5</v>
      </c>
      <c r="S41" s="119" t="s">
        <v>62</v>
      </c>
      <c r="T41" s="118"/>
      <c r="U41" s="118"/>
      <c r="V41" s="118"/>
      <c r="W41" s="118"/>
      <c r="X41" s="118"/>
      <c r="Y41" s="120"/>
      <c r="Z41" s="118"/>
      <c r="AB41" s="4"/>
      <c r="AC41" s="108"/>
      <c r="AD41" s="110">
        <f>IF(AD37="","",$S$103)</f>
        <v>-5274.971941638611</v>
      </c>
      <c r="AE41" s="107"/>
      <c r="AF41" s="107"/>
      <c r="AG41" s="107"/>
      <c r="AH41" s="118"/>
      <c r="AI41" s="118"/>
      <c r="AJ41" s="118"/>
      <c r="AK41" s="118"/>
      <c r="AL41" s="118"/>
      <c r="AM41" s="118"/>
      <c r="AN41" s="123">
        <f t="shared" si="5"/>
        <v>62.5</v>
      </c>
      <c r="AO41" s="118"/>
      <c r="AP41" s="143">
        <f t="shared" si="3"/>
        <v>65</v>
      </c>
      <c r="AQ41" s="118">
        <f t="shared" si="0"/>
        <v>1.424052151655735</v>
      </c>
      <c r="AR41" s="118">
        <f t="shared" si="1"/>
        <v>1.4079739241721327</v>
      </c>
      <c r="AS41" s="118">
        <f t="shared" si="4"/>
        <v>45.75915253559431</v>
      </c>
      <c r="AT41" s="107">
        <f t="shared" si="2"/>
        <v>6.44848484848485</v>
      </c>
      <c r="AU41" s="118"/>
      <c r="AV41" s="118"/>
    </row>
    <row r="42" spans="1:48" ht="12.75">
      <c r="A42" s="34"/>
      <c r="B42" s="34"/>
      <c r="C42" s="34"/>
      <c r="D42" s="92" t="s">
        <v>1</v>
      </c>
      <c r="E42" s="28">
        <v>300</v>
      </c>
      <c r="F42" s="21" t="s">
        <v>2</v>
      </c>
      <c r="G42" s="34"/>
      <c r="H42" s="34"/>
      <c r="I42" s="34"/>
      <c r="J42" s="34"/>
      <c r="K42" s="34"/>
      <c r="L42" s="34"/>
      <c r="M42" s="119"/>
      <c r="N42" s="119"/>
      <c r="O42" s="119"/>
      <c r="P42" s="119"/>
      <c r="Q42" s="119" t="s">
        <v>146</v>
      </c>
      <c r="R42" s="119">
        <f>$R51+(1/$R48)*$R50</f>
        <v>0.8</v>
      </c>
      <c r="S42" s="119" t="s">
        <v>117</v>
      </c>
      <c r="T42" s="118"/>
      <c r="U42" s="118"/>
      <c r="V42" s="118"/>
      <c r="W42" s="118"/>
      <c r="X42" s="118"/>
      <c r="Y42" s="118"/>
      <c r="Z42" s="118"/>
      <c r="AB42" s="4"/>
      <c r="AC42" s="108"/>
      <c r="AD42" s="112">
        <v>300</v>
      </c>
      <c r="AE42" s="107"/>
      <c r="AF42" s="107"/>
      <c r="AG42" s="107"/>
      <c r="AH42" s="118"/>
      <c r="AI42" s="118"/>
      <c r="AJ42" s="118"/>
      <c r="AK42" s="118"/>
      <c r="AL42" s="118"/>
      <c r="AM42" s="118"/>
      <c r="AN42" s="123">
        <f t="shared" si="5"/>
        <v>64.5</v>
      </c>
      <c r="AO42" s="118"/>
      <c r="AP42" s="143">
        <f t="shared" si="3"/>
        <v>65</v>
      </c>
      <c r="AQ42" s="118">
        <f t="shared" si="0"/>
        <v>1.424052151655735</v>
      </c>
      <c r="AR42" s="118">
        <f t="shared" si="1"/>
        <v>1.4079739241721327</v>
      </c>
      <c r="AS42" s="118">
        <f t="shared" si="4"/>
        <v>45.75915253559431</v>
      </c>
      <c r="AT42" s="107">
        <f t="shared" si="2"/>
        <v>6.44848484848485</v>
      </c>
      <c r="AU42" s="118"/>
      <c r="AV42" s="118"/>
    </row>
    <row r="43" spans="1:48" ht="15.75">
      <c r="A43" s="34"/>
      <c r="B43" s="34"/>
      <c r="C43" s="34"/>
      <c r="D43" s="92" t="s">
        <v>205</v>
      </c>
      <c r="E43" s="9">
        <f>IF(E42="","",$S$105)</f>
        <v>268.6868686868687</v>
      </c>
      <c r="F43" s="21" t="s">
        <v>207</v>
      </c>
      <c r="G43" s="33"/>
      <c r="H43" s="33"/>
      <c r="I43" s="33"/>
      <c r="J43" s="34"/>
      <c r="K43" s="34"/>
      <c r="L43" s="34"/>
      <c r="M43" s="119"/>
      <c r="N43" s="119"/>
      <c r="O43" s="119"/>
      <c r="P43" s="119"/>
      <c r="Q43" s="119" t="s">
        <v>134</v>
      </c>
      <c r="R43" s="122">
        <f>E19</f>
        <v>4.5</v>
      </c>
      <c r="S43" s="119" t="s">
        <v>62</v>
      </c>
      <c r="T43" s="118"/>
      <c r="U43" s="118"/>
      <c r="V43" s="118"/>
      <c r="W43" s="118"/>
      <c r="X43" s="118"/>
      <c r="Y43" s="118"/>
      <c r="Z43" s="118"/>
      <c r="AB43" s="4"/>
      <c r="AC43" s="108"/>
      <c r="AD43" s="110">
        <f>IF(AD42="","",$S$105)</f>
        <v>268.6868686868687</v>
      </c>
      <c r="AE43" s="107"/>
      <c r="AF43" s="107"/>
      <c r="AG43" s="118"/>
      <c r="AH43" s="118"/>
      <c r="AI43" s="118"/>
      <c r="AJ43" s="118"/>
      <c r="AK43" s="118"/>
      <c r="AL43" s="118"/>
      <c r="AM43" s="118"/>
      <c r="AN43" s="123">
        <v>65</v>
      </c>
      <c r="AO43" s="118"/>
      <c r="AP43" s="143">
        <f t="shared" si="3"/>
        <v>65</v>
      </c>
      <c r="AQ43" s="118">
        <f t="shared" si="0"/>
        <v>1.424052151655735</v>
      </c>
      <c r="AR43" s="118">
        <f t="shared" si="1"/>
        <v>1.4079739241721327</v>
      </c>
      <c r="AS43" s="118">
        <f t="shared" si="4"/>
        <v>45.75915253559431</v>
      </c>
      <c r="AT43" s="107">
        <f t="shared" si="2"/>
        <v>6.44848484848485</v>
      </c>
      <c r="AU43" s="118"/>
      <c r="AV43" s="118"/>
    </row>
    <row r="44" spans="1:48" ht="15.75">
      <c r="A44" s="34"/>
      <c r="B44" s="34"/>
      <c r="C44" s="34"/>
      <c r="D44" s="92" t="s">
        <v>206</v>
      </c>
      <c r="E44" s="28">
        <v>332</v>
      </c>
      <c r="F44" s="21" t="s">
        <v>207</v>
      </c>
      <c r="G44" s="33"/>
      <c r="H44" s="33"/>
      <c r="I44" s="33"/>
      <c r="J44" s="34"/>
      <c r="K44" s="34"/>
      <c r="L44" s="34"/>
      <c r="M44" s="119"/>
      <c r="N44" s="119"/>
      <c r="O44" s="119"/>
      <c r="P44" s="119"/>
      <c r="Q44" s="119" t="s">
        <v>135</v>
      </c>
      <c r="R44" s="122">
        <f>E20</f>
        <v>5</v>
      </c>
      <c r="S44" s="119" t="s">
        <v>62</v>
      </c>
      <c r="T44" s="118"/>
      <c r="U44" s="118"/>
      <c r="V44" s="118"/>
      <c r="W44" s="118"/>
      <c r="X44" s="118"/>
      <c r="Y44" s="118"/>
      <c r="Z44" s="118"/>
      <c r="AB44" s="4"/>
      <c r="AC44" s="108"/>
      <c r="AD44" s="112">
        <v>301</v>
      </c>
      <c r="AE44" s="107"/>
      <c r="AF44" s="107"/>
      <c r="AG44" s="118"/>
      <c r="AH44" s="118"/>
      <c r="AI44" s="118"/>
      <c r="AJ44" s="118"/>
      <c r="AK44" s="118"/>
      <c r="AL44" s="118"/>
      <c r="AM44" s="118"/>
      <c r="AN44" s="123"/>
      <c r="AO44" s="118"/>
      <c r="AP44" s="143">
        <f t="shared" si="3"/>
        <v>65</v>
      </c>
      <c r="AQ44" s="118">
        <f t="shared" si="0"/>
        <v>1.424052151655735</v>
      </c>
      <c r="AR44" s="118">
        <f t="shared" si="1"/>
        <v>1.4079739241721327</v>
      </c>
      <c r="AS44" s="118">
        <f t="shared" si="4"/>
        <v>45.75915253559431</v>
      </c>
      <c r="AT44" s="107">
        <f t="shared" si="2"/>
        <v>6.44848484848485</v>
      </c>
      <c r="AU44" s="118"/>
      <c r="AV44" s="118"/>
    </row>
    <row r="45" spans="1:48" ht="12.75">
      <c r="A45" s="34"/>
      <c r="B45" s="34"/>
      <c r="C45" s="34"/>
      <c r="D45" s="92" t="s">
        <v>34</v>
      </c>
      <c r="E45" s="9">
        <f>IF(E44="","",$S$108)</f>
        <v>242.7893391748814</v>
      </c>
      <c r="F45" s="21" t="s">
        <v>2</v>
      </c>
      <c r="G45" s="33"/>
      <c r="H45" s="33"/>
      <c r="I45" s="33"/>
      <c r="J45" s="34"/>
      <c r="K45" s="34"/>
      <c r="L45" s="34"/>
      <c r="M45" s="119"/>
      <c r="N45" s="119"/>
      <c r="O45" s="119"/>
      <c r="P45" s="119"/>
      <c r="Q45" s="119" t="s">
        <v>123</v>
      </c>
      <c r="R45" s="122">
        <f>E21</f>
        <v>5.5</v>
      </c>
      <c r="S45" s="119" t="s">
        <v>62</v>
      </c>
      <c r="T45" s="118"/>
      <c r="U45" s="118"/>
      <c r="V45" s="118"/>
      <c r="W45" s="118"/>
      <c r="X45" s="118"/>
      <c r="Y45" s="120"/>
      <c r="Z45" s="118"/>
      <c r="AB45" s="4"/>
      <c r="AC45" s="108"/>
      <c r="AD45" s="110">
        <f>IF(AD44="","",$S$108)</f>
        <v>242.7893391748814</v>
      </c>
      <c r="AE45" s="107"/>
      <c r="AF45" s="107"/>
      <c r="AG45" s="107"/>
      <c r="AH45" s="118"/>
      <c r="AI45" s="118"/>
      <c r="AJ45" s="118"/>
      <c r="AK45" s="118"/>
      <c r="AL45" s="118"/>
      <c r="AM45" s="118"/>
      <c r="AN45" s="123"/>
      <c r="AO45" s="118"/>
      <c r="AP45" s="143">
        <f t="shared" si="3"/>
        <v>65</v>
      </c>
      <c r="AQ45" s="118">
        <f t="shared" si="0"/>
        <v>1.424052151655735</v>
      </c>
      <c r="AR45" s="118">
        <f t="shared" si="1"/>
        <v>1.4079739241721327</v>
      </c>
      <c r="AS45" s="118">
        <f t="shared" si="4"/>
        <v>45.75915253559431</v>
      </c>
      <c r="AT45" s="107">
        <f t="shared" si="2"/>
        <v>6.44848484848485</v>
      </c>
      <c r="AU45" s="118"/>
      <c r="AV45" s="118"/>
    </row>
    <row r="46" spans="1:48" ht="12.75">
      <c r="A46" s="34"/>
      <c r="B46" s="34"/>
      <c r="C46" s="34"/>
      <c r="D46" s="34"/>
      <c r="E46" s="42"/>
      <c r="F46" s="36"/>
      <c r="G46" s="33"/>
      <c r="H46" s="33"/>
      <c r="I46" s="33"/>
      <c r="J46" s="34"/>
      <c r="K46" s="34"/>
      <c r="L46" s="34"/>
      <c r="M46" s="119"/>
      <c r="N46" s="119"/>
      <c r="O46" s="119"/>
      <c r="P46" s="119"/>
      <c r="Q46" s="119" t="s">
        <v>122</v>
      </c>
      <c r="R46" s="122">
        <f>R39</f>
        <v>8</v>
      </c>
      <c r="S46" s="119" t="s">
        <v>62</v>
      </c>
      <c r="T46" s="118"/>
      <c r="U46" s="118"/>
      <c r="V46" s="118"/>
      <c r="W46" s="118"/>
      <c r="X46" s="118"/>
      <c r="Y46" s="120"/>
      <c r="Z46" s="118"/>
      <c r="AA46" s="118"/>
      <c r="AB46" s="4"/>
      <c r="AC46" s="107"/>
      <c r="AD46" s="109"/>
      <c r="AE46" s="107"/>
      <c r="AF46" s="107"/>
      <c r="AG46" s="107"/>
      <c r="AH46" s="118"/>
      <c r="AI46" s="118"/>
      <c r="AJ46" s="118"/>
      <c r="AK46" s="118"/>
      <c r="AL46" s="118"/>
      <c r="AM46" s="118"/>
      <c r="AN46" s="123"/>
      <c r="AO46" s="118"/>
      <c r="AP46" s="143">
        <f t="shared" si="3"/>
        <v>65</v>
      </c>
      <c r="AQ46" s="118">
        <f t="shared" si="0"/>
        <v>1.424052151655735</v>
      </c>
      <c r="AR46" s="118">
        <f t="shared" si="1"/>
        <v>1.4079739241721327</v>
      </c>
      <c r="AS46" s="118">
        <f t="shared" si="4"/>
        <v>45.75915253559431</v>
      </c>
      <c r="AT46" s="107">
        <f t="shared" si="2"/>
        <v>6.44848484848485</v>
      </c>
      <c r="AU46" s="118"/>
      <c r="AV46" s="118"/>
    </row>
    <row r="47" spans="1:48" ht="12.75">
      <c r="A47" s="34"/>
      <c r="B47" s="34" t="s">
        <v>113</v>
      </c>
      <c r="C47" s="34"/>
      <c r="D47" s="92" t="s">
        <v>103</v>
      </c>
      <c r="E47" s="9">
        <f>IF(OR(E21="",E44=""),"",$S$110)</f>
        <v>6.036363636363636</v>
      </c>
      <c r="F47" s="21" t="s">
        <v>208</v>
      </c>
      <c r="G47" s="33"/>
      <c r="H47" s="33"/>
      <c r="I47" s="33"/>
      <c r="J47" s="34"/>
      <c r="K47" s="34"/>
      <c r="L47" s="34"/>
      <c r="M47" s="119"/>
      <c r="N47" s="119"/>
      <c r="O47" s="119"/>
      <c r="P47" s="119"/>
      <c r="Q47" s="119" t="s">
        <v>124</v>
      </c>
      <c r="R47" s="122">
        <f>E42</f>
        <v>300</v>
      </c>
      <c r="S47" s="119" t="s">
        <v>2</v>
      </c>
      <c r="T47" s="118"/>
      <c r="U47" s="118"/>
      <c r="V47" s="118"/>
      <c r="W47" s="118"/>
      <c r="X47" s="118"/>
      <c r="Y47" s="120"/>
      <c r="Z47" s="118"/>
      <c r="AA47" s="118"/>
      <c r="AB47" s="4"/>
      <c r="AC47" s="108"/>
      <c r="AD47" s="110">
        <f>IF(OR(AD21="",AD44=""),"",$S$110)</f>
        <v>6.036363636363636</v>
      </c>
      <c r="AE47" s="107"/>
      <c r="AF47" s="107"/>
      <c r="AG47" s="107"/>
      <c r="AH47" s="118"/>
      <c r="AI47" s="118"/>
      <c r="AJ47" s="118"/>
      <c r="AK47" s="118"/>
      <c r="AL47" s="118"/>
      <c r="AM47" s="118"/>
      <c r="AN47" s="123"/>
      <c r="AO47" s="118"/>
      <c r="AP47" s="143">
        <f t="shared" si="3"/>
        <v>65</v>
      </c>
      <c r="AQ47" s="118">
        <f t="shared" si="0"/>
        <v>1.424052151655735</v>
      </c>
      <c r="AR47" s="118">
        <f t="shared" si="1"/>
        <v>1.4079739241721327</v>
      </c>
      <c r="AS47" s="118">
        <f t="shared" si="4"/>
        <v>45.75915253559431</v>
      </c>
      <c r="AT47" s="107">
        <f t="shared" si="2"/>
        <v>6.44848484848485</v>
      </c>
      <c r="AU47" s="118"/>
      <c r="AV47" s="118"/>
    </row>
    <row r="48" spans="1:48" ht="12.75">
      <c r="A48" s="34"/>
      <c r="B48" s="34"/>
      <c r="C48" s="34"/>
      <c r="D48" s="92" t="s">
        <v>104</v>
      </c>
      <c r="E48" s="9">
        <f>IF(OR(E20="",E44=""),"",$S$111)</f>
        <v>6.64</v>
      </c>
      <c r="F48" s="21" t="s">
        <v>208</v>
      </c>
      <c r="G48" s="33"/>
      <c r="H48" s="33"/>
      <c r="I48" s="33"/>
      <c r="J48" s="34"/>
      <c r="K48" s="34"/>
      <c r="L48" s="34"/>
      <c r="M48" s="119"/>
      <c r="N48" s="119"/>
      <c r="O48" s="119"/>
      <c r="P48" s="119"/>
      <c r="Q48" s="119" t="s">
        <v>121</v>
      </c>
      <c r="R48" s="122">
        <f>E17</f>
        <v>1</v>
      </c>
      <c r="S48" s="119"/>
      <c r="T48" s="118"/>
      <c r="U48" s="118"/>
      <c r="V48" s="118"/>
      <c r="W48" s="118"/>
      <c r="X48" s="118"/>
      <c r="Y48" s="120"/>
      <c r="Z48" s="118"/>
      <c r="AA48" s="118"/>
      <c r="AB48" s="4"/>
      <c r="AC48" s="108"/>
      <c r="AD48" s="110">
        <f>IF(OR(AD20="",AD44=""),"",$S$111)</f>
        <v>6.64</v>
      </c>
      <c r="AE48" s="107"/>
      <c r="AF48" s="107"/>
      <c r="AG48" s="107"/>
      <c r="AH48" s="118"/>
      <c r="AI48" s="118"/>
      <c r="AJ48" s="118"/>
      <c r="AK48" s="118"/>
      <c r="AL48" s="118"/>
      <c r="AM48" s="118"/>
      <c r="AN48" s="123"/>
      <c r="AO48" s="118"/>
      <c r="AP48" s="143">
        <f t="shared" si="3"/>
        <v>65</v>
      </c>
      <c r="AQ48" s="118">
        <f t="shared" si="0"/>
        <v>1.424052151655735</v>
      </c>
      <c r="AR48" s="118">
        <f t="shared" si="1"/>
        <v>1.4079739241721327</v>
      </c>
      <c r="AS48" s="118">
        <f t="shared" si="4"/>
        <v>45.75915253559431</v>
      </c>
      <c r="AT48" s="107">
        <f t="shared" si="2"/>
        <v>6.44848484848485</v>
      </c>
      <c r="AU48" s="118"/>
      <c r="AV48" s="118"/>
    </row>
    <row r="49" spans="1:48" ht="12.75">
      <c r="A49" s="34"/>
      <c r="B49" s="34"/>
      <c r="C49" s="34"/>
      <c r="D49" s="92" t="s">
        <v>105</v>
      </c>
      <c r="E49" s="9">
        <f>IF(OR(E19="",E44=""),"",$S$109)</f>
        <v>7.377777777777778</v>
      </c>
      <c r="F49" s="21" t="s">
        <v>208</v>
      </c>
      <c r="G49" s="33"/>
      <c r="H49" s="33"/>
      <c r="I49" s="33"/>
      <c r="J49" s="34"/>
      <c r="K49" s="34"/>
      <c r="L49" s="34"/>
      <c r="M49" s="119"/>
      <c r="N49" s="119"/>
      <c r="O49" s="119"/>
      <c r="P49" s="119"/>
      <c r="Q49" s="119" t="s">
        <v>116</v>
      </c>
      <c r="R49" s="119">
        <f>1.8</f>
        <v>1.8</v>
      </c>
      <c r="S49" s="119" t="s">
        <v>117</v>
      </c>
      <c r="T49" s="118">
        <f>(R57/R42)*100</f>
        <v>-54.04900064474536</v>
      </c>
      <c r="U49" s="118" t="s">
        <v>163</v>
      </c>
      <c r="V49" s="118" t="s">
        <v>164</v>
      </c>
      <c r="W49" s="118"/>
      <c r="X49" s="118"/>
      <c r="Y49" s="120"/>
      <c r="Z49" s="118"/>
      <c r="AA49" s="118"/>
      <c r="AB49" s="4"/>
      <c r="AC49" s="108"/>
      <c r="AD49" s="110">
        <f>IF(OR(AD19="",AD44=""),"",$S$109)</f>
        <v>7.377777777777778</v>
      </c>
      <c r="AE49" s="107"/>
      <c r="AF49" s="107"/>
      <c r="AG49" s="107"/>
      <c r="AH49" s="118"/>
      <c r="AI49" s="118"/>
      <c r="AJ49" s="118"/>
      <c r="AK49" s="118"/>
      <c r="AL49" s="118"/>
      <c r="AM49" s="118"/>
      <c r="AN49" s="123"/>
      <c r="AO49" s="118"/>
      <c r="AP49" s="143">
        <f t="shared" si="3"/>
        <v>65</v>
      </c>
      <c r="AQ49" s="118">
        <f t="shared" si="0"/>
        <v>1.424052151655735</v>
      </c>
      <c r="AR49" s="118">
        <f t="shared" si="1"/>
        <v>1.4079739241721327</v>
      </c>
      <c r="AS49" s="118">
        <f t="shared" si="4"/>
        <v>45.75915253559431</v>
      </c>
      <c r="AT49" s="107">
        <f t="shared" si="2"/>
        <v>6.44848484848485</v>
      </c>
      <c r="AU49" s="118"/>
      <c r="AV49" s="118"/>
    </row>
    <row r="50" spans="1:48" ht="12.75">
      <c r="A50" s="34"/>
      <c r="B50" s="34"/>
      <c r="C50" s="34"/>
      <c r="D50" s="34"/>
      <c r="E50" s="42"/>
      <c r="F50" s="36"/>
      <c r="G50" s="33"/>
      <c r="H50" s="33"/>
      <c r="I50" s="33"/>
      <c r="J50" s="34"/>
      <c r="K50" s="34"/>
      <c r="L50" s="34"/>
      <c r="M50" s="119"/>
      <c r="N50" s="119"/>
      <c r="O50" s="119"/>
      <c r="P50" s="119"/>
      <c r="Q50" s="119" t="s">
        <v>119</v>
      </c>
      <c r="R50" s="122">
        <f>E22</f>
        <v>0.6</v>
      </c>
      <c r="S50" s="119" t="s">
        <v>117</v>
      </c>
      <c r="T50" s="118"/>
      <c r="U50" s="118"/>
      <c r="V50" s="118"/>
      <c r="W50" s="118"/>
      <c r="X50" s="118"/>
      <c r="Y50" s="120"/>
      <c r="Z50" s="118"/>
      <c r="AA50" s="118"/>
      <c r="AB50" s="4"/>
      <c r="AC50" s="107"/>
      <c r="AD50" s="109"/>
      <c r="AE50" s="107"/>
      <c r="AF50" s="107"/>
      <c r="AG50" s="107"/>
      <c r="AH50" s="118"/>
      <c r="AI50" s="118"/>
      <c r="AJ50" s="118"/>
      <c r="AK50" s="118"/>
      <c r="AL50" s="118"/>
      <c r="AM50" s="118"/>
      <c r="AN50" s="123"/>
      <c r="AO50" s="118"/>
      <c r="AP50" s="143">
        <f t="shared" si="3"/>
        <v>65</v>
      </c>
      <c r="AQ50" s="118">
        <f t="shared" si="0"/>
        <v>1.424052151655735</v>
      </c>
      <c r="AR50" s="118">
        <f t="shared" si="1"/>
        <v>1.4079739241721327</v>
      </c>
      <c r="AS50" s="118">
        <f t="shared" si="4"/>
        <v>45.75915253559431</v>
      </c>
      <c r="AT50" s="107">
        <f t="shared" si="2"/>
        <v>6.44848484848485</v>
      </c>
      <c r="AU50" s="118"/>
      <c r="AV50" s="118"/>
    </row>
    <row r="51" spans="1:48" ht="12.75">
      <c r="A51" s="34"/>
      <c r="B51" s="34" t="s">
        <v>243</v>
      </c>
      <c r="C51" s="156" t="s">
        <v>245</v>
      </c>
      <c r="D51" s="156"/>
      <c r="E51" s="9">
        <f>IF(OR(E37="",E44=""),"",$R$54)</f>
        <v>-48.30234159779617</v>
      </c>
      <c r="F51" s="21" t="s">
        <v>209</v>
      </c>
      <c r="G51" s="33"/>
      <c r="H51" s="33"/>
      <c r="I51" s="33"/>
      <c r="J51" s="34"/>
      <c r="K51" s="34"/>
      <c r="L51" s="34"/>
      <c r="M51" s="119"/>
      <c r="N51" s="119"/>
      <c r="O51" s="119"/>
      <c r="P51" s="119"/>
      <c r="Q51" s="119" t="s">
        <v>118</v>
      </c>
      <c r="R51" s="122">
        <f>E23</f>
        <v>0.2</v>
      </c>
      <c r="S51" s="119" t="s">
        <v>117</v>
      </c>
      <c r="T51" s="118">
        <f>R51+(1/R48)*R50+R58/2</f>
        <v>0.6355664966883534</v>
      </c>
      <c r="U51" s="118" t="s">
        <v>117</v>
      </c>
      <c r="V51" s="118" t="s">
        <v>162</v>
      </c>
      <c r="W51" s="118"/>
      <c r="X51" s="118"/>
      <c r="Y51" s="120"/>
      <c r="Z51" s="118"/>
      <c r="AA51" s="118"/>
      <c r="AB51" s="4"/>
      <c r="AC51" s="108"/>
      <c r="AD51" s="110">
        <f>IF(OR(AD37="",AD44=""),"",$R$54)</f>
        <v>-48.30234159779617</v>
      </c>
      <c r="AE51" s="107"/>
      <c r="AF51" s="107"/>
      <c r="AG51" s="107"/>
      <c r="AH51" s="118"/>
      <c r="AI51" s="118"/>
      <c r="AJ51" s="118"/>
      <c r="AK51" s="118"/>
      <c r="AL51" s="118"/>
      <c r="AM51" s="118"/>
      <c r="AN51" s="123"/>
      <c r="AO51" s="118"/>
      <c r="AP51" s="143">
        <f t="shared" si="3"/>
        <v>65</v>
      </c>
      <c r="AQ51" s="118">
        <f t="shared" si="0"/>
        <v>1.424052151655735</v>
      </c>
      <c r="AR51" s="118">
        <f t="shared" si="1"/>
        <v>1.4079739241721327</v>
      </c>
      <c r="AS51" s="118">
        <f t="shared" si="4"/>
        <v>45.75915253559431</v>
      </c>
      <c r="AT51" s="107">
        <f t="shared" si="2"/>
        <v>6.44848484848485</v>
      </c>
      <c r="AU51" s="118"/>
      <c r="AV51" s="118"/>
    </row>
    <row r="52" spans="1:48" ht="12.75">
      <c r="A52" s="34"/>
      <c r="B52" s="34"/>
      <c r="C52" s="156" t="s">
        <v>183</v>
      </c>
      <c r="D52" s="156"/>
      <c r="E52" s="28">
        <v>47</v>
      </c>
      <c r="F52" s="21" t="s">
        <v>209</v>
      </c>
      <c r="G52" s="34"/>
      <c r="H52" s="34"/>
      <c r="I52" s="34"/>
      <c r="J52" s="34"/>
      <c r="K52" s="34"/>
      <c r="L52" s="34"/>
      <c r="M52" s="119"/>
      <c r="N52" s="119"/>
      <c r="O52" s="119"/>
      <c r="P52" s="119" t="s">
        <v>128</v>
      </c>
      <c r="Q52" s="119" t="s">
        <v>120</v>
      </c>
      <c r="R52" s="119">
        <f>(R49-(R51+(1/R48)*R50))*2</f>
        <v>2</v>
      </c>
      <c r="S52" s="119" t="s">
        <v>117</v>
      </c>
      <c r="T52" s="118"/>
      <c r="U52" s="118"/>
      <c r="V52" s="118"/>
      <c r="W52" s="118"/>
      <c r="X52" s="118"/>
      <c r="Y52" s="120"/>
      <c r="Z52" s="118"/>
      <c r="AA52" s="118"/>
      <c r="AB52" s="4"/>
      <c r="AC52" s="108"/>
      <c r="AD52" s="112">
        <v>82</v>
      </c>
      <c r="AE52" s="107"/>
      <c r="AF52" s="107"/>
      <c r="AG52" s="107"/>
      <c r="AH52" s="118"/>
      <c r="AI52" s="118"/>
      <c r="AJ52" s="118"/>
      <c r="AK52" s="118"/>
      <c r="AL52" s="118"/>
      <c r="AM52" s="118"/>
      <c r="AN52" s="123"/>
      <c r="AO52" s="118"/>
      <c r="AP52" s="143">
        <f t="shared" si="3"/>
        <v>65</v>
      </c>
      <c r="AQ52" s="118">
        <f t="shared" si="0"/>
        <v>1.424052151655735</v>
      </c>
      <c r="AR52" s="118">
        <f t="shared" si="1"/>
        <v>1.4079739241721327</v>
      </c>
      <c r="AS52" s="118">
        <f t="shared" si="4"/>
        <v>45.75915253559431</v>
      </c>
      <c r="AT52" s="107">
        <f t="shared" si="2"/>
        <v>6.44848484848485</v>
      </c>
      <c r="AU52" s="118"/>
      <c r="AV52" s="118"/>
    </row>
    <row r="53" spans="1:48" ht="12.75">
      <c r="A53" s="34"/>
      <c r="B53" s="34"/>
      <c r="C53" s="156" t="s">
        <v>184</v>
      </c>
      <c r="D53" s="156"/>
      <c r="E53" s="44">
        <f>IF(E52="","",$R$56)</f>
        <v>-0.5589225589225593</v>
      </c>
      <c r="F53" s="21" t="s">
        <v>136</v>
      </c>
      <c r="G53" s="34"/>
      <c r="H53" s="34"/>
      <c r="I53" s="34"/>
      <c r="J53" s="34"/>
      <c r="K53" s="34"/>
      <c r="L53" s="34"/>
      <c r="M53" s="119"/>
      <c r="N53" s="119"/>
      <c r="O53" s="119"/>
      <c r="P53" s="119"/>
      <c r="Q53" s="119" t="s">
        <v>126</v>
      </c>
      <c r="R53" s="119">
        <f>(($R45-$S98)*$S98)/(0.4*$R$42*$S108*10^3*$R45)</f>
        <v>-4.830234159779617E-05</v>
      </c>
      <c r="S53" s="119" t="s">
        <v>125</v>
      </c>
      <c r="T53" s="118"/>
      <c r="U53" s="118"/>
      <c r="V53" s="118"/>
      <c r="W53" s="118"/>
      <c r="X53" s="118"/>
      <c r="Y53" s="120"/>
      <c r="Z53" s="118"/>
      <c r="AA53" s="118"/>
      <c r="AB53" s="4"/>
      <c r="AC53" s="108"/>
      <c r="AD53" s="113">
        <f>IF(AD52="","",$R$56)</f>
        <v>-0.5589225589225593</v>
      </c>
      <c r="AE53" s="107"/>
      <c r="AF53" s="107"/>
      <c r="AG53" s="107"/>
      <c r="AH53" s="118"/>
      <c r="AI53" s="118"/>
      <c r="AJ53" s="118"/>
      <c r="AK53" s="118"/>
      <c r="AL53" s="118"/>
      <c r="AM53" s="118"/>
      <c r="AN53" s="123"/>
      <c r="AO53" s="118"/>
      <c r="AP53" s="143">
        <f t="shared" si="3"/>
        <v>65</v>
      </c>
      <c r="AQ53" s="118">
        <f t="shared" si="0"/>
        <v>1.424052151655735</v>
      </c>
      <c r="AR53" s="118">
        <f t="shared" si="1"/>
        <v>1.4079739241721327</v>
      </c>
      <c r="AS53" s="118">
        <f t="shared" si="4"/>
        <v>45.75915253559431</v>
      </c>
      <c r="AT53" s="107">
        <f t="shared" si="2"/>
        <v>6.44848484848485</v>
      </c>
      <c r="AU53" s="118"/>
      <c r="AV53" s="118"/>
    </row>
    <row r="54" spans="1:48" ht="12.75">
      <c r="A54" s="34"/>
      <c r="B54" s="34"/>
      <c r="C54" s="156" t="s">
        <v>185</v>
      </c>
      <c r="D54" s="156"/>
      <c r="E54" s="44">
        <f>IF(E52="","",$R$57)</f>
        <v>-0.4323920051579629</v>
      </c>
      <c r="F54" s="21" t="s">
        <v>136</v>
      </c>
      <c r="G54" s="34"/>
      <c r="H54" s="34"/>
      <c r="I54" s="34"/>
      <c r="J54" s="34"/>
      <c r="K54" s="34"/>
      <c r="L54" s="34"/>
      <c r="M54" s="119"/>
      <c r="N54" s="119"/>
      <c r="O54" s="119"/>
      <c r="P54" s="119"/>
      <c r="Q54" s="119" t="s">
        <v>264</v>
      </c>
      <c r="R54" s="119">
        <f>R53/10^-6</f>
        <v>-48.30234159779617</v>
      </c>
      <c r="S54" s="119" t="s">
        <v>88</v>
      </c>
      <c r="T54" s="118"/>
      <c r="U54" s="118"/>
      <c r="V54" s="118"/>
      <c r="W54" s="118"/>
      <c r="X54" s="118"/>
      <c r="Y54" s="120"/>
      <c r="Z54" s="118"/>
      <c r="AA54" s="118"/>
      <c r="AB54" s="4"/>
      <c r="AC54" s="108"/>
      <c r="AD54" s="113">
        <f>IF(AD52="","",$R$57)</f>
        <v>-0.4323920051579629</v>
      </c>
      <c r="AE54" s="107"/>
      <c r="AF54" s="107"/>
      <c r="AG54" s="107"/>
      <c r="AH54" s="118"/>
      <c r="AI54" s="118"/>
      <c r="AJ54" s="118"/>
      <c r="AK54" s="118"/>
      <c r="AL54" s="118"/>
      <c r="AM54" s="118"/>
      <c r="AN54" s="123"/>
      <c r="AO54" s="118"/>
      <c r="AP54" s="143">
        <f t="shared" si="3"/>
        <v>65</v>
      </c>
      <c r="AQ54" s="118">
        <f t="shared" si="0"/>
        <v>1.424052151655735</v>
      </c>
      <c r="AR54" s="118">
        <f t="shared" si="1"/>
        <v>1.4079739241721327</v>
      </c>
      <c r="AS54" s="118">
        <f t="shared" si="4"/>
        <v>45.75915253559431</v>
      </c>
      <c r="AT54" s="107">
        <f t="shared" si="2"/>
        <v>6.44848484848485</v>
      </c>
      <c r="AU54" s="118"/>
      <c r="AV54" s="118"/>
    </row>
    <row r="55" spans="1:48" ht="12.75">
      <c r="A55" s="34"/>
      <c r="B55" s="34"/>
      <c r="C55" s="156" t="s">
        <v>186</v>
      </c>
      <c r="D55" s="156"/>
      <c r="E55" s="44">
        <f>IF(E52="","",$R$58)</f>
        <v>-0.32886700662329316</v>
      </c>
      <c r="F55" s="21" t="s">
        <v>136</v>
      </c>
      <c r="G55" s="34"/>
      <c r="H55" s="34"/>
      <c r="I55" s="34"/>
      <c r="J55" s="34"/>
      <c r="K55" s="34"/>
      <c r="L55" s="34"/>
      <c r="M55" s="119"/>
      <c r="N55" s="119"/>
      <c r="O55" s="119" t="s">
        <v>130</v>
      </c>
      <c r="P55" s="119" t="s">
        <v>127</v>
      </c>
      <c r="Q55" s="119" t="s">
        <v>264</v>
      </c>
      <c r="R55" s="122">
        <f>E52</f>
        <v>47</v>
      </c>
      <c r="S55" s="119" t="s">
        <v>88</v>
      </c>
      <c r="T55" s="118"/>
      <c r="U55" s="118"/>
      <c r="V55" s="118"/>
      <c r="W55" s="118"/>
      <c r="X55" s="118"/>
      <c r="Y55" s="120"/>
      <c r="Z55" s="118"/>
      <c r="AA55" s="118"/>
      <c r="AB55" s="4"/>
      <c r="AC55" s="108"/>
      <c r="AD55" s="113">
        <f>IF(AD52="","",$R$58)</f>
        <v>-0.32886700662329316</v>
      </c>
      <c r="AE55" s="107"/>
      <c r="AF55" s="107"/>
      <c r="AG55" s="107"/>
      <c r="AH55" s="118"/>
      <c r="AI55" s="118"/>
      <c r="AJ55" s="118"/>
      <c r="AK55" s="118"/>
      <c r="AL55" s="118"/>
      <c r="AM55" s="118"/>
      <c r="AN55" s="123"/>
      <c r="AO55" s="118"/>
      <c r="AP55" s="143">
        <f aca="true" t="shared" si="6" ref="AP55:AP64">IF((AP54+2)&lt;65,(AP54+2),65)</f>
        <v>65</v>
      </c>
      <c r="AQ55" s="118">
        <f t="shared" si="0"/>
        <v>1.424052151655735</v>
      </c>
      <c r="AR55" s="118">
        <f t="shared" si="1"/>
        <v>1.4079739241721327</v>
      </c>
      <c r="AS55" s="118">
        <f t="shared" si="4"/>
        <v>45.75915253559431</v>
      </c>
      <c r="AT55" s="107">
        <f t="shared" si="2"/>
        <v>6.44848484848485</v>
      </c>
      <c r="AU55" s="118"/>
      <c r="AV55" s="118"/>
    </row>
    <row r="56" spans="1:48" ht="15.75">
      <c r="A56" s="34"/>
      <c r="B56" s="34"/>
      <c r="C56" s="156" t="s">
        <v>210</v>
      </c>
      <c r="D56" s="156"/>
      <c r="E56" s="9">
        <f>IF(E52="","",$T$51)</f>
        <v>0.6355664966883534</v>
      </c>
      <c r="F56" s="21" t="s">
        <v>117</v>
      </c>
      <c r="G56" s="34"/>
      <c r="H56" s="34"/>
      <c r="I56" s="34"/>
      <c r="J56" s="34"/>
      <c r="K56" s="34"/>
      <c r="L56" s="34"/>
      <c r="M56" s="119"/>
      <c r="N56" s="119"/>
      <c r="O56" s="119" t="s">
        <v>131</v>
      </c>
      <c r="P56" s="119" t="s">
        <v>129</v>
      </c>
      <c r="Q56" s="119" t="s">
        <v>120</v>
      </c>
      <c r="R56" s="119">
        <f>(($R43-$S98)*$S98)/($R$55*10^-6*$S108*10^3*$R43)</f>
        <v>-0.5589225589225593</v>
      </c>
      <c r="S56" s="119" t="s">
        <v>117</v>
      </c>
      <c r="T56" s="118" t="s">
        <v>137</v>
      </c>
      <c r="U56" s="118" t="s">
        <v>131</v>
      </c>
      <c r="V56" s="118" t="s">
        <v>129</v>
      </c>
      <c r="W56" s="118" t="s">
        <v>132</v>
      </c>
      <c r="X56" s="118">
        <f>$R$51+(1/$R$48)*$R$50+$R56/2</f>
        <v>0.5205387205387204</v>
      </c>
      <c r="Y56" s="118" t="s">
        <v>117</v>
      </c>
      <c r="Z56" s="118"/>
      <c r="AA56" s="118"/>
      <c r="AB56" s="4"/>
      <c r="AC56" s="108"/>
      <c r="AD56" s="110">
        <f>IF(AD52="","",$T$51)</f>
        <v>0.6355664966883534</v>
      </c>
      <c r="AE56" s="107"/>
      <c r="AF56" s="107"/>
      <c r="AG56" s="107"/>
      <c r="AH56" s="118"/>
      <c r="AI56" s="118"/>
      <c r="AJ56" s="118"/>
      <c r="AK56" s="118"/>
      <c r="AL56" s="118"/>
      <c r="AM56" s="118"/>
      <c r="AN56" s="118"/>
      <c r="AO56" s="118"/>
      <c r="AP56" s="143">
        <f t="shared" si="6"/>
        <v>65</v>
      </c>
      <c r="AQ56" s="118">
        <f t="shared" si="0"/>
        <v>1.424052151655735</v>
      </c>
      <c r="AR56" s="118">
        <f t="shared" si="1"/>
        <v>1.4079739241721327</v>
      </c>
      <c r="AS56" s="118">
        <f t="shared" si="4"/>
        <v>45.75915253559431</v>
      </c>
      <c r="AT56" s="107">
        <f t="shared" si="2"/>
        <v>6.44848484848485</v>
      </c>
      <c r="AU56" s="118"/>
      <c r="AV56" s="118"/>
    </row>
    <row r="57" spans="1:48" ht="12.75" customHeight="1">
      <c r="A57" s="34"/>
      <c r="B57" s="34"/>
      <c r="C57" s="156" t="s">
        <v>147</v>
      </c>
      <c r="D57" s="156"/>
      <c r="E57" s="9">
        <f>IF(E52="","",$T$49)</f>
        <v>-54.04900064474536</v>
      </c>
      <c r="F57" s="21" t="s">
        <v>145</v>
      </c>
      <c r="G57" s="34"/>
      <c r="H57" s="34"/>
      <c r="I57" s="34"/>
      <c r="J57" s="34"/>
      <c r="K57" s="34"/>
      <c r="L57" s="34"/>
      <c r="M57" s="119"/>
      <c r="N57" s="119"/>
      <c r="O57" s="119" t="s">
        <v>131</v>
      </c>
      <c r="P57" s="119" t="s">
        <v>129</v>
      </c>
      <c r="Q57" s="119" t="s">
        <v>120</v>
      </c>
      <c r="R57" s="119">
        <f>(($R44-$S$98)*$S$98)/($R$55*10^-6*$S$108*10^3*$R44)</f>
        <v>-0.4323920051579629</v>
      </c>
      <c r="S57" s="119" t="s">
        <v>117</v>
      </c>
      <c r="T57" s="118" t="s">
        <v>138</v>
      </c>
      <c r="U57" s="118" t="s">
        <v>131</v>
      </c>
      <c r="V57" s="118" t="s">
        <v>129</v>
      </c>
      <c r="W57" s="118" t="s">
        <v>132</v>
      </c>
      <c r="X57" s="118">
        <f>$R$51+(1/$R$48)*$R$50+$R57/2</f>
        <v>0.5838039974210186</v>
      </c>
      <c r="Y57" s="118" t="s">
        <v>117</v>
      </c>
      <c r="Z57" s="118"/>
      <c r="AA57" s="118"/>
      <c r="AB57" s="4"/>
      <c r="AC57" s="108"/>
      <c r="AD57" s="110">
        <f>IF(AD52="","",$T$49)</f>
        <v>-54.04900064474536</v>
      </c>
      <c r="AE57" s="107"/>
      <c r="AF57" s="107"/>
      <c r="AG57" s="107"/>
      <c r="AH57" s="118"/>
      <c r="AI57" s="118"/>
      <c r="AJ57" s="118"/>
      <c r="AK57" s="118"/>
      <c r="AL57" s="118"/>
      <c r="AM57" s="118"/>
      <c r="AN57" s="118"/>
      <c r="AO57" s="118"/>
      <c r="AP57" s="143">
        <f t="shared" si="6"/>
        <v>65</v>
      </c>
      <c r="AQ57" s="118">
        <f t="shared" si="0"/>
        <v>1.424052151655735</v>
      </c>
      <c r="AR57" s="118">
        <f t="shared" si="1"/>
        <v>1.4079739241721327</v>
      </c>
      <c r="AS57" s="118">
        <f t="shared" si="4"/>
        <v>45.75915253559431</v>
      </c>
      <c r="AT57" s="107">
        <f t="shared" si="2"/>
        <v>6.44848484848485</v>
      </c>
      <c r="AU57" s="118"/>
      <c r="AV57" s="118"/>
    </row>
    <row r="58" spans="1:48" ht="12.75">
      <c r="A58" s="34"/>
      <c r="B58" s="34"/>
      <c r="C58" s="34"/>
      <c r="D58" s="34"/>
      <c r="E58" s="42"/>
      <c r="F58" s="36"/>
      <c r="G58" s="34"/>
      <c r="H58" s="34"/>
      <c r="I58" s="34"/>
      <c r="J58" s="34"/>
      <c r="K58" s="34"/>
      <c r="L58" s="34"/>
      <c r="M58" s="119"/>
      <c r="N58" s="119"/>
      <c r="O58" s="119" t="s">
        <v>131</v>
      </c>
      <c r="P58" s="119" t="s">
        <v>129</v>
      </c>
      <c r="Q58" s="119" t="s">
        <v>120</v>
      </c>
      <c r="R58" s="119">
        <f>(($R45-$S$98)*$S$98)/($R$55*10^-6*$S$108*10^3*$R45)</f>
        <v>-0.32886700662329316</v>
      </c>
      <c r="S58" s="119" t="s">
        <v>117</v>
      </c>
      <c r="T58" s="118" t="s">
        <v>133</v>
      </c>
      <c r="U58" s="118" t="s">
        <v>131</v>
      </c>
      <c r="V58" s="118" t="s">
        <v>129</v>
      </c>
      <c r="W58" s="118" t="s">
        <v>132</v>
      </c>
      <c r="X58" s="118">
        <f>$R$51+(1/$R$48)*$R$50+$R58/2</f>
        <v>0.6355664966883534</v>
      </c>
      <c r="Y58" s="118" t="s">
        <v>117</v>
      </c>
      <c r="Z58" s="118"/>
      <c r="AA58" s="118"/>
      <c r="AB58" s="4"/>
      <c r="AC58" s="107"/>
      <c r="AD58" s="109"/>
      <c r="AE58" s="107"/>
      <c r="AF58" s="107"/>
      <c r="AG58" s="107"/>
      <c r="AH58" s="118"/>
      <c r="AI58" s="118"/>
      <c r="AJ58" s="118"/>
      <c r="AK58" s="118"/>
      <c r="AL58" s="118"/>
      <c r="AM58" s="118"/>
      <c r="AN58" s="118"/>
      <c r="AO58" s="118"/>
      <c r="AP58" s="143">
        <f t="shared" si="6"/>
        <v>65</v>
      </c>
      <c r="AQ58" s="118">
        <f t="shared" si="0"/>
        <v>1.424052151655735</v>
      </c>
      <c r="AR58" s="118">
        <f t="shared" si="1"/>
        <v>1.4079739241721327</v>
      </c>
      <c r="AS58" s="118">
        <f t="shared" si="4"/>
        <v>45.75915253559431</v>
      </c>
      <c r="AT58" s="107">
        <f t="shared" si="2"/>
        <v>6.44848484848485</v>
      </c>
      <c r="AU58" s="118"/>
      <c r="AV58" s="118"/>
    </row>
    <row r="59" spans="1:48" ht="12.75">
      <c r="A59" s="34"/>
      <c r="B59" s="34" t="s">
        <v>101</v>
      </c>
      <c r="C59" s="34"/>
      <c r="D59" s="92" t="s">
        <v>46</v>
      </c>
      <c r="E59" s="30">
        <v>15</v>
      </c>
      <c r="F59" s="21" t="s">
        <v>47</v>
      </c>
      <c r="G59" s="34"/>
      <c r="H59" s="34"/>
      <c r="I59" s="34"/>
      <c r="J59" s="34"/>
      <c r="K59" s="34"/>
      <c r="L59" s="34"/>
      <c r="M59" s="119"/>
      <c r="N59" s="119"/>
      <c r="O59" s="119"/>
      <c r="P59" s="119"/>
      <c r="Q59" s="119"/>
      <c r="R59" s="119"/>
      <c r="S59" s="119"/>
      <c r="T59" s="118"/>
      <c r="U59" s="118"/>
      <c r="V59" s="118"/>
      <c r="W59" s="118"/>
      <c r="X59" s="118"/>
      <c r="Y59" s="120"/>
      <c r="Z59" s="118"/>
      <c r="AA59" s="118"/>
      <c r="AB59" s="4"/>
      <c r="AC59" s="108"/>
      <c r="AD59" s="114">
        <v>15</v>
      </c>
      <c r="AE59" s="107"/>
      <c r="AF59" s="107"/>
      <c r="AG59" s="107"/>
      <c r="AH59" s="118"/>
      <c r="AI59" s="118"/>
      <c r="AJ59" s="118"/>
      <c r="AK59" s="118"/>
      <c r="AL59" s="118"/>
      <c r="AM59" s="118"/>
      <c r="AN59" s="118"/>
      <c r="AO59" s="118"/>
      <c r="AP59" s="143">
        <f t="shared" si="6"/>
        <v>65</v>
      </c>
      <c r="AQ59" s="118">
        <f t="shared" si="0"/>
        <v>1.424052151655735</v>
      </c>
      <c r="AR59" s="118">
        <f t="shared" si="1"/>
        <v>1.4079739241721327</v>
      </c>
      <c r="AS59" s="118">
        <f t="shared" si="4"/>
        <v>45.75915253559431</v>
      </c>
      <c r="AT59" s="107">
        <f t="shared" si="2"/>
        <v>6.44848484848485</v>
      </c>
      <c r="AU59" s="118"/>
      <c r="AV59" s="118"/>
    </row>
    <row r="60" spans="1:48" ht="15.75">
      <c r="A60" s="34"/>
      <c r="B60" s="34"/>
      <c r="C60" s="34"/>
      <c r="D60" s="92" t="s">
        <v>211</v>
      </c>
      <c r="E60" s="44">
        <f>IF(E59="","",$S$129)</f>
        <v>0.07875</v>
      </c>
      <c r="F60" s="21" t="s">
        <v>212</v>
      </c>
      <c r="G60" s="34"/>
      <c r="H60" s="34"/>
      <c r="I60" s="34"/>
      <c r="J60" s="34"/>
      <c r="K60" s="34"/>
      <c r="L60" s="34"/>
      <c r="M60" s="119"/>
      <c r="N60" s="119"/>
      <c r="O60" s="119"/>
      <c r="P60" s="119"/>
      <c r="Q60" s="119"/>
      <c r="R60" s="119"/>
      <c r="S60" s="119"/>
      <c r="T60" s="118"/>
      <c r="U60" s="118"/>
      <c r="V60" s="118"/>
      <c r="W60" s="118"/>
      <c r="X60" s="118"/>
      <c r="Y60" s="120"/>
      <c r="Z60" s="118"/>
      <c r="AA60" s="118"/>
      <c r="AB60" s="4"/>
      <c r="AC60" s="108"/>
      <c r="AD60" s="113">
        <f>IF(AD59="","",$S$129)</f>
        <v>0.07875</v>
      </c>
      <c r="AE60" s="107"/>
      <c r="AF60" s="107"/>
      <c r="AG60" s="107"/>
      <c r="AH60" s="118"/>
      <c r="AI60" s="118"/>
      <c r="AJ60" s="118"/>
      <c r="AK60" s="118"/>
      <c r="AL60" s="118"/>
      <c r="AM60" s="118"/>
      <c r="AN60" s="118"/>
      <c r="AO60" s="118"/>
      <c r="AP60" s="143">
        <f t="shared" si="6"/>
        <v>65</v>
      </c>
      <c r="AQ60" s="118">
        <f t="shared" si="0"/>
        <v>1.424052151655735</v>
      </c>
      <c r="AR60" s="118">
        <f t="shared" si="1"/>
        <v>1.4079739241721327</v>
      </c>
      <c r="AS60" s="118">
        <f t="shared" si="4"/>
        <v>45.75915253559431</v>
      </c>
      <c r="AT60" s="107">
        <f t="shared" si="2"/>
        <v>6.44848484848485</v>
      </c>
      <c r="AU60" s="118"/>
      <c r="AV60" s="118"/>
    </row>
    <row r="61" spans="1:48" ht="15.75">
      <c r="A61" s="34"/>
      <c r="B61" s="34"/>
      <c r="C61" s="34"/>
      <c r="D61" s="92" t="s">
        <v>213</v>
      </c>
      <c r="E61" s="30">
        <v>0.082</v>
      </c>
      <c r="F61" s="21" t="s">
        <v>212</v>
      </c>
      <c r="G61" s="34"/>
      <c r="H61" s="34"/>
      <c r="I61" s="34"/>
      <c r="J61" s="34"/>
      <c r="K61" s="34"/>
      <c r="L61" s="34"/>
      <c r="M61" s="119"/>
      <c r="N61" s="119">
        <v>100</v>
      </c>
      <c r="O61" s="119"/>
      <c r="P61" s="119"/>
      <c r="Q61" s="119"/>
      <c r="R61" s="119"/>
      <c r="S61" s="119"/>
      <c r="T61" s="118"/>
      <c r="U61" s="118"/>
      <c r="V61" s="118"/>
      <c r="W61" s="118"/>
      <c r="X61" s="118"/>
      <c r="Y61" s="120"/>
      <c r="Z61" s="118"/>
      <c r="AA61" s="118"/>
      <c r="AB61" s="4"/>
      <c r="AC61" s="108"/>
      <c r="AD61" s="114">
        <v>0.082</v>
      </c>
      <c r="AE61" s="107"/>
      <c r="AF61" s="107"/>
      <c r="AG61" s="107"/>
      <c r="AH61" s="118"/>
      <c r="AI61" s="118"/>
      <c r="AJ61" s="118"/>
      <c r="AK61" s="118"/>
      <c r="AL61" s="118"/>
      <c r="AM61" s="118"/>
      <c r="AN61" s="118"/>
      <c r="AO61" s="118"/>
      <c r="AP61" s="143">
        <f t="shared" si="6"/>
        <v>65</v>
      </c>
      <c r="AQ61" s="118">
        <f t="shared" si="0"/>
        <v>1.424052151655735</v>
      </c>
      <c r="AR61" s="118">
        <f t="shared" si="1"/>
        <v>1.4079739241721327</v>
      </c>
      <c r="AS61" s="118">
        <f t="shared" si="4"/>
        <v>45.75915253559431</v>
      </c>
      <c r="AT61" s="107">
        <f t="shared" si="2"/>
        <v>6.44848484848485</v>
      </c>
      <c r="AU61" s="118"/>
      <c r="AV61" s="118"/>
    </row>
    <row r="62" spans="1:48" ht="12.75">
      <c r="A62" s="34"/>
      <c r="B62" s="34"/>
      <c r="C62" s="34"/>
      <c r="D62" s="92" t="s">
        <v>50</v>
      </c>
      <c r="E62" s="44">
        <f>IF(E61="","",$S$130)</f>
        <v>15.619047619047619</v>
      </c>
      <c r="F62" s="21" t="s">
        <v>47</v>
      </c>
      <c r="G62" s="34"/>
      <c r="H62" s="34"/>
      <c r="I62" s="34"/>
      <c r="J62" s="34"/>
      <c r="K62" s="34"/>
      <c r="L62" s="34"/>
      <c r="M62" s="119"/>
      <c r="N62" s="119"/>
      <c r="O62" s="119"/>
      <c r="P62" s="119"/>
      <c r="Q62" s="119"/>
      <c r="R62" s="119"/>
      <c r="S62" s="119"/>
      <c r="T62" s="118"/>
      <c r="U62" s="118"/>
      <c r="V62" s="118"/>
      <c r="W62" s="118"/>
      <c r="X62" s="118"/>
      <c r="Y62" s="120"/>
      <c r="Z62" s="118"/>
      <c r="AA62" s="118"/>
      <c r="AB62" s="4"/>
      <c r="AC62" s="108"/>
      <c r="AD62" s="113">
        <f>IF(AD61="","",$S$130)</f>
        <v>15.619047619047619</v>
      </c>
      <c r="AE62" s="107"/>
      <c r="AF62" s="107"/>
      <c r="AG62" s="107"/>
      <c r="AH62" s="118"/>
      <c r="AI62" s="118"/>
      <c r="AJ62" s="118"/>
      <c r="AK62" s="118"/>
      <c r="AL62" s="118"/>
      <c r="AM62" s="118"/>
      <c r="AN62" s="118"/>
      <c r="AO62" s="118"/>
      <c r="AP62" s="143">
        <f t="shared" si="6"/>
        <v>65</v>
      </c>
      <c r="AQ62" s="118">
        <f t="shared" si="0"/>
        <v>1.424052151655735</v>
      </c>
      <c r="AR62" s="118">
        <f t="shared" si="1"/>
        <v>1.4079739241721327</v>
      </c>
      <c r="AS62" s="118">
        <f t="shared" si="4"/>
        <v>45.75915253559431</v>
      </c>
      <c r="AT62" s="107">
        <f t="shared" si="2"/>
        <v>6.44848484848485</v>
      </c>
      <c r="AU62" s="118"/>
      <c r="AV62" s="118"/>
    </row>
    <row r="63" spans="1:48" ht="12.75">
      <c r="A63" s="34"/>
      <c r="B63" s="34"/>
      <c r="C63" s="34"/>
      <c r="D63" s="34"/>
      <c r="E63" s="42"/>
      <c r="F63" s="36"/>
      <c r="G63" s="34"/>
      <c r="H63" s="34"/>
      <c r="I63" s="34"/>
      <c r="J63" s="34"/>
      <c r="K63" s="34"/>
      <c r="L63" s="34"/>
      <c r="M63" s="119"/>
      <c r="N63" s="119"/>
      <c r="O63" s="119"/>
      <c r="P63" s="119"/>
      <c r="Q63" s="119"/>
      <c r="R63" s="119"/>
      <c r="S63" s="119"/>
      <c r="T63" s="118"/>
      <c r="U63" s="118"/>
      <c r="V63" s="118"/>
      <c r="W63" s="118"/>
      <c r="X63" s="118"/>
      <c r="Y63" s="120"/>
      <c r="Z63" s="118"/>
      <c r="AA63" s="118"/>
      <c r="AB63" s="4"/>
      <c r="AC63" s="107"/>
      <c r="AD63" s="109"/>
      <c r="AE63" s="107"/>
      <c r="AF63" s="107"/>
      <c r="AG63" s="107"/>
      <c r="AH63" s="118"/>
      <c r="AI63" s="118"/>
      <c r="AJ63" s="118"/>
      <c r="AK63" s="118"/>
      <c r="AL63" s="118"/>
      <c r="AM63" s="118"/>
      <c r="AN63" s="118"/>
      <c r="AO63" s="118"/>
      <c r="AP63" s="143">
        <f t="shared" si="6"/>
        <v>65</v>
      </c>
      <c r="AQ63" s="118">
        <f t="shared" si="0"/>
        <v>1.424052151655735</v>
      </c>
      <c r="AR63" s="118">
        <f t="shared" si="1"/>
        <v>1.4079739241721327</v>
      </c>
      <c r="AS63" s="118">
        <f t="shared" si="4"/>
        <v>45.75915253559431</v>
      </c>
      <c r="AT63" s="107">
        <f t="shared" si="2"/>
        <v>6.44848484848485</v>
      </c>
      <c r="AU63" s="118"/>
      <c r="AV63" s="118"/>
    </row>
    <row r="64" spans="1:48" ht="12.75">
      <c r="A64" s="34"/>
      <c r="B64" s="34"/>
      <c r="C64" s="34"/>
      <c r="D64" s="34"/>
      <c r="E64" s="42"/>
      <c r="F64" s="36"/>
      <c r="G64" s="33"/>
      <c r="H64" s="45"/>
      <c r="I64" s="34"/>
      <c r="J64" s="34"/>
      <c r="K64" s="34"/>
      <c r="L64" s="34"/>
      <c r="M64" s="119"/>
      <c r="N64" s="119"/>
      <c r="O64" s="119"/>
      <c r="P64" s="119"/>
      <c r="Q64" s="119"/>
      <c r="R64" s="119"/>
      <c r="S64" s="119"/>
      <c r="T64" s="118"/>
      <c r="U64" s="118"/>
      <c r="V64" s="118"/>
      <c r="W64" s="118"/>
      <c r="X64" s="118"/>
      <c r="Y64" s="118"/>
      <c r="Z64" s="118"/>
      <c r="AA64" s="118"/>
      <c r="AB64" s="4"/>
      <c r="AC64" s="107"/>
      <c r="AD64" s="109"/>
      <c r="AE64" s="107"/>
      <c r="AF64" s="107"/>
      <c r="AG64" s="107"/>
      <c r="AH64" s="118"/>
      <c r="AI64" s="118"/>
      <c r="AJ64" s="118"/>
      <c r="AK64" s="118"/>
      <c r="AL64" s="118"/>
      <c r="AM64" s="118"/>
      <c r="AN64" s="118"/>
      <c r="AO64" s="118"/>
      <c r="AP64" s="143">
        <f t="shared" si="6"/>
        <v>65</v>
      </c>
      <c r="AQ64" s="118">
        <f t="shared" si="0"/>
        <v>1.424052151655735</v>
      </c>
      <c r="AR64" s="118">
        <f t="shared" si="1"/>
        <v>1.4079739241721327</v>
      </c>
      <c r="AS64" s="118">
        <f t="shared" si="4"/>
        <v>45.75915253559431</v>
      </c>
      <c r="AT64" s="107">
        <f t="shared" si="2"/>
        <v>6.44848484848485</v>
      </c>
      <c r="AU64" s="118"/>
      <c r="AV64" s="118"/>
    </row>
    <row r="65" spans="1:48" ht="12.75">
      <c r="A65" s="34"/>
      <c r="B65" s="34" t="s">
        <v>102</v>
      </c>
      <c r="C65" s="34"/>
      <c r="D65" s="21" t="s">
        <v>139</v>
      </c>
      <c r="E65" s="5" t="s">
        <v>13</v>
      </c>
      <c r="F65" s="36"/>
      <c r="G65" s="34"/>
      <c r="H65" s="34"/>
      <c r="I65" s="34"/>
      <c r="J65" s="34"/>
      <c r="K65" s="34"/>
      <c r="L65" s="34"/>
      <c r="M65" s="119"/>
      <c r="N65" s="119"/>
      <c r="O65" s="119"/>
      <c r="P65" s="119"/>
      <c r="Q65" s="119"/>
      <c r="R65" s="119"/>
      <c r="S65" s="119"/>
      <c r="T65" s="118"/>
      <c r="U65" s="118"/>
      <c r="V65" s="118"/>
      <c r="W65" s="118"/>
      <c r="X65" s="118"/>
      <c r="Y65" s="118"/>
      <c r="Z65" s="118"/>
      <c r="AA65" s="118"/>
      <c r="AB65" s="4"/>
      <c r="AC65" s="108"/>
      <c r="AD65" s="111" t="s">
        <v>13</v>
      </c>
      <c r="AE65" s="107"/>
      <c r="AF65" s="107"/>
      <c r="AG65" s="107"/>
      <c r="AH65" s="118"/>
      <c r="AI65" s="118"/>
      <c r="AJ65" s="118"/>
      <c r="AK65" s="118"/>
      <c r="AL65" s="118"/>
      <c r="AM65" s="118"/>
      <c r="AN65" s="118"/>
      <c r="AO65" s="118"/>
      <c r="AP65" s="118"/>
      <c r="AQ65" s="118"/>
      <c r="AR65" s="118"/>
      <c r="AS65" s="118"/>
      <c r="AT65" s="118"/>
      <c r="AU65" s="118"/>
      <c r="AV65" s="118"/>
    </row>
    <row r="66" spans="1:48" ht="12.75">
      <c r="A66" s="34"/>
      <c r="B66" s="34"/>
      <c r="C66" s="34"/>
      <c r="D66" s="38">
        <f>IF(E65="Type 3","","Minimum Recommended Value for R3")</f>
      </c>
      <c r="E66" s="91"/>
      <c r="F66" s="36"/>
      <c r="G66" s="34"/>
      <c r="H66" s="34"/>
      <c r="I66" s="34"/>
      <c r="J66" s="34"/>
      <c r="K66" s="34"/>
      <c r="L66" s="34"/>
      <c r="M66" s="119"/>
      <c r="N66" s="119"/>
      <c r="O66" s="119"/>
      <c r="P66" s="119"/>
      <c r="Q66" s="119"/>
      <c r="R66" s="119"/>
      <c r="S66" s="119"/>
      <c r="T66" s="118"/>
      <c r="U66" s="118"/>
      <c r="V66" s="118"/>
      <c r="W66" s="118"/>
      <c r="X66" s="118"/>
      <c r="Y66" s="118"/>
      <c r="Z66" s="118"/>
      <c r="AA66" s="118"/>
      <c r="AB66" s="4"/>
      <c r="AC66" s="108"/>
      <c r="AD66" s="109"/>
      <c r="AE66" s="107"/>
      <c r="AF66" s="107"/>
      <c r="AG66" s="107"/>
      <c r="AH66" s="118"/>
      <c r="AI66" s="118"/>
      <c r="AJ66" s="118"/>
      <c r="AK66" s="118"/>
      <c r="AL66" s="118"/>
      <c r="AM66" s="118"/>
      <c r="AN66" s="118"/>
      <c r="AO66" s="118"/>
      <c r="AP66" s="118"/>
      <c r="AQ66" s="118"/>
      <c r="AR66" s="118"/>
      <c r="AS66" s="118"/>
      <c r="AT66" s="118"/>
      <c r="AU66" s="118"/>
      <c r="AV66" s="118"/>
    </row>
    <row r="67" spans="1:48" ht="12.75">
      <c r="A67" s="34"/>
      <c r="B67" s="34"/>
      <c r="C67" s="34"/>
      <c r="D67" s="38">
        <f>IF(E65="Type 3","","Select the value for R3")</f>
      </c>
      <c r="E67" s="91"/>
      <c r="F67" s="36"/>
      <c r="G67" s="34"/>
      <c r="H67" s="34"/>
      <c r="I67" s="34"/>
      <c r="J67" s="34"/>
      <c r="K67" s="34"/>
      <c r="L67" s="34"/>
      <c r="M67" s="119"/>
      <c r="N67" s="119"/>
      <c r="O67" s="119"/>
      <c r="P67" s="119"/>
      <c r="Q67" s="119" t="s">
        <v>175</v>
      </c>
      <c r="R67" s="119">
        <v>1000</v>
      </c>
      <c r="S67" s="119" t="s">
        <v>153</v>
      </c>
      <c r="T67" s="118" t="s">
        <v>179</v>
      </c>
      <c r="U67" s="118">
        <v>0.1</v>
      </c>
      <c r="V67" s="118" t="s">
        <v>174</v>
      </c>
      <c r="W67" s="118"/>
      <c r="X67" s="118"/>
      <c r="Y67" s="118"/>
      <c r="Z67" s="118"/>
      <c r="AA67" s="118"/>
      <c r="AB67" s="4"/>
      <c r="AC67" s="108"/>
      <c r="AD67" s="109"/>
      <c r="AE67" s="107"/>
      <c r="AF67" s="107"/>
      <c r="AG67" s="107"/>
      <c r="AH67" s="118"/>
      <c r="AI67" s="118"/>
      <c r="AJ67" s="118"/>
      <c r="AK67" s="118"/>
      <c r="AL67" s="118"/>
      <c r="AM67" s="118"/>
      <c r="AN67" s="118"/>
      <c r="AO67" s="118"/>
      <c r="AP67" s="118"/>
      <c r="AQ67" s="118"/>
      <c r="AR67" s="118"/>
      <c r="AS67" s="118"/>
      <c r="AT67" s="118"/>
      <c r="AU67" s="118"/>
      <c r="AV67" s="118"/>
    </row>
    <row r="68" spans="1:48" ht="12.75">
      <c r="A68" s="34"/>
      <c r="B68" s="34"/>
      <c r="C68" s="34"/>
      <c r="D68" s="38">
        <f>IF(E65="Type 2","Minimum Recommended Value for Cff","")</f>
      </c>
      <c r="E68" s="10"/>
      <c r="F68" s="36"/>
      <c r="G68" s="34"/>
      <c r="H68" s="34"/>
      <c r="I68" s="34"/>
      <c r="J68" s="34"/>
      <c r="K68" s="34"/>
      <c r="L68" s="34"/>
      <c r="M68" s="119"/>
      <c r="N68" s="119"/>
      <c r="O68" s="119"/>
      <c r="P68" s="119"/>
      <c r="Q68" s="119" t="s">
        <v>170</v>
      </c>
      <c r="R68" s="119">
        <f>R58/(8*S108*10^3*10*10^-3)</f>
        <v>-1.6931705472578942E-05</v>
      </c>
      <c r="S68" s="119" t="s">
        <v>171</v>
      </c>
      <c r="T68" s="118">
        <f>(R58/(8*S108*10^3*10*10^-3))/10^-6</f>
        <v>-16.931705472578944</v>
      </c>
      <c r="U68" s="118" t="s">
        <v>166</v>
      </c>
      <c r="V68" s="118"/>
      <c r="W68" s="118"/>
      <c r="X68" s="118"/>
      <c r="Y68" s="120"/>
      <c r="Z68" s="118"/>
      <c r="AA68" s="118"/>
      <c r="AB68" s="4"/>
      <c r="AC68" s="108"/>
      <c r="AD68" s="109"/>
      <c r="AE68" s="107"/>
      <c r="AF68" s="107"/>
      <c r="AG68" s="107"/>
      <c r="AH68" s="118"/>
      <c r="AI68" s="118"/>
      <c r="AJ68" s="118"/>
      <c r="AK68" s="118"/>
      <c r="AL68" s="118"/>
      <c r="AM68" s="118"/>
      <c r="AN68" s="118"/>
      <c r="AO68" s="118"/>
      <c r="AP68" s="118"/>
      <c r="AQ68" s="118"/>
      <c r="AR68" s="118"/>
      <c r="AS68" s="118"/>
      <c r="AT68" s="118"/>
      <c r="AU68" s="118"/>
      <c r="AV68" s="118"/>
    </row>
    <row r="69" spans="1:48" ht="12.75">
      <c r="A69" s="34"/>
      <c r="B69" s="34"/>
      <c r="C69" s="34"/>
      <c r="D69" s="38">
        <f>IF(E65="Type 2","Select the Value for Cff","")</f>
      </c>
      <c r="E69" s="10"/>
      <c r="F69" s="36"/>
      <c r="G69" s="34"/>
      <c r="H69" s="34"/>
      <c r="I69" s="34"/>
      <c r="J69" s="34"/>
      <c r="K69" s="34"/>
      <c r="L69" s="34"/>
      <c r="M69" s="119"/>
      <c r="N69" s="119"/>
      <c r="O69" s="119"/>
      <c r="P69" s="119"/>
      <c r="Q69" s="119" t="s">
        <v>173</v>
      </c>
      <c r="R69" s="126">
        <f>E77*10^-6</f>
        <v>0.0003</v>
      </c>
      <c r="S69" s="119" t="s">
        <v>141</v>
      </c>
      <c r="T69" s="118"/>
      <c r="U69" s="118"/>
      <c r="V69" s="118"/>
      <c r="W69" s="118"/>
      <c r="X69" s="118"/>
      <c r="Y69" s="120"/>
      <c r="Z69" s="118"/>
      <c r="AA69" s="118"/>
      <c r="AB69" s="4"/>
      <c r="AC69" s="108"/>
      <c r="AD69" s="109"/>
      <c r="AE69" s="107"/>
      <c r="AF69" s="107"/>
      <c r="AG69" s="107"/>
      <c r="AH69" s="118"/>
      <c r="AI69" s="118"/>
      <c r="AJ69" s="118"/>
      <c r="AK69" s="118"/>
      <c r="AL69" s="118"/>
      <c r="AM69" s="118"/>
      <c r="AN69" s="118"/>
      <c r="AO69" s="118"/>
      <c r="AP69" s="118"/>
      <c r="AQ69" s="118"/>
      <c r="AR69" s="118"/>
      <c r="AS69" s="118"/>
      <c r="AT69" s="118"/>
      <c r="AU69" s="118"/>
      <c r="AV69" s="118"/>
    </row>
    <row r="70" spans="1:48" ht="12.75">
      <c r="A70" s="34"/>
      <c r="B70" s="34"/>
      <c r="C70" s="34"/>
      <c r="D70" s="92" t="str">
        <f>IF(E65="Type 3","Recommended Value for Cr","")</f>
        <v>Recommended Value for Cr</v>
      </c>
      <c r="E70" s="46">
        <f>IF(E61="","",$R$67)</f>
        <v>1000</v>
      </c>
      <c r="F70" s="21" t="s">
        <v>236</v>
      </c>
      <c r="G70" s="34"/>
      <c r="H70" s="34"/>
      <c r="I70" s="34"/>
      <c r="J70" s="34"/>
      <c r="K70" s="34"/>
      <c r="L70" s="34"/>
      <c r="M70" s="119"/>
      <c r="N70" s="119"/>
      <c r="O70" s="119"/>
      <c r="P70" s="119"/>
      <c r="Q70" s="119"/>
      <c r="R70" s="119"/>
      <c r="S70" s="119" t="s">
        <v>172</v>
      </c>
      <c r="T70" s="118">
        <f>R58/(8*S108*R69)</f>
        <v>-0.5643901824192981</v>
      </c>
      <c r="U70" s="118"/>
      <c r="V70" s="118"/>
      <c r="W70" s="118"/>
      <c r="X70" s="118"/>
      <c r="Y70" s="120"/>
      <c r="Z70" s="118"/>
      <c r="AA70" s="118"/>
      <c r="AB70" s="4"/>
      <c r="AC70" s="108"/>
      <c r="AD70" s="115">
        <f>IF(AD61="","",$R$67)</f>
        <v>1000</v>
      </c>
      <c r="AE70" s="107"/>
      <c r="AF70" s="107"/>
      <c r="AG70" s="107"/>
      <c r="AH70" s="118"/>
      <c r="AI70" s="118"/>
      <c r="AJ70" s="118"/>
      <c r="AK70" s="118"/>
      <c r="AL70" s="118"/>
      <c r="AM70" s="118"/>
      <c r="AN70" s="118"/>
      <c r="AO70" s="118"/>
      <c r="AP70" s="118"/>
      <c r="AQ70" s="118"/>
      <c r="AR70" s="118"/>
      <c r="AS70" s="118"/>
      <c r="AT70" s="118"/>
      <c r="AU70" s="118"/>
      <c r="AV70" s="118"/>
    </row>
    <row r="71" spans="1:48" ht="12.75">
      <c r="A71" s="34"/>
      <c r="B71" s="34"/>
      <c r="C71" s="34"/>
      <c r="D71" s="92" t="str">
        <f>IF(E65="Type 3","Select the Value for Cr","")</f>
        <v>Select the Value for Cr</v>
      </c>
      <c r="E71" s="47">
        <v>1000</v>
      </c>
      <c r="F71" s="21" t="s">
        <v>236</v>
      </c>
      <c r="G71" s="34"/>
      <c r="H71" s="34"/>
      <c r="I71" s="34"/>
      <c r="J71" s="34"/>
      <c r="K71" s="34"/>
      <c r="L71" s="34"/>
      <c r="M71" s="119"/>
      <c r="N71" s="119"/>
      <c r="O71" s="119"/>
      <c r="P71" s="119"/>
      <c r="Q71" s="119"/>
      <c r="R71" s="119"/>
      <c r="S71" s="119"/>
      <c r="T71" s="118"/>
      <c r="U71" s="118"/>
      <c r="V71" s="118"/>
      <c r="W71" s="118"/>
      <c r="X71" s="118"/>
      <c r="Y71" s="120"/>
      <c r="Z71" s="118"/>
      <c r="AA71" s="118"/>
      <c r="AB71" s="4"/>
      <c r="AC71" s="108"/>
      <c r="AD71" s="116">
        <v>1000</v>
      </c>
      <c r="AE71" s="107"/>
      <c r="AF71" s="107"/>
      <c r="AG71" s="107"/>
      <c r="AH71" s="118"/>
      <c r="AI71" s="118"/>
      <c r="AJ71" s="118"/>
      <c r="AK71" s="118"/>
      <c r="AL71" s="118"/>
      <c r="AM71" s="118"/>
      <c r="AN71" s="118"/>
      <c r="AO71" s="118"/>
      <c r="AP71" s="118"/>
      <c r="AQ71" s="118"/>
      <c r="AR71" s="118"/>
      <c r="AS71" s="118"/>
      <c r="AT71" s="118"/>
      <c r="AU71" s="118"/>
      <c r="AV71" s="118"/>
    </row>
    <row r="72" spans="1:48" ht="12.75">
      <c r="A72" s="34"/>
      <c r="B72" s="34"/>
      <c r="C72" s="34"/>
      <c r="D72" s="92" t="str">
        <f>IF(E65="Type 3","Maximum Recommended Value for Rr","")</f>
        <v>Maximum Recommended Value for Rr</v>
      </c>
      <c r="E72" s="48">
        <f>IF(E71="","",$S$142)</f>
        <v>-525.3872053872057</v>
      </c>
      <c r="F72" s="21" t="s">
        <v>207</v>
      </c>
      <c r="G72" s="34"/>
      <c r="H72" s="34"/>
      <c r="I72" s="34"/>
      <c r="J72" s="34"/>
      <c r="K72" s="34"/>
      <c r="L72" s="34"/>
      <c r="M72" s="119"/>
      <c r="N72" s="119"/>
      <c r="O72" s="119"/>
      <c r="P72" s="119"/>
      <c r="Q72" s="119"/>
      <c r="R72" s="119"/>
      <c r="S72" s="119"/>
      <c r="T72" s="118"/>
      <c r="U72" s="118"/>
      <c r="V72" s="118"/>
      <c r="W72" s="118"/>
      <c r="X72" s="118"/>
      <c r="Y72" s="120"/>
      <c r="Z72" s="118"/>
      <c r="AA72" s="118"/>
      <c r="AB72" s="4"/>
      <c r="AC72" s="108"/>
      <c r="AD72" s="110">
        <f>IF(AD71="","",$S$142)</f>
        <v>-525.3872053872057</v>
      </c>
      <c r="AE72" s="107"/>
      <c r="AF72" s="107"/>
      <c r="AG72" s="107"/>
      <c r="AH72" s="118"/>
      <c r="AI72" s="118"/>
      <c r="AJ72" s="118"/>
      <c r="AK72" s="118"/>
      <c r="AL72" s="118"/>
      <c r="AM72" s="118"/>
      <c r="AN72" s="118"/>
      <c r="AO72" s="118"/>
      <c r="AP72" s="118"/>
      <c r="AQ72" s="118"/>
      <c r="AR72" s="118"/>
      <c r="AS72" s="118"/>
      <c r="AT72" s="118"/>
      <c r="AU72" s="118"/>
      <c r="AV72" s="118"/>
    </row>
    <row r="73" spans="1:48" ht="12.75">
      <c r="A73" s="34"/>
      <c r="B73" s="34"/>
      <c r="C73" s="34"/>
      <c r="D73" s="92" t="str">
        <f>IF(E65="Type 3","Select the Value for Rr","")</f>
        <v>Select the Value for Rr</v>
      </c>
      <c r="E73" s="49">
        <v>100</v>
      </c>
      <c r="F73" s="21" t="s">
        <v>207</v>
      </c>
      <c r="G73" s="34"/>
      <c r="H73" s="34"/>
      <c r="I73" s="34"/>
      <c r="J73" s="34"/>
      <c r="K73" s="34"/>
      <c r="L73" s="34"/>
      <c r="M73" s="119"/>
      <c r="N73" s="119"/>
      <c r="O73" s="119"/>
      <c r="P73" s="119"/>
      <c r="Q73" s="119"/>
      <c r="R73" s="119"/>
      <c r="S73" s="119"/>
      <c r="T73" s="118"/>
      <c r="U73" s="118"/>
      <c r="V73" s="118"/>
      <c r="W73" s="118"/>
      <c r="X73" s="118"/>
      <c r="Y73" s="120"/>
      <c r="Z73" s="118"/>
      <c r="AA73" s="118"/>
      <c r="AB73" s="4"/>
      <c r="AC73" s="108"/>
      <c r="AD73" s="117">
        <v>51.1</v>
      </c>
      <c r="AE73" s="107"/>
      <c r="AF73" s="107"/>
      <c r="AG73" s="107"/>
      <c r="AH73" s="118"/>
      <c r="AI73" s="118"/>
      <c r="AJ73" s="118"/>
      <c r="AK73" s="118"/>
      <c r="AL73" s="118"/>
      <c r="AM73" s="118"/>
      <c r="AN73" s="118"/>
      <c r="AO73" s="118"/>
      <c r="AP73" s="118"/>
      <c r="AQ73" s="118"/>
      <c r="AR73" s="118"/>
      <c r="AS73" s="118"/>
      <c r="AT73" s="118"/>
      <c r="AU73" s="118"/>
      <c r="AV73" s="118"/>
    </row>
    <row r="74" spans="1:48" ht="12.75">
      <c r="A74" s="34"/>
      <c r="B74" s="34"/>
      <c r="C74" s="34"/>
      <c r="D74" s="92" t="str">
        <f>IF(E65="Type 3","Recommended Value for C_ac","")</f>
        <v>Recommended Value for C_ac</v>
      </c>
      <c r="E74" s="50">
        <f>IF(E61="","",$U$67)</f>
        <v>0.1</v>
      </c>
      <c r="F74" s="21" t="s">
        <v>212</v>
      </c>
      <c r="G74" s="34"/>
      <c r="H74" s="34"/>
      <c r="I74" s="34"/>
      <c r="J74" s="34"/>
      <c r="K74" s="34"/>
      <c r="L74" s="34"/>
      <c r="M74" s="119"/>
      <c r="N74" s="119"/>
      <c r="O74" s="119"/>
      <c r="P74" s="119"/>
      <c r="Q74" s="119"/>
      <c r="R74" s="119"/>
      <c r="S74" s="119"/>
      <c r="T74" s="118"/>
      <c r="U74" s="118"/>
      <c r="V74" s="118"/>
      <c r="W74" s="118"/>
      <c r="X74" s="118"/>
      <c r="Y74" s="120"/>
      <c r="Z74" s="118"/>
      <c r="AA74" s="118"/>
      <c r="AB74" s="4"/>
      <c r="AC74" s="108"/>
      <c r="AD74" s="110">
        <f>IF(AD61="","",$U$67)</f>
        <v>0.1</v>
      </c>
      <c r="AE74" s="107"/>
      <c r="AF74" s="107"/>
      <c r="AG74" s="107"/>
      <c r="AH74" s="118"/>
      <c r="AI74" s="118"/>
      <c r="AJ74" s="118"/>
      <c r="AK74" s="118"/>
      <c r="AL74" s="118"/>
      <c r="AM74" s="118"/>
      <c r="AN74" s="118"/>
      <c r="AO74" s="118"/>
      <c r="AP74" s="118"/>
      <c r="AQ74" s="118"/>
      <c r="AR74" s="118"/>
      <c r="AS74" s="118"/>
      <c r="AT74" s="118"/>
      <c r="AU74" s="118"/>
      <c r="AV74" s="118"/>
    </row>
    <row r="75" spans="1:48" ht="12.75">
      <c r="A75" s="34"/>
      <c r="B75" s="34"/>
      <c r="C75" s="34"/>
      <c r="D75" s="25"/>
      <c r="E75" s="51"/>
      <c r="F75" s="26"/>
      <c r="G75" s="34"/>
      <c r="H75" s="34"/>
      <c r="I75" s="34"/>
      <c r="J75" s="34"/>
      <c r="K75" s="34"/>
      <c r="L75" s="34"/>
      <c r="M75" s="119"/>
      <c r="N75" s="119"/>
      <c r="O75" s="119"/>
      <c r="P75" s="119"/>
      <c r="Q75" s="119"/>
      <c r="R75" s="119"/>
      <c r="S75" s="119"/>
      <c r="T75" s="118"/>
      <c r="U75" s="118"/>
      <c r="V75" s="118"/>
      <c r="W75" s="118"/>
      <c r="X75" s="118"/>
      <c r="Y75" s="120"/>
      <c r="Z75" s="118"/>
      <c r="AA75" s="118"/>
      <c r="AB75" s="4"/>
      <c r="AC75" s="108"/>
      <c r="AD75" s="110"/>
      <c r="AE75" s="107"/>
      <c r="AF75" s="107"/>
      <c r="AG75" s="107"/>
      <c r="AH75" s="118"/>
      <c r="AI75" s="118"/>
      <c r="AJ75" s="118"/>
      <c r="AK75" s="118"/>
      <c r="AL75" s="118"/>
      <c r="AM75" s="118"/>
      <c r="AN75" s="118"/>
      <c r="AO75" s="118"/>
      <c r="AP75" s="118"/>
      <c r="AQ75" s="118"/>
      <c r="AR75" s="118"/>
      <c r="AS75" s="118"/>
      <c r="AT75" s="118"/>
      <c r="AU75" s="118"/>
      <c r="AV75" s="118"/>
    </row>
    <row r="76" spans="1:48" ht="15.75">
      <c r="A76" s="34"/>
      <c r="B76" s="34"/>
      <c r="C76" s="34"/>
      <c r="D76" s="92" t="s">
        <v>214</v>
      </c>
      <c r="E76" s="9">
        <f>IF(E52="","",$T$68)</f>
        <v>-16.931705472578944</v>
      </c>
      <c r="F76" s="21" t="s">
        <v>212</v>
      </c>
      <c r="G76" s="34"/>
      <c r="H76" s="34"/>
      <c r="I76" s="34"/>
      <c r="J76" s="34"/>
      <c r="K76" s="34"/>
      <c r="L76" s="34"/>
      <c r="M76" s="119"/>
      <c r="N76" s="119"/>
      <c r="O76" s="119"/>
      <c r="P76" s="119"/>
      <c r="Q76" s="119"/>
      <c r="R76" s="119"/>
      <c r="S76" s="119"/>
      <c r="T76" s="118"/>
      <c r="U76" s="118"/>
      <c r="V76" s="118"/>
      <c r="W76" s="118"/>
      <c r="X76" s="118"/>
      <c r="Y76" s="120"/>
      <c r="Z76" s="118"/>
      <c r="AA76" s="118"/>
      <c r="AB76" s="4"/>
      <c r="AC76" s="108"/>
      <c r="AD76" s="110">
        <f>IF(AD52="","",$T$68)</f>
        <v>-16.931705472578944</v>
      </c>
      <c r="AE76" s="107"/>
      <c r="AF76" s="107"/>
      <c r="AG76" s="107"/>
      <c r="AH76" s="118"/>
      <c r="AI76" s="118"/>
      <c r="AJ76" s="118"/>
      <c r="AK76" s="118"/>
      <c r="AL76" s="118"/>
      <c r="AM76" s="118"/>
      <c r="AN76" s="118"/>
      <c r="AO76" s="118"/>
      <c r="AP76" s="118"/>
      <c r="AQ76" s="118"/>
      <c r="AR76" s="118"/>
      <c r="AS76" s="118"/>
      <c r="AT76" s="118"/>
      <c r="AU76" s="118"/>
      <c r="AV76" s="118"/>
    </row>
    <row r="77" spans="1:48" ht="15.75">
      <c r="A77" s="34"/>
      <c r="B77" s="34"/>
      <c r="C77" s="34"/>
      <c r="D77" s="92" t="s">
        <v>215</v>
      </c>
      <c r="E77" s="31">
        <v>300</v>
      </c>
      <c r="F77" s="21" t="s">
        <v>212</v>
      </c>
      <c r="G77" s="34"/>
      <c r="H77" s="34"/>
      <c r="I77" s="34"/>
      <c r="J77" s="34"/>
      <c r="K77" s="34"/>
      <c r="L77" s="34"/>
      <c r="M77" s="119"/>
      <c r="N77" s="119"/>
      <c r="O77" s="119"/>
      <c r="P77" s="119"/>
      <c r="Q77" s="119"/>
      <c r="R77" s="119"/>
      <c r="S77" s="119"/>
      <c r="T77" s="118"/>
      <c r="U77" s="118"/>
      <c r="V77" s="118"/>
      <c r="W77" s="118"/>
      <c r="X77" s="118"/>
      <c r="Y77" s="120"/>
      <c r="Z77" s="118"/>
      <c r="AA77" s="118"/>
      <c r="AB77" s="4"/>
      <c r="AC77" s="108"/>
      <c r="AD77" s="109">
        <v>20</v>
      </c>
      <c r="AE77" s="107"/>
      <c r="AF77" s="107"/>
      <c r="AG77" s="107"/>
      <c r="AH77" s="118"/>
      <c r="AI77" s="118"/>
      <c r="AJ77" s="118"/>
      <c r="AK77" s="118"/>
      <c r="AL77" s="118"/>
      <c r="AM77" s="118"/>
      <c r="AN77" s="118"/>
      <c r="AO77" s="118"/>
      <c r="AP77" s="118"/>
      <c r="AQ77" s="118"/>
      <c r="AR77" s="118"/>
      <c r="AS77" s="118"/>
      <c r="AT77" s="118"/>
      <c r="AU77" s="118"/>
      <c r="AV77" s="118"/>
    </row>
    <row r="78" spans="1:48" ht="15.75">
      <c r="A78" s="34"/>
      <c r="B78" s="34"/>
      <c r="C78" s="34"/>
      <c r="D78" s="92" t="s">
        <v>216</v>
      </c>
      <c r="E78" s="52">
        <f>IF(E77="","",$T$70)</f>
        <v>-0.5643901824192981</v>
      </c>
      <c r="F78" s="21" t="s">
        <v>20</v>
      </c>
      <c r="G78" s="34"/>
      <c r="H78" s="34"/>
      <c r="I78" s="34"/>
      <c r="J78" s="34"/>
      <c r="K78" s="34"/>
      <c r="L78" s="34"/>
      <c r="M78" s="119"/>
      <c r="N78" s="119"/>
      <c r="O78" s="119"/>
      <c r="P78" s="119"/>
      <c r="Q78" s="119"/>
      <c r="R78" s="119"/>
      <c r="S78" s="119"/>
      <c r="T78" s="118"/>
      <c r="U78" s="118"/>
      <c r="V78" s="118"/>
      <c r="W78" s="118"/>
      <c r="X78" s="118"/>
      <c r="Y78" s="120"/>
      <c r="Z78" s="118"/>
      <c r="AB78" s="4"/>
      <c r="AC78" s="108"/>
      <c r="AD78" s="110">
        <f>IF(AD77="","",$T$70)</f>
        <v>-0.5643901824192981</v>
      </c>
      <c r="AE78" s="107"/>
      <c r="AF78" s="107"/>
      <c r="AG78" s="107"/>
      <c r="AH78" s="118"/>
      <c r="AI78" s="118"/>
      <c r="AJ78" s="118"/>
      <c r="AK78" s="118"/>
      <c r="AL78" s="118"/>
      <c r="AM78" s="118"/>
      <c r="AN78" s="118"/>
      <c r="AO78" s="118"/>
      <c r="AP78" s="118"/>
      <c r="AQ78" s="118"/>
      <c r="AR78" s="118"/>
      <c r="AS78" s="118"/>
      <c r="AT78" s="118"/>
      <c r="AU78" s="118"/>
      <c r="AV78" s="118"/>
    </row>
    <row r="79" spans="1:48" ht="15.75">
      <c r="A79" s="34"/>
      <c r="B79" s="34"/>
      <c r="C79" s="53"/>
      <c r="D79" s="92" t="s">
        <v>217</v>
      </c>
      <c r="E79" s="48">
        <f>IF(OR(E37="",E44=""),"",$U$79)</f>
        <v>44.266666666666666</v>
      </c>
      <c r="F79" s="21" t="s">
        <v>212</v>
      </c>
      <c r="G79" s="34"/>
      <c r="H79" s="34"/>
      <c r="I79" s="34"/>
      <c r="J79" s="34"/>
      <c r="K79" s="34"/>
      <c r="L79" s="34"/>
      <c r="M79" s="119"/>
      <c r="N79" s="119"/>
      <c r="O79" s="119"/>
      <c r="P79" s="119"/>
      <c r="Q79" s="119" t="s">
        <v>140</v>
      </c>
      <c r="R79" s="119">
        <f>($R$50/(100*10^-3))*($S$98/$R$43)*(1/($S108*10^3))</f>
        <v>4.426666666666666E-05</v>
      </c>
      <c r="S79" s="119" t="s">
        <v>141</v>
      </c>
      <c r="T79" s="118" t="s">
        <v>140</v>
      </c>
      <c r="U79" s="118">
        <f>R79/10^-6</f>
        <v>44.266666666666666</v>
      </c>
      <c r="V79" s="118" t="s">
        <v>142</v>
      </c>
      <c r="W79" s="118"/>
      <c r="X79" s="118"/>
      <c r="Y79" s="120"/>
      <c r="Z79" s="118"/>
      <c r="AB79" s="4"/>
      <c r="AC79" s="108"/>
      <c r="AD79" s="110">
        <f>IF(OR(AD37="",AD44=""),"",$U$79)</f>
        <v>44.266666666666666</v>
      </c>
      <c r="AE79" s="107"/>
      <c r="AF79" s="107"/>
      <c r="AG79" s="107"/>
      <c r="AH79" s="118"/>
      <c r="AI79" s="118"/>
      <c r="AJ79" s="118"/>
      <c r="AK79" s="118"/>
      <c r="AL79" s="118"/>
      <c r="AM79" s="118"/>
      <c r="AN79" s="118"/>
      <c r="AO79" s="118"/>
      <c r="AP79" s="118"/>
      <c r="AQ79" s="118"/>
      <c r="AR79" s="118"/>
      <c r="AS79" s="118"/>
      <c r="AT79" s="118"/>
      <c r="AU79" s="118"/>
      <c r="AV79" s="118"/>
    </row>
    <row r="80" spans="1:48" ht="15.75">
      <c r="A80" s="34"/>
      <c r="B80" s="34"/>
      <c r="C80" s="34"/>
      <c r="D80" s="92" t="s">
        <v>218</v>
      </c>
      <c r="E80" s="31">
        <v>300</v>
      </c>
      <c r="F80" s="21" t="s">
        <v>212</v>
      </c>
      <c r="G80" s="34"/>
      <c r="H80" s="34"/>
      <c r="I80" s="34"/>
      <c r="J80" s="34"/>
      <c r="K80" s="34"/>
      <c r="L80" s="34"/>
      <c r="M80" s="119"/>
      <c r="N80" s="119"/>
      <c r="O80" s="119"/>
      <c r="P80" s="119"/>
      <c r="Q80" s="119"/>
      <c r="R80" s="119"/>
      <c r="S80" s="119"/>
      <c r="T80" s="118" t="s">
        <v>169</v>
      </c>
      <c r="U80" s="118"/>
      <c r="V80" s="123">
        <f>E80</f>
        <v>300</v>
      </c>
      <c r="W80" s="118" t="s">
        <v>166</v>
      </c>
      <c r="X80" s="118"/>
      <c r="Y80" s="120"/>
      <c r="Z80" s="118"/>
      <c r="AB80" s="4"/>
      <c r="AC80" s="108"/>
      <c r="AD80" s="109">
        <v>20</v>
      </c>
      <c r="AE80" s="107"/>
      <c r="AF80" s="107"/>
      <c r="AG80" s="107"/>
      <c r="AH80" s="118"/>
      <c r="AI80" s="118"/>
      <c r="AJ80" s="118"/>
      <c r="AK80" s="118"/>
      <c r="AL80" s="118"/>
      <c r="AM80" s="118"/>
      <c r="AN80" s="118"/>
      <c r="AO80" s="118"/>
      <c r="AP80" s="118"/>
      <c r="AQ80" s="118"/>
      <c r="AR80" s="118"/>
      <c r="AS80" s="118"/>
      <c r="AT80" s="118"/>
      <c r="AU80" s="118"/>
      <c r="AV80" s="118"/>
    </row>
    <row r="81" spans="1:48" ht="15.75">
      <c r="A81" s="34"/>
      <c r="B81" s="34"/>
      <c r="C81" s="34"/>
      <c r="D81" s="92" t="s">
        <v>219</v>
      </c>
      <c r="E81" s="52">
        <f>IF(E80="","",$R$81)</f>
        <v>11.851851851851851</v>
      </c>
      <c r="F81" s="21" t="s">
        <v>20</v>
      </c>
      <c r="G81" s="34"/>
      <c r="H81" s="34"/>
      <c r="I81" s="34"/>
      <c r="J81" s="34"/>
      <c r="K81" s="34"/>
      <c r="L81" s="34"/>
      <c r="M81" s="119"/>
      <c r="N81" s="119"/>
      <c r="O81" s="119"/>
      <c r="P81" s="119"/>
      <c r="Q81" s="119" t="s">
        <v>143</v>
      </c>
      <c r="R81" s="119">
        <f>(($R$50/(V80*10^-6))*($R$46/$R$43)*(1/($R47*10^3)))*10^3</f>
        <v>11.851851851851851</v>
      </c>
      <c r="S81" s="119" t="s">
        <v>20</v>
      </c>
      <c r="T81" s="118"/>
      <c r="U81" s="118"/>
      <c r="V81" s="118"/>
      <c r="W81" s="118"/>
      <c r="X81" s="118"/>
      <c r="Y81" s="120"/>
      <c r="Z81" s="118"/>
      <c r="AB81" s="4"/>
      <c r="AC81" s="108"/>
      <c r="AD81" s="110">
        <f>IF(AD80="","",$R$81)</f>
        <v>11.851851851851851</v>
      </c>
      <c r="AE81" s="107"/>
      <c r="AF81" s="107"/>
      <c r="AG81" s="107"/>
      <c r="AH81" s="118"/>
      <c r="AI81" s="118"/>
      <c r="AJ81" s="118"/>
      <c r="AK81" s="118"/>
      <c r="AL81" s="118"/>
      <c r="AM81" s="118"/>
      <c r="AN81" s="118"/>
      <c r="AO81" s="118"/>
      <c r="AP81" s="118"/>
      <c r="AQ81" s="118"/>
      <c r="AR81" s="118"/>
      <c r="AS81" s="118"/>
      <c r="AT81" s="118"/>
      <c r="AU81" s="118"/>
      <c r="AV81" s="118"/>
    </row>
    <row r="82" spans="1:48" ht="12.75">
      <c r="A82" s="34"/>
      <c r="B82" s="34"/>
      <c r="C82" s="34"/>
      <c r="D82" s="34"/>
      <c r="E82" s="42"/>
      <c r="F82" s="36"/>
      <c r="G82" s="34"/>
      <c r="H82" s="34"/>
      <c r="I82" s="34"/>
      <c r="J82" s="34"/>
      <c r="K82" s="34"/>
      <c r="L82" s="34"/>
      <c r="M82" s="119"/>
      <c r="N82" s="119"/>
      <c r="O82" s="119"/>
      <c r="P82" s="119"/>
      <c r="Q82" s="119"/>
      <c r="R82" s="119"/>
      <c r="S82" s="119"/>
      <c r="T82" s="118"/>
      <c r="U82" s="118"/>
      <c r="V82" s="118"/>
      <c r="W82" s="118"/>
      <c r="X82" s="118"/>
      <c r="Y82" s="120"/>
      <c r="Z82" s="118"/>
      <c r="AB82" s="4"/>
      <c r="AC82" s="107"/>
      <c r="AD82" s="109"/>
      <c r="AE82" s="107"/>
      <c r="AF82" s="107"/>
      <c r="AG82" s="107"/>
      <c r="AH82" s="118"/>
      <c r="AI82" s="118"/>
      <c r="AJ82" s="118"/>
      <c r="AK82" s="118"/>
      <c r="AL82" s="118"/>
      <c r="AM82" s="118"/>
      <c r="AN82" s="118"/>
      <c r="AO82" s="118"/>
      <c r="AP82" s="118"/>
      <c r="AQ82" s="118"/>
      <c r="AR82" s="118"/>
      <c r="AS82" s="118"/>
      <c r="AT82" s="118"/>
      <c r="AU82" s="118"/>
      <c r="AV82" s="118"/>
    </row>
    <row r="83" spans="1:48" ht="15.75">
      <c r="A83" s="34"/>
      <c r="B83" s="34" t="s">
        <v>241</v>
      </c>
      <c r="C83" s="34"/>
      <c r="D83" s="92" t="s">
        <v>220</v>
      </c>
      <c r="E83" s="9">
        <f>IF(OR(E19="",E44=""),"",$S$149)</f>
        <v>11.804444444444446</v>
      </c>
      <c r="F83" s="21" t="s">
        <v>212</v>
      </c>
      <c r="G83" s="34"/>
      <c r="H83" s="34"/>
      <c r="I83" s="34"/>
      <c r="J83" s="34"/>
      <c r="K83" s="34"/>
      <c r="L83" s="34"/>
      <c r="M83" s="119"/>
      <c r="N83" s="119"/>
      <c r="O83" s="119"/>
      <c r="P83" s="119"/>
      <c r="Q83" s="119"/>
      <c r="R83" s="119"/>
      <c r="S83" s="119"/>
      <c r="T83" s="127"/>
      <c r="U83" s="118"/>
      <c r="V83" s="118"/>
      <c r="W83" s="118"/>
      <c r="X83" s="118"/>
      <c r="Y83" s="118"/>
      <c r="Z83" s="118"/>
      <c r="AB83" s="4"/>
      <c r="AC83" s="108"/>
      <c r="AD83" s="110">
        <f>IF(OR(AD19="",AD44=""),"",$S$149)</f>
        <v>11.804444444444446</v>
      </c>
      <c r="AE83" s="107"/>
      <c r="AF83" s="107"/>
      <c r="AG83" s="107"/>
      <c r="AH83" s="118"/>
      <c r="AI83" s="118"/>
      <c r="AJ83" s="118"/>
      <c r="AK83" s="118"/>
      <c r="AL83" s="118"/>
      <c r="AM83" s="118"/>
      <c r="AN83" s="118"/>
      <c r="AO83" s="118"/>
      <c r="AP83" s="118"/>
      <c r="AQ83" s="118"/>
      <c r="AR83" s="118"/>
      <c r="AS83" s="118"/>
      <c r="AT83" s="118"/>
      <c r="AU83" s="118"/>
      <c r="AV83" s="118"/>
    </row>
    <row r="84" spans="1:48" ht="15.75">
      <c r="A84" s="34"/>
      <c r="B84" s="34"/>
      <c r="C84" s="34"/>
      <c r="D84" s="92" t="s">
        <v>221</v>
      </c>
      <c r="E84" s="27">
        <v>68</v>
      </c>
      <c r="F84" s="21" t="s">
        <v>212</v>
      </c>
      <c r="G84" s="34"/>
      <c r="H84" s="34"/>
      <c r="I84" s="34"/>
      <c r="J84" s="34"/>
      <c r="K84" s="34"/>
      <c r="L84" s="34"/>
      <c r="M84" s="119"/>
      <c r="N84" s="119"/>
      <c r="O84" s="119"/>
      <c r="P84" s="128">
        <f>R46</f>
        <v>8</v>
      </c>
      <c r="Q84" s="119" t="s">
        <v>76</v>
      </c>
      <c r="R84" s="119" t="s">
        <v>67</v>
      </c>
      <c r="S84" s="119"/>
      <c r="T84" s="108" t="s">
        <v>40</v>
      </c>
      <c r="U84" s="129">
        <v>2</v>
      </c>
      <c r="V84" s="107"/>
      <c r="W84" s="129"/>
      <c r="X84" s="118"/>
      <c r="Y84" s="120"/>
      <c r="Z84" s="118"/>
      <c r="AB84" s="4"/>
      <c r="AC84" s="108"/>
      <c r="AD84" s="109">
        <v>4.87</v>
      </c>
      <c r="AE84" s="107"/>
      <c r="AF84" s="107"/>
      <c r="AG84" s="107"/>
      <c r="AH84" s="118"/>
      <c r="AI84" s="118"/>
      <c r="AJ84" s="118"/>
      <c r="AK84" s="118"/>
      <c r="AL84" s="118"/>
      <c r="AM84" s="118"/>
      <c r="AN84" s="118"/>
      <c r="AO84" s="118"/>
      <c r="AP84" s="118"/>
      <c r="AQ84" s="118"/>
      <c r="AR84" s="118"/>
      <c r="AS84" s="118"/>
      <c r="AT84" s="118"/>
      <c r="AU84" s="118"/>
      <c r="AV84" s="118"/>
    </row>
    <row r="85" spans="1:48" ht="15.75">
      <c r="A85" s="34"/>
      <c r="B85" s="34"/>
      <c r="C85" s="34"/>
      <c r="D85" s="92" t="s">
        <v>254</v>
      </c>
      <c r="E85" s="9">
        <f>IF(E84="","",$W$149)</f>
        <v>0.08679738562091505</v>
      </c>
      <c r="F85" s="21" t="s">
        <v>180</v>
      </c>
      <c r="G85" s="34"/>
      <c r="H85" s="34"/>
      <c r="I85" s="34"/>
      <c r="J85" s="34"/>
      <c r="K85" s="34"/>
      <c r="L85" s="34"/>
      <c r="M85" s="119"/>
      <c r="N85" s="119"/>
      <c r="O85" s="119"/>
      <c r="P85" s="130">
        <f>E19</f>
        <v>4.5</v>
      </c>
      <c r="Q85" s="119" t="s">
        <v>77</v>
      </c>
      <c r="R85" s="119" t="s">
        <v>68</v>
      </c>
      <c r="S85" s="119"/>
      <c r="T85" s="108" t="s">
        <v>41</v>
      </c>
      <c r="U85" s="129">
        <v>1</v>
      </c>
      <c r="V85" s="107" t="s">
        <v>265</v>
      </c>
      <c r="W85" s="131"/>
      <c r="X85" s="118"/>
      <c r="Y85" s="118"/>
      <c r="Z85" s="118"/>
      <c r="AB85" s="4"/>
      <c r="AC85" s="108"/>
      <c r="AD85" s="110">
        <f>IF(AD84="","",$W$149)</f>
        <v>0.08679738562091505</v>
      </c>
      <c r="AE85" s="107"/>
      <c r="AF85" s="107"/>
      <c r="AG85" s="107"/>
      <c r="AH85" s="118"/>
      <c r="AI85" s="118"/>
      <c r="AJ85" s="118"/>
      <c r="AK85" s="118"/>
      <c r="AL85" s="118"/>
      <c r="AM85" s="118"/>
      <c r="AN85" s="118"/>
      <c r="AO85" s="118"/>
      <c r="AP85" s="118"/>
      <c r="AQ85" s="118"/>
      <c r="AR85" s="118"/>
      <c r="AS85" s="118"/>
      <c r="AT85" s="118"/>
      <c r="AU85" s="118"/>
      <c r="AV85" s="118"/>
    </row>
    <row r="86" spans="1:48" ht="13.5" thickBot="1">
      <c r="A86" s="34"/>
      <c r="B86" s="34"/>
      <c r="C86" s="34"/>
      <c r="D86" s="34"/>
      <c r="E86" s="42"/>
      <c r="F86" s="36"/>
      <c r="G86" s="34"/>
      <c r="H86" s="34"/>
      <c r="I86" s="34"/>
      <c r="J86" s="34"/>
      <c r="K86" s="34"/>
      <c r="L86" s="34"/>
      <c r="M86" s="119"/>
      <c r="N86" s="119"/>
      <c r="O86" s="119"/>
      <c r="P86" s="130">
        <f>E20</f>
        <v>5</v>
      </c>
      <c r="Q86" s="119" t="s">
        <v>78</v>
      </c>
      <c r="R86" s="119" t="s">
        <v>69</v>
      </c>
      <c r="S86" s="119"/>
      <c r="T86" s="108" t="s">
        <v>43</v>
      </c>
      <c r="U86" s="129">
        <v>0</v>
      </c>
      <c r="V86" s="107" t="s">
        <v>266</v>
      </c>
      <c r="W86" s="107"/>
      <c r="X86" s="118"/>
      <c r="Y86" s="118"/>
      <c r="Z86" s="118"/>
      <c r="AB86" s="4"/>
      <c r="AC86" s="107"/>
      <c r="AD86" s="109"/>
      <c r="AE86" s="107"/>
      <c r="AF86" s="107"/>
      <c r="AG86" s="107"/>
      <c r="AH86" s="118"/>
      <c r="AI86" s="118"/>
      <c r="AJ86" s="118"/>
      <c r="AK86" s="118"/>
      <c r="AL86" s="118"/>
      <c r="AM86" s="118"/>
      <c r="AN86" s="118"/>
      <c r="AO86" s="118"/>
      <c r="AP86" s="118"/>
      <c r="AQ86" s="118"/>
      <c r="AR86" s="118"/>
      <c r="AS86" s="118"/>
      <c r="AT86" s="118"/>
      <c r="AU86" s="118"/>
      <c r="AV86" s="118"/>
    </row>
    <row r="87" spans="1:48" ht="15.75">
      <c r="A87" s="34"/>
      <c r="B87" s="154" t="s">
        <v>242</v>
      </c>
      <c r="C87" s="155"/>
      <c r="D87" s="54" t="s">
        <v>237</v>
      </c>
      <c r="E87" s="55">
        <f>E35</f>
        <v>3.3</v>
      </c>
      <c r="F87" s="56" t="s">
        <v>207</v>
      </c>
      <c r="G87" s="57" t="s">
        <v>26</v>
      </c>
      <c r="H87" s="57"/>
      <c r="I87" s="58"/>
      <c r="J87" s="34"/>
      <c r="K87" s="34"/>
      <c r="L87" s="34"/>
      <c r="M87" s="119"/>
      <c r="N87" s="119"/>
      <c r="O87" s="119"/>
      <c r="P87" s="130">
        <f>E21</f>
        <v>5.5</v>
      </c>
      <c r="Q87" s="119" t="s">
        <v>79</v>
      </c>
      <c r="R87" s="119" t="s">
        <v>70</v>
      </c>
      <c r="S87" s="119"/>
      <c r="T87" s="108" t="s">
        <v>44</v>
      </c>
      <c r="U87" s="129">
        <v>0</v>
      </c>
      <c r="V87" s="107" t="s">
        <v>62</v>
      </c>
      <c r="W87" s="107"/>
      <c r="X87" s="118"/>
      <c r="Y87" s="118"/>
      <c r="Z87" s="118"/>
      <c r="AB87" s="4"/>
      <c r="AC87" s="108"/>
      <c r="AD87" s="110">
        <f>AD35</f>
        <v>2</v>
      </c>
      <c r="AE87" s="107"/>
      <c r="AF87" s="107"/>
      <c r="AG87" s="107"/>
      <c r="AH87" s="118"/>
      <c r="AI87" s="118"/>
      <c r="AJ87" s="118"/>
      <c r="AK87" s="118"/>
      <c r="AL87" s="118"/>
      <c r="AM87" s="118"/>
      <c r="AN87" s="118"/>
      <c r="AO87" s="118"/>
      <c r="AP87" s="118"/>
      <c r="AQ87" s="118"/>
      <c r="AR87" s="118"/>
      <c r="AS87" s="118"/>
      <c r="AT87" s="118"/>
      <c r="AU87" s="118"/>
      <c r="AV87" s="118"/>
    </row>
    <row r="88" spans="1:48" ht="15.75">
      <c r="A88" s="34"/>
      <c r="B88" s="34"/>
      <c r="C88" s="34"/>
      <c r="D88" s="59" t="s">
        <v>222</v>
      </c>
      <c r="E88" s="23">
        <f>E37</f>
        <v>10</v>
      </c>
      <c r="F88" s="60" t="s">
        <v>207</v>
      </c>
      <c r="G88" s="61" t="s">
        <v>27</v>
      </c>
      <c r="H88" s="61"/>
      <c r="I88" s="62"/>
      <c r="J88" s="34"/>
      <c r="K88" s="34"/>
      <c r="L88" s="34"/>
      <c r="M88" s="119"/>
      <c r="N88" s="119"/>
      <c r="O88" s="119"/>
      <c r="P88" s="130">
        <f>E23</f>
        <v>0.2</v>
      </c>
      <c r="Q88" s="119" t="s">
        <v>80</v>
      </c>
      <c r="R88" s="119" t="s">
        <v>71</v>
      </c>
      <c r="S88" s="119"/>
      <c r="T88" s="108" t="s">
        <v>57</v>
      </c>
      <c r="U88" s="129">
        <v>0</v>
      </c>
      <c r="V88" s="107" t="s">
        <v>63</v>
      </c>
      <c r="W88" s="107"/>
      <c r="X88" s="118"/>
      <c r="Y88" s="118"/>
      <c r="Z88" s="118"/>
      <c r="AB88" s="4"/>
      <c r="AC88" s="108"/>
      <c r="AD88" s="110">
        <f>AD37</f>
        <v>6.04</v>
      </c>
      <c r="AE88" s="107"/>
      <c r="AF88" s="107"/>
      <c r="AG88" s="107"/>
      <c r="AH88" s="118"/>
      <c r="AI88" s="118"/>
      <c r="AJ88" s="118"/>
      <c r="AK88" s="118"/>
      <c r="AL88" s="118"/>
      <c r="AM88" s="118"/>
      <c r="AN88" s="118"/>
      <c r="AO88" s="118"/>
      <c r="AP88" s="118"/>
      <c r="AQ88" s="118"/>
      <c r="AR88" s="118"/>
      <c r="AS88" s="118"/>
      <c r="AT88" s="118"/>
      <c r="AU88" s="118"/>
      <c r="AV88" s="118"/>
    </row>
    <row r="89" spans="1:48" ht="15.75">
      <c r="A89" s="34"/>
      <c r="B89" s="34"/>
      <c r="C89" s="34"/>
      <c r="D89" s="59" t="s">
        <v>223</v>
      </c>
      <c r="E89" s="23">
        <f>E44</f>
        <v>332</v>
      </c>
      <c r="F89" s="60" t="s">
        <v>207</v>
      </c>
      <c r="G89" s="63" t="s">
        <v>28</v>
      </c>
      <c r="H89" s="63"/>
      <c r="I89" s="64"/>
      <c r="J89" s="34"/>
      <c r="K89" s="34"/>
      <c r="L89" s="34"/>
      <c r="M89" s="119"/>
      <c r="N89" s="119"/>
      <c r="O89" s="119"/>
      <c r="P89" s="130">
        <f>E42</f>
        <v>300</v>
      </c>
      <c r="Q89" s="119" t="s">
        <v>81</v>
      </c>
      <c r="R89" s="119" t="s">
        <v>72</v>
      </c>
      <c r="S89" s="119"/>
      <c r="T89" s="108" t="s">
        <v>91</v>
      </c>
      <c r="U89" s="129">
        <v>1800</v>
      </c>
      <c r="V89" s="107" t="s">
        <v>61</v>
      </c>
      <c r="W89" s="107"/>
      <c r="X89" s="118"/>
      <c r="Y89" s="118"/>
      <c r="Z89" s="118"/>
      <c r="AB89" s="4"/>
      <c r="AC89" s="108"/>
      <c r="AD89" s="110">
        <f>AD44</f>
        <v>301</v>
      </c>
      <c r="AE89" s="107"/>
      <c r="AF89" s="107"/>
      <c r="AG89" s="107"/>
      <c r="AH89" s="118"/>
      <c r="AI89" s="118"/>
      <c r="AJ89" s="118"/>
      <c r="AK89" s="118"/>
      <c r="AL89" s="118"/>
      <c r="AM89" s="118"/>
      <c r="AN89" s="118"/>
      <c r="AO89" s="118"/>
      <c r="AP89" s="118"/>
      <c r="AQ89" s="118"/>
      <c r="AR89" s="118"/>
      <c r="AS89" s="118"/>
      <c r="AT89" s="118"/>
      <c r="AU89" s="118"/>
      <c r="AV89" s="118"/>
    </row>
    <row r="90" spans="1:48" ht="12.75">
      <c r="A90" s="34"/>
      <c r="B90" s="34"/>
      <c r="C90" s="34"/>
      <c r="D90" s="59" t="s">
        <v>21</v>
      </c>
      <c r="E90" s="23">
        <f>E52</f>
        <v>47</v>
      </c>
      <c r="F90" s="60" t="s">
        <v>209</v>
      </c>
      <c r="G90" s="63" t="s">
        <v>29</v>
      </c>
      <c r="H90" s="63"/>
      <c r="I90" s="64"/>
      <c r="J90" s="34"/>
      <c r="K90" s="34"/>
      <c r="L90" s="34"/>
      <c r="M90" s="119"/>
      <c r="N90" s="119"/>
      <c r="O90" s="119"/>
      <c r="P90" s="132">
        <f>S98</f>
        <v>8.060606060606062</v>
      </c>
      <c r="Q90" s="119" t="s">
        <v>82</v>
      </c>
      <c r="R90" s="119" t="s">
        <v>73</v>
      </c>
      <c r="S90" s="119"/>
      <c r="T90" s="108" t="s">
        <v>92</v>
      </c>
      <c r="U90" s="129">
        <v>2500</v>
      </c>
      <c r="V90" s="107" t="s">
        <v>61</v>
      </c>
      <c r="W90" s="107"/>
      <c r="X90" s="118"/>
      <c r="Y90" s="118"/>
      <c r="Z90" s="118"/>
      <c r="AB90" s="4"/>
      <c r="AC90" s="108"/>
      <c r="AD90" s="110">
        <f>AD52</f>
        <v>82</v>
      </c>
      <c r="AE90" s="107"/>
      <c r="AF90" s="107"/>
      <c r="AG90" s="107"/>
      <c r="AH90" s="118"/>
      <c r="AI90" s="118"/>
      <c r="AJ90" s="118"/>
      <c r="AK90" s="118"/>
      <c r="AL90" s="118"/>
      <c r="AM90" s="118"/>
      <c r="AN90" s="118"/>
      <c r="AO90" s="118"/>
      <c r="AP90" s="118"/>
      <c r="AQ90" s="118"/>
      <c r="AR90" s="118"/>
      <c r="AS90" s="118"/>
      <c r="AT90" s="118"/>
      <c r="AU90" s="118"/>
      <c r="AV90" s="118"/>
    </row>
    <row r="91" spans="1:48" ht="14.25">
      <c r="A91" s="34"/>
      <c r="B91" s="34"/>
      <c r="C91" s="34"/>
      <c r="D91" s="59" t="s">
        <v>224</v>
      </c>
      <c r="E91" s="65">
        <f>E61</f>
        <v>0.082</v>
      </c>
      <c r="F91" s="60" t="s">
        <v>212</v>
      </c>
      <c r="G91" s="63" t="s">
        <v>56</v>
      </c>
      <c r="H91" s="63"/>
      <c r="I91" s="64"/>
      <c r="J91" s="34"/>
      <c r="K91" s="34"/>
      <c r="L91" s="34"/>
      <c r="M91" s="119"/>
      <c r="N91" s="119"/>
      <c r="O91" s="119"/>
      <c r="P91" s="130">
        <f>E52</f>
        <v>47</v>
      </c>
      <c r="Q91" s="119" t="s">
        <v>83</v>
      </c>
      <c r="R91" s="119" t="s">
        <v>74</v>
      </c>
      <c r="S91" s="119"/>
      <c r="T91" s="108" t="s">
        <v>93</v>
      </c>
      <c r="U91" s="129">
        <v>3300</v>
      </c>
      <c r="V91" s="107" t="s">
        <v>61</v>
      </c>
      <c r="W91" s="107"/>
      <c r="X91" s="118"/>
      <c r="Y91" s="118"/>
      <c r="Z91" s="118"/>
      <c r="AB91" s="4"/>
      <c r="AC91" s="108"/>
      <c r="AD91" s="113">
        <f>AD61</f>
        <v>0.082</v>
      </c>
      <c r="AE91" s="107"/>
      <c r="AF91" s="107"/>
      <c r="AG91" s="107"/>
      <c r="AH91" s="118"/>
      <c r="AI91" s="118"/>
      <c r="AJ91" s="118"/>
      <c r="AK91" s="118"/>
      <c r="AL91" s="118"/>
      <c r="AM91" s="118"/>
      <c r="AN91" s="118"/>
      <c r="AO91" s="118"/>
      <c r="AP91" s="118"/>
      <c r="AQ91" s="118"/>
      <c r="AR91" s="118"/>
      <c r="AS91" s="118"/>
      <c r="AT91" s="118"/>
      <c r="AU91" s="118"/>
      <c r="AV91" s="118"/>
    </row>
    <row r="92" spans="1:48" ht="15" thickBot="1">
      <c r="A92" s="34"/>
      <c r="B92" s="34"/>
      <c r="C92" s="34"/>
      <c r="D92" s="59" t="s">
        <v>22</v>
      </c>
      <c r="E92" s="66" t="str">
        <f>Type_1</f>
        <v>Type 3</v>
      </c>
      <c r="F92" s="67"/>
      <c r="G92" s="151" t="s">
        <v>235</v>
      </c>
      <c r="H92" s="152"/>
      <c r="I92" s="153"/>
      <c r="J92" s="34"/>
      <c r="K92" s="34"/>
      <c r="L92" s="34"/>
      <c r="M92" s="119"/>
      <c r="N92" s="119"/>
      <c r="O92" s="119"/>
      <c r="P92" s="133">
        <f>E59</f>
        <v>15</v>
      </c>
      <c r="Q92" s="119" t="s">
        <v>84</v>
      </c>
      <c r="R92" s="119" t="s">
        <v>75</v>
      </c>
      <c r="S92" s="119"/>
      <c r="T92" s="108" t="s">
        <v>49</v>
      </c>
      <c r="U92" s="129">
        <v>10.5</v>
      </c>
      <c r="V92" s="107" t="s">
        <v>66</v>
      </c>
      <c r="W92" s="107"/>
      <c r="X92" s="118"/>
      <c r="Y92" s="118"/>
      <c r="Z92" s="118"/>
      <c r="AB92" s="4"/>
      <c r="AC92" s="108"/>
      <c r="AD92" s="110" t="str">
        <f>Type_1</f>
        <v>Type 3</v>
      </c>
      <c r="AE92" s="107"/>
      <c r="AF92" s="107"/>
      <c r="AG92" s="107"/>
      <c r="AH92" s="118"/>
      <c r="AI92" s="118"/>
      <c r="AJ92" s="118"/>
      <c r="AK92" s="118"/>
      <c r="AL92" s="118"/>
      <c r="AM92" s="118"/>
      <c r="AN92" s="118"/>
      <c r="AO92" s="118"/>
      <c r="AP92" s="118"/>
      <c r="AQ92" s="118"/>
      <c r="AR92" s="118"/>
      <c r="AS92" s="118"/>
      <c r="AT92" s="118"/>
      <c r="AU92" s="118"/>
      <c r="AV92" s="118"/>
    </row>
    <row r="93" spans="1:48" ht="12.75">
      <c r="A93" s="34"/>
      <c r="B93" s="34"/>
      <c r="C93" s="34"/>
      <c r="D93" s="59">
        <f>IF(E65="Type 3","","R3 =")</f>
      </c>
      <c r="E93" s="68"/>
      <c r="F93" s="69"/>
      <c r="G93" s="57">
        <f>IF(E65="Type 3","","Sets the ripple amplitude at Vout.")</f>
      </c>
      <c r="H93" s="57"/>
      <c r="I93" s="58"/>
      <c r="J93" s="34"/>
      <c r="K93" s="34"/>
      <c r="L93" s="34"/>
      <c r="M93" s="119"/>
      <c r="N93" s="119"/>
      <c r="O93" s="119"/>
      <c r="P93" s="133"/>
      <c r="Q93" s="119"/>
      <c r="R93" s="119"/>
      <c r="S93" s="119"/>
      <c r="T93" s="118"/>
      <c r="U93" s="118"/>
      <c r="V93" s="118"/>
      <c r="W93" s="118"/>
      <c r="X93" s="118"/>
      <c r="Y93" s="118"/>
      <c r="Z93" s="118"/>
      <c r="AB93" s="4"/>
      <c r="AC93" s="108"/>
      <c r="AD93" s="110"/>
      <c r="AE93" s="107"/>
      <c r="AF93" s="107"/>
      <c r="AG93" s="107"/>
      <c r="AH93" s="118"/>
      <c r="AI93" s="118"/>
      <c r="AJ93" s="118"/>
      <c r="AK93" s="118"/>
      <c r="AL93" s="118"/>
      <c r="AM93" s="118"/>
      <c r="AN93" s="118"/>
      <c r="AO93" s="118"/>
      <c r="AP93" s="118"/>
      <c r="AQ93" s="118"/>
      <c r="AR93" s="118"/>
      <c r="AS93" s="118"/>
      <c r="AT93" s="118"/>
      <c r="AU93" s="118"/>
      <c r="AV93" s="118"/>
    </row>
    <row r="94" spans="1:48" ht="13.5" thickBot="1">
      <c r="A94" s="34"/>
      <c r="B94" s="34"/>
      <c r="C94" s="34"/>
      <c r="D94" s="59">
        <f>IF(E65="Type 2","Cff =","")</f>
      </c>
      <c r="E94" s="70"/>
      <c r="F94" s="71"/>
      <c r="G94" s="72">
        <f>IF(E65="Type 2","Ripple bypass for Type 2","")</f>
      </c>
      <c r="H94" s="72"/>
      <c r="I94" s="73"/>
      <c r="J94" s="34"/>
      <c r="K94" s="34"/>
      <c r="L94" s="34"/>
      <c r="M94" s="119"/>
      <c r="N94" s="119"/>
      <c r="O94" s="119"/>
      <c r="P94" s="133"/>
      <c r="Q94" s="119"/>
      <c r="R94" s="119"/>
      <c r="S94" s="119"/>
      <c r="T94" s="118"/>
      <c r="U94" s="118"/>
      <c r="V94" s="118"/>
      <c r="W94" s="118"/>
      <c r="X94" s="118"/>
      <c r="Y94" s="118"/>
      <c r="Z94" s="118"/>
      <c r="AB94" s="4"/>
      <c r="AC94" s="108"/>
      <c r="AD94" s="110"/>
      <c r="AE94" s="107"/>
      <c r="AF94" s="107"/>
      <c r="AG94" s="107"/>
      <c r="AH94" s="118"/>
      <c r="AI94" s="118"/>
      <c r="AJ94" s="118"/>
      <c r="AK94" s="118"/>
      <c r="AL94" s="118"/>
      <c r="AM94" s="118"/>
      <c r="AN94" s="118"/>
      <c r="AO94" s="118"/>
      <c r="AP94" s="118"/>
      <c r="AQ94" s="118"/>
      <c r="AR94" s="118"/>
      <c r="AS94" s="118"/>
      <c r="AT94" s="118"/>
      <c r="AU94" s="118"/>
      <c r="AV94" s="118"/>
    </row>
    <row r="95" spans="1:48" ht="12.75">
      <c r="A95" s="34"/>
      <c r="B95" s="34"/>
      <c r="C95" s="34"/>
      <c r="D95" s="59" t="str">
        <f>IF(E65="Type 3","CA =","")</f>
        <v>CA =</v>
      </c>
      <c r="E95" s="74">
        <f>E71</f>
        <v>1000</v>
      </c>
      <c r="F95" s="75" t="s">
        <v>236</v>
      </c>
      <c r="G95" s="76" t="str">
        <f>IF(E65="Type 3","Ripple Generation","")</f>
        <v>Ripple Generation</v>
      </c>
      <c r="H95" s="57"/>
      <c r="I95" s="58"/>
      <c r="J95" s="34"/>
      <c r="K95" s="34"/>
      <c r="L95" s="34"/>
      <c r="M95" s="119"/>
      <c r="N95" s="119"/>
      <c r="O95" s="119"/>
      <c r="P95" s="119"/>
      <c r="Q95" s="119"/>
      <c r="R95" s="119"/>
      <c r="S95" s="119"/>
      <c r="T95" s="118"/>
      <c r="U95" s="118"/>
      <c r="V95" s="118"/>
      <c r="W95" s="118"/>
      <c r="X95" s="118"/>
      <c r="Y95" s="118"/>
      <c r="Z95" s="118"/>
      <c r="AB95" s="4"/>
      <c r="AC95" s="108"/>
      <c r="AD95" s="110">
        <f>AD71</f>
        <v>1000</v>
      </c>
      <c r="AE95" s="107"/>
      <c r="AF95" s="107"/>
      <c r="AG95" s="107"/>
      <c r="AH95" s="118"/>
      <c r="AI95" s="118"/>
      <c r="AJ95" s="118"/>
      <c r="AK95" s="118"/>
      <c r="AL95" s="118"/>
      <c r="AM95" s="118"/>
      <c r="AN95" s="118"/>
      <c r="AO95" s="118"/>
      <c r="AP95" s="118"/>
      <c r="AQ95" s="118"/>
      <c r="AR95" s="118"/>
      <c r="AS95" s="118"/>
      <c r="AT95" s="118"/>
      <c r="AU95" s="118"/>
      <c r="AV95" s="118"/>
    </row>
    <row r="96" spans="1:48" ht="14.25">
      <c r="A96" s="34"/>
      <c r="B96" s="34"/>
      <c r="C96" s="34"/>
      <c r="D96" s="59" t="str">
        <f>IF(E65="Type 3","RA =","")</f>
        <v>RA =</v>
      </c>
      <c r="E96" s="23">
        <f>E73</f>
        <v>100</v>
      </c>
      <c r="F96" s="60" t="s">
        <v>207</v>
      </c>
      <c r="G96" s="77" t="str">
        <f>IF(E65="Type 3","components for","")</f>
        <v>components for</v>
      </c>
      <c r="H96" s="78"/>
      <c r="I96" s="94"/>
      <c r="J96" s="34"/>
      <c r="K96" s="34"/>
      <c r="L96" s="34"/>
      <c r="M96" s="119"/>
      <c r="N96" s="119"/>
      <c r="O96" s="119"/>
      <c r="P96" s="119"/>
      <c r="Q96" s="119"/>
      <c r="R96" s="134" t="s">
        <v>267</v>
      </c>
      <c r="S96" s="130">
        <f>(R46/U84)-1</f>
        <v>3</v>
      </c>
      <c r="T96" s="118"/>
      <c r="U96" s="118"/>
      <c r="V96" s="118"/>
      <c r="W96" s="118"/>
      <c r="X96" s="118"/>
      <c r="Y96" s="118"/>
      <c r="Z96" s="118"/>
      <c r="AB96" s="4"/>
      <c r="AC96" s="108"/>
      <c r="AD96" s="110">
        <f>AD73</f>
        <v>51.1</v>
      </c>
      <c r="AE96" s="107"/>
      <c r="AF96" s="107"/>
      <c r="AG96" s="107"/>
      <c r="AH96" s="118"/>
      <c r="AI96" s="118"/>
      <c r="AJ96" s="118"/>
      <c r="AK96" s="118"/>
      <c r="AL96" s="118"/>
      <c r="AM96" s="118"/>
      <c r="AN96" s="118"/>
      <c r="AO96" s="118"/>
      <c r="AP96" s="118"/>
      <c r="AQ96" s="118"/>
      <c r="AR96" s="118"/>
      <c r="AS96" s="118"/>
      <c r="AT96" s="118"/>
      <c r="AU96" s="118"/>
      <c r="AV96" s="118"/>
    </row>
    <row r="97" spans="1:48" ht="13.5" thickBot="1">
      <c r="A97" s="34"/>
      <c r="B97" s="34"/>
      <c r="C97" s="34"/>
      <c r="D97" s="59" t="str">
        <f>IF(E65="Type 3","CB =","")</f>
        <v>CB =</v>
      </c>
      <c r="E97" s="23">
        <f>E74</f>
        <v>0.1</v>
      </c>
      <c r="F97" s="60" t="s">
        <v>212</v>
      </c>
      <c r="G97" s="79" t="str">
        <f>IF(E65="Type 3","Type 3 Configuration","")</f>
        <v>Type 3 Configuration</v>
      </c>
      <c r="H97" s="72"/>
      <c r="I97" s="73"/>
      <c r="J97" s="34"/>
      <c r="K97" s="34"/>
      <c r="L97" s="34"/>
      <c r="M97" s="119"/>
      <c r="N97" s="119"/>
      <c r="O97" s="119"/>
      <c r="P97" s="119"/>
      <c r="Q97" s="119"/>
      <c r="R97" s="134" t="s">
        <v>7</v>
      </c>
      <c r="S97" s="130">
        <f>E35*S96</f>
        <v>9.899999999999999</v>
      </c>
      <c r="T97" s="118" t="s">
        <v>6</v>
      </c>
      <c r="U97" s="118"/>
      <c r="V97" s="118"/>
      <c r="W97" s="118"/>
      <c r="X97" s="118"/>
      <c r="Y97" s="118"/>
      <c r="Z97" s="118"/>
      <c r="AB97" s="4"/>
      <c r="AC97" s="108"/>
      <c r="AD97" s="110">
        <f>AD74</f>
        <v>0.1</v>
      </c>
      <c r="AE97" s="107"/>
      <c r="AF97" s="107"/>
      <c r="AG97" s="107"/>
      <c r="AH97" s="118"/>
      <c r="AI97" s="118"/>
      <c r="AJ97" s="118"/>
      <c r="AK97" s="118"/>
      <c r="AL97" s="118"/>
      <c r="AM97" s="118"/>
      <c r="AN97" s="118"/>
      <c r="AO97" s="118"/>
      <c r="AP97" s="118"/>
      <c r="AQ97" s="118"/>
      <c r="AR97" s="118"/>
      <c r="AS97" s="118"/>
      <c r="AT97" s="118"/>
      <c r="AU97" s="118"/>
      <c r="AV97" s="118"/>
    </row>
    <row r="98" spans="1:48" ht="14.25">
      <c r="A98" s="34"/>
      <c r="B98" s="34"/>
      <c r="C98" s="34"/>
      <c r="D98" s="59" t="s">
        <v>225</v>
      </c>
      <c r="E98" s="23">
        <f>E77</f>
        <v>300</v>
      </c>
      <c r="F98" s="60" t="s">
        <v>212</v>
      </c>
      <c r="G98" s="78"/>
      <c r="H98" s="78"/>
      <c r="I98" s="94"/>
      <c r="J98" s="34"/>
      <c r="K98" s="34"/>
      <c r="L98" s="34"/>
      <c r="M98" s="119"/>
      <c r="N98" s="119"/>
      <c r="O98" s="119"/>
      <c r="P98" s="119"/>
      <c r="Q98" s="119"/>
      <c r="R98" s="134" t="s">
        <v>8</v>
      </c>
      <c r="S98" s="130">
        <f>U84*(E35+E37)/E35</f>
        <v>8.060606060606062</v>
      </c>
      <c r="T98" s="118" t="s">
        <v>62</v>
      </c>
      <c r="U98" s="118"/>
      <c r="V98" s="118"/>
      <c r="W98" s="118"/>
      <c r="X98" s="118"/>
      <c r="Y98" s="118"/>
      <c r="Z98" s="118"/>
      <c r="AB98" s="4"/>
      <c r="AC98" s="108"/>
      <c r="AD98" s="110">
        <f>AD77</f>
        <v>20</v>
      </c>
      <c r="AE98" s="107"/>
      <c r="AF98" s="107"/>
      <c r="AG98" s="107"/>
      <c r="AH98" s="118"/>
      <c r="AI98" s="118"/>
      <c r="AJ98" s="118"/>
      <c r="AK98" s="118"/>
      <c r="AL98" s="118"/>
      <c r="AM98" s="118"/>
      <c r="AN98" s="118"/>
      <c r="AO98" s="118"/>
      <c r="AP98" s="118"/>
      <c r="AQ98" s="118"/>
      <c r="AR98" s="118"/>
      <c r="AS98" s="118"/>
      <c r="AT98" s="118"/>
      <c r="AU98" s="118"/>
      <c r="AV98" s="118"/>
    </row>
    <row r="99" spans="1:48" ht="14.25">
      <c r="A99" s="34"/>
      <c r="B99" s="34"/>
      <c r="C99" s="34"/>
      <c r="D99" s="59" t="s">
        <v>226</v>
      </c>
      <c r="E99" s="23">
        <f>E80</f>
        <v>300</v>
      </c>
      <c r="F99" s="60" t="s">
        <v>212</v>
      </c>
      <c r="G99" s="78"/>
      <c r="H99" s="78"/>
      <c r="I99" s="94"/>
      <c r="J99" s="34"/>
      <c r="K99" s="34"/>
      <c r="L99" s="34"/>
      <c r="M99" s="119"/>
      <c r="N99" s="119"/>
      <c r="O99" s="119"/>
      <c r="P99" s="119"/>
      <c r="Q99" s="119"/>
      <c r="R99" s="134"/>
      <c r="S99" s="130"/>
      <c r="T99" s="118"/>
      <c r="U99" s="118"/>
      <c r="V99" s="118"/>
      <c r="W99" s="118"/>
      <c r="X99" s="118"/>
      <c r="Y99" s="118"/>
      <c r="Z99" s="118"/>
      <c r="AB99" s="4"/>
      <c r="AC99" s="108"/>
      <c r="AD99" s="110">
        <f>AD80</f>
        <v>20</v>
      </c>
      <c r="AE99" s="107"/>
      <c r="AF99" s="107"/>
      <c r="AG99" s="107"/>
      <c r="AH99" s="118"/>
      <c r="AI99" s="118"/>
      <c r="AJ99" s="118"/>
      <c r="AK99" s="118"/>
      <c r="AL99" s="118"/>
      <c r="AM99" s="118"/>
      <c r="AN99" s="118"/>
      <c r="AO99" s="118"/>
      <c r="AP99" s="118"/>
      <c r="AQ99" s="118"/>
      <c r="AR99" s="118"/>
      <c r="AS99" s="118"/>
      <c r="AT99" s="118"/>
      <c r="AU99" s="118"/>
      <c r="AV99" s="118"/>
    </row>
    <row r="100" spans="1:48" ht="15" thickBot="1">
      <c r="A100" s="34"/>
      <c r="B100" s="34"/>
      <c r="C100" s="34"/>
      <c r="D100" s="59" t="s">
        <v>227</v>
      </c>
      <c r="E100" s="23">
        <f>E84</f>
        <v>68</v>
      </c>
      <c r="F100" s="60" t="s">
        <v>212</v>
      </c>
      <c r="G100" s="78"/>
      <c r="H100" s="78"/>
      <c r="I100" s="94"/>
      <c r="J100" s="34"/>
      <c r="K100" s="34"/>
      <c r="L100" s="34"/>
      <c r="M100" s="119"/>
      <c r="N100" s="119"/>
      <c r="O100" s="119"/>
      <c r="P100" s="119"/>
      <c r="Q100" s="119"/>
      <c r="R100" s="119"/>
      <c r="S100" s="119"/>
      <c r="T100" s="118"/>
      <c r="U100" s="118"/>
      <c r="V100" s="118"/>
      <c r="W100" s="118"/>
      <c r="X100" s="118"/>
      <c r="Y100" s="118"/>
      <c r="Z100" s="118"/>
      <c r="AB100" s="4"/>
      <c r="AC100" s="108"/>
      <c r="AD100" s="110">
        <f>AD84</f>
        <v>4.87</v>
      </c>
      <c r="AE100" s="107"/>
      <c r="AF100" s="107"/>
      <c r="AG100" s="107"/>
      <c r="AH100" s="118"/>
      <c r="AI100" s="118"/>
      <c r="AJ100" s="118"/>
      <c r="AK100" s="118"/>
      <c r="AL100" s="118"/>
      <c r="AM100" s="118"/>
      <c r="AN100" s="118"/>
      <c r="AO100" s="118"/>
      <c r="AP100" s="118"/>
      <c r="AQ100" s="118"/>
      <c r="AR100" s="118"/>
      <c r="AS100" s="118"/>
      <c r="AT100" s="118"/>
      <c r="AU100" s="118"/>
      <c r="AV100" s="118"/>
    </row>
    <row r="101" spans="1:48" ht="14.25">
      <c r="A101" s="34"/>
      <c r="B101" s="34"/>
      <c r="C101" s="34"/>
      <c r="D101" s="59" t="s">
        <v>228</v>
      </c>
      <c r="E101" s="142">
        <v>0.47</v>
      </c>
      <c r="F101" s="80" t="s">
        <v>212</v>
      </c>
      <c r="G101" s="81" t="s">
        <v>181</v>
      </c>
      <c r="H101" s="82"/>
      <c r="I101" s="83"/>
      <c r="J101" s="34"/>
      <c r="K101" s="34"/>
      <c r="L101" s="34"/>
      <c r="M101" s="119"/>
      <c r="N101" s="119"/>
      <c r="O101" s="119"/>
      <c r="P101" s="119"/>
      <c r="Q101" s="119"/>
      <c r="R101" s="134" t="s">
        <v>3</v>
      </c>
      <c r="S101" s="119">
        <f>S98*10^6/(E21*150)</f>
        <v>9770.431588613408</v>
      </c>
      <c r="T101" s="118" t="s">
        <v>2</v>
      </c>
      <c r="U101" s="118"/>
      <c r="V101" s="118"/>
      <c r="W101" s="118"/>
      <c r="X101" s="118"/>
      <c r="Y101" s="118"/>
      <c r="Z101" s="118"/>
      <c r="AB101" s="4"/>
      <c r="AC101" s="108"/>
      <c r="AD101" s="110">
        <v>0.47</v>
      </c>
      <c r="AE101" s="107"/>
      <c r="AF101" s="107"/>
      <c r="AG101" s="107"/>
      <c r="AH101" s="118"/>
      <c r="AI101" s="118"/>
      <c r="AJ101" s="118"/>
      <c r="AK101" s="118"/>
      <c r="AL101" s="118"/>
      <c r="AM101" s="118"/>
      <c r="AN101" s="118"/>
      <c r="AO101" s="118"/>
      <c r="AP101" s="118"/>
      <c r="AQ101" s="118"/>
      <c r="AR101" s="118"/>
      <c r="AS101" s="118"/>
      <c r="AT101" s="118"/>
      <c r="AU101" s="118"/>
      <c r="AV101" s="118"/>
    </row>
    <row r="102" spans="1:48" ht="14.25">
      <c r="A102" s="34"/>
      <c r="B102" s="34"/>
      <c r="C102" s="34"/>
      <c r="D102" s="59" t="s">
        <v>229</v>
      </c>
      <c r="E102" s="142">
        <v>0.1</v>
      </c>
      <c r="F102" s="80" t="s">
        <v>212</v>
      </c>
      <c r="G102" s="84"/>
      <c r="H102" s="85"/>
      <c r="I102" s="86"/>
      <c r="J102" s="34"/>
      <c r="K102" s="34"/>
      <c r="L102" s="34"/>
      <c r="M102" s="119"/>
      <c r="N102" s="119"/>
      <c r="O102" s="119"/>
      <c r="P102" s="119"/>
      <c r="Q102" s="119"/>
      <c r="R102" s="134" t="s">
        <v>4</v>
      </c>
      <c r="S102" s="119">
        <f>(IF((E19-S98)*10^6/(E19*150)&lt;1000,(E19-S98)*10^6/(E19*150),1000))</f>
        <v>-5274.971941638611</v>
      </c>
      <c r="T102" s="118" t="s">
        <v>2</v>
      </c>
      <c r="U102" s="118" t="s">
        <v>85</v>
      </c>
      <c r="V102" s="118"/>
      <c r="W102" s="118"/>
      <c r="X102" s="118"/>
      <c r="Y102" s="118"/>
      <c r="Z102" s="118"/>
      <c r="AB102" s="4"/>
      <c r="AC102" s="108"/>
      <c r="AD102" s="110">
        <v>0.1</v>
      </c>
      <c r="AE102" s="107"/>
      <c r="AF102" s="107"/>
      <c r="AG102" s="107"/>
      <c r="AH102" s="118"/>
      <c r="AI102" s="118"/>
      <c r="AJ102" s="118"/>
      <c r="AK102" s="118"/>
      <c r="AL102" s="118"/>
      <c r="AM102" s="118"/>
      <c r="AN102" s="118"/>
      <c r="AO102" s="118"/>
      <c r="AP102" s="118"/>
      <c r="AQ102" s="118"/>
      <c r="AR102" s="118"/>
      <c r="AS102" s="118"/>
      <c r="AT102" s="118"/>
      <c r="AU102" s="118"/>
      <c r="AV102" s="118"/>
    </row>
    <row r="103" spans="1:48" ht="15" thickBot="1">
      <c r="A103" s="34"/>
      <c r="B103" s="34"/>
      <c r="C103" s="34"/>
      <c r="D103" s="59" t="s">
        <v>230</v>
      </c>
      <c r="E103" s="142">
        <v>0.022</v>
      </c>
      <c r="F103" s="80" t="s">
        <v>212</v>
      </c>
      <c r="G103" s="84"/>
      <c r="H103" s="85"/>
      <c r="I103" s="86"/>
      <c r="J103" s="34"/>
      <c r="K103" s="34"/>
      <c r="L103" s="34"/>
      <c r="M103" s="119"/>
      <c r="N103" s="119"/>
      <c r="O103" s="119"/>
      <c r="P103" s="119"/>
      <c r="Q103" s="119"/>
      <c r="R103" s="134" t="s">
        <v>5</v>
      </c>
      <c r="S103" s="119">
        <f>IF((S101&lt;S102),S101,S102)</f>
        <v>-5274.971941638611</v>
      </c>
      <c r="T103" s="118" t="s">
        <v>2</v>
      </c>
      <c r="U103" s="118"/>
      <c r="V103" s="118"/>
      <c r="W103" s="118"/>
      <c r="X103" s="118"/>
      <c r="Y103" s="118"/>
      <c r="Z103" s="118"/>
      <c r="AB103" s="4"/>
      <c r="AC103" s="108"/>
      <c r="AD103" s="110">
        <v>0.022</v>
      </c>
      <c r="AE103" s="107"/>
      <c r="AF103" s="107"/>
      <c r="AG103" s="107"/>
      <c r="AH103" s="118"/>
      <c r="AI103" s="118"/>
      <c r="AJ103" s="118"/>
      <c r="AK103" s="118"/>
      <c r="AL103" s="118"/>
      <c r="AM103" s="118"/>
      <c r="AN103" s="118"/>
      <c r="AO103" s="118"/>
      <c r="AP103" s="118"/>
      <c r="AQ103" s="118"/>
      <c r="AR103" s="118"/>
      <c r="AS103" s="118"/>
      <c r="AT103" s="118"/>
      <c r="AU103" s="118"/>
      <c r="AV103" s="118"/>
    </row>
    <row r="104" spans="1:48" ht="15" thickBot="1">
      <c r="A104" s="34"/>
      <c r="B104" s="34"/>
      <c r="C104" s="34"/>
      <c r="D104" s="59" t="s">
        <v>231</v>
      </c>
      <c r="E104" s="142">
        <v>2</v>
      </c>
      <c r="F104" s="80" t="s">
        <v>207</v>
      </c>
      <c r="G104" s="148" t="s">
        <v>246</v>
      </c>
      <c r="H104" s="149"/>
      <c r="I104" s="150"/>
      <c r="J104" s="34"/>
      <c r="K104" s="34"/>
      <c r="L104" s="34"/>
      <c r="M104" s="119"/>
      <c r="N104" s="119"/>
      <c r="O104" s="119"/>
      <c r="P104" s="119"/>
      <c r="Q104" s="119"/>
      <c r="R104" s="134"/>
      <c r="S104" s="119"/>
      <c r="T104" s="118"/>
      <c r="U104" s="118"/>
      <c r="V104" s="118"/>
      <c r="W104" s="118"/>
      <c r="X104" s="118"/>
      <c r="Y104" s="118"/>
      <c r="Z104" s="118"/>
      <c r="AB104" s="4"/>
      <c r="AC104" s="108"/>
      <c r="AD104" s="110">
        <v>2</v>
      </c>
      <c r="AE104" s="107"/>
      <c r="AF104" s="107"/>
      <c r="AG104" s="107"/>
      <c r="AH104" s="118"/>
      <c r="AI104" s="118"/>
      <c r="AJ104" s="118"/>
      <c r="AK104" s="118"/>
      <c r="AL104" s="118"/>
      <c r="AM104" s="118"/>
      <c r="AN104" s="118"/>
      <c r="AO104" s="118"/>
      <c r="AP104" s="118"/>
      <c r="AQ104" s="118"/>
      <c r="AR104" s="118"/>
      <c r="AS104" s="118"/>
      <c r="AT104" s="118"/>
      <c r="AU104" s="118"/>
      <c r="AV104" s="118"/>
    </row>
    <row r="105" spans="1:48" ht="14.25">
      <c r="A105" s="34"/>
      <c r="B105" s="34"/>
      <c r="C105" s="34"/>
      <c r="D105" s="59" t="s">
        <v>232</v>
      </c>
      <c r="E105" s="23">
        <f>E38</f>
        <v>8.060606060606062</v>
      </c>
      <c r="F105" s="60" t="s">
        <v>62</v>
      </c>
      <c r="G105" s="78"/>
      <c r="H105" s="78"/>
      <c r="I105" s="94"/>
      <c r="J105" s="34"/>
      <c r="K105" s="34"/>
      <c r="L105" s="34"/>
      <c r="M105" s="119"/>
      <c r="N105" s="119"/>
      <c r="O105" s="119"/>
      <c r="P105" s="119"/>
      <c r="Q105" s="119"/>
      <c r="R105" s="134" t="s">
        <v>38</v>
      </c>
      <c r="S105" s="119">
        <f>S98/((R47*10^3*U85*10^-10)*10^3)</f>
        <v>268.6868686868687</v>
      </c>
      <c r="T105" s="118" t="s">
        <v>6</v>
      </c>
      <c r="U105" s="118"/>
      <c r="V105" s="118"/>
      <c r="W105" s="118"/>
      <c r="X105" s="118"/>
      <c r="Y105" s="118"/>
      <c r="Z105" s="118"/>
      <c r="AB105" s="4"/>
      <c r="AC105" s="108"/>
      <c r="AD105" s="110">
        <f>AD38</f>
        <v>8.060606060606062</v>
      </c>
      <c r="AE105" s="107"/>
      <c r="AF105" s="107"/>
      <c r="AG105" s="107"/>
      <c r="AH105" s="118"/>
      <c r="AI105" s="118"/>
      <c r="AJ105" s="118"/>
      <c r="AK105" s="118"/>
      <c r="AL105" s="118"/>
      <c r="AM105" s="118"/>
      <c r="AN105" s="118"/>
      <c r="AO105" s="118"/>
      <c r="AP105" s="118"/>
      <c r="AQ105" s="118"/>
      <c r="AR105" s="118"/>
      <c r="AS105" s="118"/>
      <c r="AT105" s="118"/>
      <c r="AU105" s="118"/>
      <c r="AV105" s="118"/>
    </row>
    <row r="106" spans="1:48" ht="14.25">
      <c r="A106" s="34"/>
      <c r="B106" s="34"/>
      <c r="C106" s="34"/>
      <c r="D106" s="59" t="s">
        <v>233</v>
      </c>
      <c r="E106" s="66">
        <f>E18</f>
        <v>7.5</v>
      </c>
      <c r="F106" s="67" t="s">
        <v>62</v>
      </c>
      <c r="G106" s="78"/>
      <c r="H106" s="78"/>
      <c r="I106" s="94"/>
      <c r="J106" s="34"/>
      <c r="K106" s="34"/>
      <c r="L106" s="34"/>
      <c r="M106" s="119"/>
      <c r="N106" s="119"/>
      <c r="O106" s="119"/>
      <c r="P106" s="119"/>
      <c r="Q106" s="119" t="s">
        <v>161</v>
      </c>
      <c r="R106" s="134"/>
      <c r="S106" s="122">
        <f>E44</f>
        <v>332</v>
      </c>
      <c r="T106" s="118" t="s">
        <v>6</v>
      </c>
      <c r="U106" s="118"/>
      <c r="V106" s="118"/>
      <c r="W106" s="118"/>
      <c r="X106" s="118"/>
      <c r="Y106" s="118"/>
      <c r="Z106" s="118"/>
      <c r="AB106" s="4"/>
      <c r="AC106" s="108"/>
      <c r="AD106" s="110">
        <f>AD18</f>
        <v>7.5</v>
      </c>
      <c r="AE106" s="107"/>
      <c r="AF106" s="107"/>
      <c r="AG106" s="107"/>
      <c r="AH106" s="118"/>
      <c r="AI106" s="118"/>
      <c r="AJ106" s="118"/>
      <c r="AK106" s="118"/>
      <c r="AL106" s="118"/>
      <c r="AM106" s="118"/>
      <c r="AN106" s="118"/>
      <c r="AO106" s="118"/>
      <c r="AP106" s="118"/>
      <c r="AQ106" s="118"/>
      <c r="AR106" s="118"/>
      <c r="AS106" s="118"/>
      <c r="AT106" s="118"/>
      <c r="AU106" s="118"/>
      <c r="AV106" s="118"/>
    </row>
    <row r="107" spans="1:48" ht="13.5" thickBot="1">
      <c r="A107" s="34"/>
      <c r="B107" s="34"/>
      <c r="C107" s="34"/>
      <c r="D107" s="87" t="s">
        <v>23</v>
      </c>
      <c r="E107" s="88">
        <f>E45</f>
        <v>242.7893391748814</v>
      </c>
      <c r="F107" s="89" t="s">
        <v>2</v>
      </c>
      <c r="G107" s="72"/>
      <c r="H107" s="72"/>
      <c r="I107" s="73"/>
      <c r="J107" s="34"/>
      <c r="K107" s="34"/>
      <c r="L107" s="34"/>
      <c r="M107" s="119"/>
      <c r="N107" s="119"/>
      <c r="O107" s="119"/>
      <c r="P107" s="119"/>
      <c r="Q107" s="119"/>
      <c r="R107" s="134" t="s">
        <v>39</v>
      </c>
      <c r="S107" s="119">
        <f>S98/((S103*10^3*U85*10^-10)*10^3)</f>
        <v>-15.280851063829786</v>
      </c>
      <c r="T107" s="118" t="s">
        <v>6</v>
      </c>
      <c r="U107" s="118"/>
      <c r="V107" s="118"/>
      <c r="W107" s="118"/>
      <c r="X107" s="118"/>
      <c r="Y107" s="118"/>
      <c r="Z107" s="118"/>
      <c r="AB107" s="4"/>
      <c r="AC107" s="108"/>
      <c r="AD107" s="110">
        <f>AD45</f>
        <v>242.7893391748814</v>
      </c>
      <c r="AE107" s="107"/>
      <c r="AF107" s="107"/>
      <c r="AG107" s="107"/>
      <c r="AH107" s="118"/>
      <c r="AI107" s="118"/>
      <c r="AJ107" s="118"/>
      <c r="AK107" s="118"/>
      <c r="AL107" s="118"/>
      <c r="AM107" s="118"/>
      <c r="AN107" s="118"/>
      <c r="AO107" s="118"/>
      <c r="AP107" s="118"/>
      <c r="AQ107" s="118"/>
      <c r="AR107" s="118"/>
      <c r="AS107" s="118"/>
      <c r="AT107" s="118"/>
      <c r="AU107" s="118"/>
      <c r="AV107" s="118"/>
    </row>
    <row r="108" spans="1:48" ht="12.75">
      <c r="A108" s="34"/>
      <c r="B108" s="34"/>
      <c r="C108" s="34"/>
      <c r="D108" s="38"/>
      <c r="E108" s="35"/>
      <c r="F108" s="36"/>
      <c r="G108" s="34"/>
      <c r="H108" s="34"/>
      <c r="I108" s="34"/>
      <c r="J108" s="34"/>
      <c r="K108" s="34"/>
      <c r="L108" s="34"/>
      <c r="M108" s="119"/>
      <c r="N108" s="119"/>
      <c r="O108" s="119"/>
      <c r="P108" s="119"/>
      <c r="Q108" s="119"/>
      <c r="R108" s="134" t="s">
        <v>9</v>
      </c>
      <c r="S108" s="119">
        <f>S98/((S106*10^3*U85*10^-10)*10^3)</f>
        <v>242.7893391748814</v>
      </c>
      <c r="T108" s="118" t="s">
        <v>2</v>
      </c>
      <c r="U108" s="118"/>
      <c r="V108" s="118"/>
      <c r="W108" s="118"/>
      <c r="X108" s="118"/>
      <c r="Y108" s="118"/>
      <c r="Z108" s="118"/>
      <c r="AB108" s="4"/>
      <c r="AC108" s="107"/>
      <c r="AD108" s="107"/>
      <c r="AE108" s="107"/>
      <c r="AF108" s="107"/>
      <c r="AG108" s="107"/>
      <c r="AH108" s="118"/>
      <c r="AI108" s="118"/>
      <c r="AJ108" s="118"/>
      <c r="AK108" s="118"/>
      <c r="AL108" s="118"/>
      <c r="AM108" s="118"/>
      <c r="AN108" s="118"/>
      <c r="AO108" s="118"/>
      <c r="AP108" s="118"/>
      <c r="AQ108" s="118"/>
      <c r="AR108" s="118"/>
      <c r="AS108" s="118"/>
      <c r="AT108" s="118"/>
      <c r="AU108" s="118"/>
      <c r="AV108" s="118"/>
    </row>
    <row r="109" spans="1:48" ht="14.25">
      <c r="A109" s="34"/>
      <c r="B109" s="34"/>
      <c r="C109" s="38"/>
      <c r="D109" s="93" t="s">
        <v>234</v>
      </c>
      <c r="E109" s="35"/>
      <c r="F109" s="36"/>
      <c r="G109" s="34"/>
      <c r="H109" s="34"/>
      <c r="I109" s="34"/>
      <c r="J109" s="34"/>
      <c r="K109" s="34"/>
      <c r="L109" s="34"/>
      <c r="M109" s="119"/>
      <c r="N109" s="119"/>
      <c r="O109" s="119"/>
      <c r="P109" s="119"/>
      <c r="Q109" s="119"/>
      <c r="R109" s="134" t="s">
        <v>42</v>
      </c>
      <c r="S109" s="119">
        <f>(S106*10^3*U85*10^-10/(R43))*10^6</f>
        <v>7.377777777777778</v>
      </c>
      <c r="T109" s="118" t="s">
        <v>86</v>
      </c>
      <c r="U109" s="118"/>
      <c r="V109" s="118"/>
      <c r="W109" s="118"/>
      <c r="X109" s="118"/>
      <c r="Y109" s="118"/>
      <c r="Z109" s="118"/>
      <c r="AB109" s="4"/>
      <c r="AC109" s="107"/>
      <c r="AD109" s="107"/>
      <c r="AE109" s="107"/>
      <c r="AF109" s="107"/>
      <c r="AG109" s="107"/>
      <c r="AH109" s="118"/>
      <c r="AI109" s="118"/>
      <c r="AJ109" s="118"/>
      <c r="AK109" s="118"/>
      <c r="AL109" s="118"/>
      <c r="AM109" s="118"/>
      <c r="AN109" s="118"/>
      <c r="AO109" s="118"/>
      <c r="AP109" s="118"/>
      <c r="AQ109" s="118"/>
      <c r="AR109" s="118"/>
      <c r="AS109" s="118"/>
      <c r="AT109" s="118"/>
      <c r="AU109" s="118"/>
      <c r="AV109" s="118"/>
    </row>
    <row r="110" spans="1:48" ht="12.75">
      <c r="A110" s="34"/>
      <c r="B110" s="34"/>
      <c r="C110" s="34"/>
      <c r="D110" s="34" t="s">
        <v>247</v>
      </c>
      <c r="E110" s="42"/>
      <c r="F110" s="36"/>
      <c r="G110" s="34"/>
      <c r="H110" s="34"/>
      <c r="I110" s="34"/>
      <c r="J110" s="34"/>
      <c r="K110" s="34"/>
      <c r="L110" s="34"/>
      <c r="M110" s="119"/>
      <c r="N110" s="119"/>
      <c r="O110" s="119"/>
      <c r="P110" s="119"/>
      <c r="Q110" s="119"/>
      <c r="R110" s="134" t="s">
        <v>64</v>
      </c>
      <c r="S110" s="119">
        <f>(S106*10^3*U85*10^-10/(R45))*10^6</f>
        <v>6.036363636363636</v>
      </c>
      <c r="T110" s="118" t="s">
        <v>86</v>
      </c>
      <c r="U110" s="118"/>
      <c r="V110" s="118"/>
      <c r="W110" s="118"/>
      <c r="X110" s="118"/>
      <c r="Y110" s="118"/>
      <c r="Z110" s="118"/>
      <c r="AB110" s="4"/>
      <c r="AC110" s="107"/>
      <c r="AD110" s="107"/>
      <c r="AE110" s="107"/>
      <c r="AF110" s="107"/>
      <c r="AG110" s="107"/>
      <c r="AH110" s="118"/>
      <c r="AI110" s="118"/>
      <c r="AJ110" s="118"/>
      <c r="AK110" s="118"/>
      <c r="AL110" s="118"/>
      <c r="AM110" s="118"/>
      <c r="AN110" s="118"/>
      <c r="AO110" s="118"/>
      <c r="AP110" s="118"/>
      <c r="AQ110" s="118"/>
      <c r="AR110" s="118"/>
      <c r="AS110" s="118"/>
      <c r="AT110" s="118"/>
      <c r="AU110" s="118"/>
      <c r="AV110" s="118"/>
    </row>
    <row r="111" spans="1:48" ht="12.75">
      <c r="A111" s="34"/>
      <c r="B111" s="34"/>
      <c r="C111" s="34"/>
      <c r="D111" s="34"/>
      <c r="E111" s="35"/>
      <c r="F111" s="36"/>
      <c r="G111" s="34"/>
      <c r="H111" s="34"/>
      <c r="I111" s="34"/>
      <c r="J111" s="34"/>
      <c r="K111" s="34"/>
      <c r="L111" s="34"/>
      <c r="M111" s="119"/>
      <c r="N111" s="119"/>
      <c r="O111" s="119"/>
      <c r="P111" s="119"/>
      <c r="Q111" s="119"/>
      <c r="R111" s="134" t="s">
        <v>65</v>
      </c>
      <c r="S111" s="119">
        <f>(S106*10^3*U85*10^-10/(R44))*10^6</f>
        <v>6.64</v>
      </c>
      <c r="T111" s="118" t="s">
        <v>86</v>
      </c>
      <c r="U111" s="118"/>
      <c r="V111" s="118"/>
      <c r="W111" s="118"/>
      <c r="X111" s="118"/>
      <c r="Y111" s="118"/>
      <c r="Z111" s="118"/>
      <c r="AB111" s="4"/>
      <c r="AC111" s="107"/>
      <c r="AD111" s="107"/>
      <c r="AE111" s="107"/>
      <c r="AF111" s="107"/>
      <c r="AG111" s="107"/>
      <c r="AH111" s="118"/>
      <c r="AI111" s="118"/>
      <c r="AJ111" s="118"/>
      <c r="AK111" s="118"/>
      <c r="AL111" s="118"/>
      <c r="AM111" s="118"/>
      <c r="AN111" s="118"/>
      <c r="AO111" s="118"/>
      <c r="AP111" s="118"/>
      <c r="AQ111" s="118"/>
      <c r="AR111" s="118"/>
      <c r="AS111" s="118"/>
      <c r="AT111" s="118"/>
      <c r="AU111" s="118"/>
      <c r="AV111" s="118"/>
    </row>
    <row r="112" spans="1:48" ht="12.75">
      <c r="A112" s="34"/>
      <c r="B112" s="34"/>
      <c r="C112" s="34"/>
      <c r="D112" s="38"/>
      <c r="E112" s="35"/>
      <c r="F112" s="36"/>
      <c r="G112" s="34"/>
      <c r="H112" s="34"/>
      <c r="I112" s="34"/>
      <c r="J112" s="34"/>
      <c r="K112" s="34"/>
      <c r="L112" s="34"/>
      <c r="M112" s="119"/>
      <c r="N112" s="119"/>
      <c r="O112" s="119"/>
      <c r="P112" s="119"/>
      <c r="Q112" s="119"/>
      <c r="R112" s="134" t="s">
        <v>87</v>
      </c>
      <c r="S112" s="119">
        <f>(E21-S98)*S110*10^-6/(E23*10^-3*0.4)*10^6</f>
        <v>-193209.36639118465</v>
      </c>
      <c r="T112" s="118" t="s">
        <v>88</v>
      </c>
      <c r="U112" s="118"/>
      <c r="V112" s="118"/>
      <c r="W112" s="118"/>
      <c r="X112" s="118"/>
      <c r="Y112" s="118"/>
      <c r="Z112" s="118"/>
      <c r="AB112" s="4"/>
      <c r="AC112" s="107"/>
      <c r="AD112" s="107"/>
      <c r="AE112" s="107"/>
      <c r="AF112" s="107"/>
      <c r="AG112" s="107"/>
      <c r="AH112" s="118"/>
      <c r="AI112" s="118"/>
      <c r="AJ112" s="118"/>
      <c r="AK112" s="118"/>
      <c r="AL112" s="118"/>
      <c r="AM112" s="118"/>
      <c r="AN112" s="118"/>
      <c r="AO112" s="118"/>
      <c r="AP112" s="118"/>
      <c r="AQ112" s="118"/>
      <c r="AR112" s="118"/>
      <c r="AS112" s="118"/>
      <c r="AT112" s="118"/>
      <c r="AU112" s="118"/>
      <c r="AV112" s="118"/>
    </row>
    <row r="113" spans="13:48" ht="12.75">
      <c r="M113" s="118"/>
      <c r="N113" s="118"/>
      <c r="O113" s="118"/>
      <c r="P113" s="118"/>
      <c r="Q113" s="118"/>
      <c r="R113" s="120" t="s">
        <v>89</v>
      </c>
      <c r="S113" s="118">
        <f>((E19-S98)*S109/E52)*10^3</f>
        <v>-558.9225589225592</v>
      </c>
      <c r="T113" s="118" t="s">
        <v>10</v>
      </c>
      <c r="U113" s="118"/>
      <c r="V113" s="118"/>
      <c r="W113" s="118"/>
      <c r="X113" s="118"/>
      <c r="Y113" s="118"/>
      <c r="Z113" s="118"/>
      <c r="AB113" s="4"/>
      <c r="AC113" s="107"/>
      <c r="AD113" s="107"/>
      <c r="AE113" s="107"/>
      <c r="AF113" s="107"/>
      <c r="AG113" s="107"/>
      <c r="AH113" s="118"/>
      <c r="AI113" s="118"/>
      <c r="AJ113" s="118"/>
      <c r="AK113" s="118"/>
      <c r="AL113" s="118"/>
      <c r="AM113" s="118"/>
      <c r="AN113" s="118"/>
      <c r="AO113" s="118"/>
      <c r="AP113" s="118"/>
      <c r="AQ113" s="118"/>
      <c r="AR113" s="118"/>
      <c r="AS113" s="118"/>
      <c r="AT113" s="118"/>
      <c r="AU113" s="118"/>
      <c r="AV113" s="118"/>
    </row>
    <row r="114" spans="13:48" ht="12.75">
      <c r="M114" s="118"/>
      <c r="N114" s="118"/>
      <c r="O114" s="118"/>
      <c r="P114" s="118"/>
      <c r="Q114" s="118"/>
      <c r="R114" s="120" t="s">
        <v>90</v>
      </c>
      <c r="S114" s="118">
        <f>(((E20-S98)*S111/E52)*10^3)</f>
        <v>-432.3920051579628</v>
      </c>
      <c r="T114" s="118" t="s">
        <v>10</v>
      </c>
      <c r="U114" s="118"/>
      <c r="V114" s="118"/>
      <c r="W114" s="118"/>
      <c r="X114" s="118"/>
      <c r="Y114" s="118"/>
      <c r="Z114" s="118"/>
      <c r="AB114" s="4"/>
      <c r="AC114" s="107"/>
      <c r="AD114" s="107"/>
      <c r="AE114" s="107"/>
      <c r="AF114" s="107"/>
      <c r="AG114" s="107"/>
      <c r="AH114" s="118"/>
      <c r="AI114" s="118"/>
      <c r="AJ114" s="118"/>
      <c r="AK114" s="118"/>
      <c r="AL114" s="118"/>
      <c r="AM114" s="118"/>
      <c r="AN114" s="118"/>
      <c r="AO114" s="118"/>
      <c r="AP114" s="118"/>
      <c r="AQ114" s="118"/>
      <c r="AR114" s="118"/>
      <c r="AS114" s="118"/>
      <c r="AT114" s="118"/>
      <c r="AU114" s="118"/>
      <c r="AV114" s="118"/>
    </row>
    <row r="115" spans="13:48" ht="12.75">
      <c r="M115" s="118"/>
      <c r="N115" s="118"/>
      <c r="O115" s="118"/>
      <c r="P115" s="118"/>
      <c r="Q115" s="118"/>
      <c r="R115" s="120" t="s">
        <v>100</v>
      </c>
      <c r="S115" s="118">
        <f>(E21-S98)*S110*1000/E52</f>
        <v>-328.8670066232931</v>
      </c>
      <c r="T115" s="118" t="s">
        <v>10</v>
      </c>
      <c r="U115" s="118"/>
      <c r="V115" s="118"/>
      <c r="W115" s="118"/>
      <c r="X115" s="118"/>
      <c r="Y115" s="118"/>
      <c r="Z115" s="118"/>
      <c r="AB115" s="4"/>
      <c r="AC115" s="107"/>
      <c r="AD115" s="107"/>
      <c r="AE115" s="107"/>
      <c r="AF115" s="107"/>
      <c r="AG115" s="107"/>
      <c r="AH115" s="118"/>
      <c r="AI115" s="118"/>
      <c r="AJ115" s="118"/>
      <c r="AK115" s="118"/>
      <c r="AL115" s="118"/>
      <c r="AM115" s="118"/>
      <c r="AN115" s="118"/>
      <c r="AO115" s="118"/>
      <c r="AP115" s="118"/>
      <c r="AQ115" s="118"/>
      <c r="AR115" s="118"/>
      <c r="AS115" s="118"/>
      <c r="AT115" s="118"/>
      <c r="AU115" s="118"/>
      <c r="AV115" s="118"/>
    </row>
    <row r="116" spans="13:48" ht="12.75">
      <c r="M116" s="118"/>
      <c r="N116" s="118"/>
      <c r="O116" s="118"/>
      <c r="P116" s="118"/>
      <c r="Q116" s="118"/>
      <c r="R116" s="120" t="s">
        <v>95</v>
      </c>
      <c r="S116" s="118">
        <f>E23+(S115/2)</f>
        <v>-164.23350331164656</v>
      </c>
      <c r="T116" s="118" t="s">
        <v>94</v>
      </c>
      <c r="U116" s="118"/>
      <c r="V116" s="118"/>
      <c r="W116" s="118"/>
      <c r="X116" s="118"/>
      <c r="Y116" s="118"/>
      <c r="Z116" s="118"/>
      <c r="AB116" s="4"/>
      <c r="AC116" s="107"/>
      <c r="AD116" s="107"/>
      <c r="AE116" s="107"/>
      <c r="AF116" s="107"/>
      <c r="AG116" s="107"/>
      <c r="AH116" s="118"/>
      <c r="AI116" s="118"/>
      <c r="AJ116" s="118"/>
      <c r="AK116" s="118"/>
      <c r="AL116" s="118"/>
      <c r="AM116" s="118"/>
      <c r="AN116" s="118"/>
      <c r="AO116" s="118"/>
      <c r="AP116" s="118"/>
      <c r="AQ116" s="118"/>
      <c r="AR116" s="118"/>
      <c r="AS116" s="118"/>
      <c r="AT116" s="118"/>
      <c r="AU116" s="118"/>
      <c r="AV116" s="118"/>
    </row>
    <row r="117" spans="13:48" ht="12.75">
      <c r="M117" s="118"/>
      <c r="N117" s="118"/>
      <c r="O117" s="118"/>
      <c r="P117" s="118"/>
      <c r="Q117" s="118"/>
      <c r="R117" s="120" t="s">
        <v>45</v>
      </c>
      <c r="S117" s="118">
        <f>U91+S115</f>
        <v>2971.132993376707</v>
      </c>
      <c r="T117" s="118" t="s">
        <v>94</v>
      </c>
      <c r="U117" s="118"/>
      <c r="V117" s="118"/>
      <c r="W117" s="118"/>
      <c r="X117" s="118"/>
      <c r="Y117" s="118"/>
      <c r="Z117" s="118"/>
      <c r="AB117" s="4"/>
      <c r="AC117" s="107"/>
      <c r="AD117" s="107"/>
      <c r="AE117" s="107"/>
      <c r="AF117" s="107"/>
      <c r="AG117" s="107"/>
      <c r="AH117" s="118"/>
      <c r="AI117" s="118"/>
      <c r="AJ117" s="118"/>
      <c r="AK117" s="118"/>
      <c r="AL117" s="118"/>
      <c r="AM117" s="118"/>
      <c r="AN117" s="118"/>
      <c r="AO117" s="118"/>
      <c r="AP117" s="118"/>
      <c r="AQ117" s="118"/>
      <c r="AR117" s="118"/>
      <c r="AS117" s="118"/>
      <c r="AT117" s="118"/>
      <c r="AU117" s="118"/>
      <c r="AV117" s="118"/>
    </row>
    <row r="118" spans="13:48" ht="12.75">
      <c r="M118" s="118"/>
      <c r="N118" s="118"/>
      <c r="O118" s="118"/>
      <c r="P118" s="118"/>
      <c r="Q118" s="118"/>
      <c r="R118" s="120"/>
      <c r="S118" s="118"/>
      <c r="T118" s="118"/>
      <c r="U118" s="118"/>
      <c r="V118" s="118"/>
      <c r="W118" s="118"/>
      <c r="X118" s="118"/>
      <c r="Y118" s="118"/>
      <c r="Z118" s="118"/>
      <c r="AB118" s="4"/>
      <c r="AC118" s="107"/>
      <c r="AD118" s="107"/>
      <c r="AE118" s="107"/>
      <c r="AF118" s="107"/>
      <c r="AG118" s="107"/>
      <c r="AH118" s="118"/>
      <c r="AI118" s="118"/>
      <c r="AJ118" s="118"/>
      <c r="AK118" s="118"/>
      <c r="AL118" s="118"/>
      <c r="AM118" s="118"/>
      <c r="AN118" s="118"/>
      <c r="AO118" s="118"/>
      <c r="AP118" s="118"/>
      <c r="AQ118" s="118"/>
      <c r="AR118" s="118"/>
      <c r="AS118" s="118"/>
      <c r="AT118" s="118"/>
      <c r="AU118" s="118"/>
      <c r="AV118" s="118"/>
    </row>
    <row r="119" spans="4:48" ht="12.75" customHeight="1">
      <c r="D119" s="11"/>
      <c r="E119" s="12"/>
      <c r="M119" s="118"/>
      <c r="N119" s="118"/>
      <c r="O119" s="118"/>
      <c r="P119" s="118"/>
      <c r="Q119" s="118"/>
      <c r="R119" s="120"/>
      <c r="S119" s="118"/>
      <c r="T119" s="118"/>
      <c r="U119" s="118"/>
      <c r="V119" s="118"/>
      <c r="W119" s="118"/>
      <c r="X119" s="118"/>
      <c r="Y119" s="118"/>
      <c r="Z119" s="118"/>
      <c r="AB119" s="4"/>
      <c r="AC119" s="107"/>
      <c r="AD119" s="107"/>
      <c r="AE119" s="107"/>
      <c r="AF119" s="107"/>
      <c r="AG119" s="107"/>
      <c r="AH119" s="118"/>
      <c r="AI119" s="118"/>
      <c r="AJ119" s="118"/>
      <c r="AK119" s="118"/>
      <c r="AL119" s="118"/>
      <c r="AM119" s="118"/>
      <c r="AN119" s="118"/>
      <c r="AO119" s="118"/>
      <c r="AP119" s="118"/>
      <c r="AQ119" s="118"/>
      <c r="AR119" s="118"/>
      <c r="AS119" s="118"/>
      <c r="AT119" s="118"/>
      <c r="AU119" s="118"/>
      <c r="AV119" s="118"/>
    </row>
    <row r="120" spans="13:48" ht="12.75">
      <c r="M120" s="118"/>
      <c r="N120" s="118"/>
      <c r="O120" s="118"/>
      <c r="P120" s="118"/>
      <c r="Q120" s="118"/>
      <c r="R120" s="120"/>
      <c r="S120" s="118"/>
      <c r="T120" s="118"/>
      <c r="U120" s="118"/>
      <c r="V120" s="118"/>
      <c r="W120" s="118"/>
      <c r="X120" s="118"/>
      <c r="Y120" s="118"/>
      <c r="Z120" s="118"/>
      <c r="AB120" s="4"/>
      <c r="AC120" s="107"/>
      <c r="AD120" s="107"/>
      <c r="AE120" s="107"/>
      <c r="AF120" s="107"/>
      <c r="AG120" s="107"/>
      <c r="AH120" s="118"/>
      <c r="AI120" s="118"/>
      <c r="AJ120" s="118"/>
      <c r="AK120" s="118"/>
      <c r="AL120" s="118"/>
      <c r="AM120" s="118"/>
      <c r="AN120" s="118"/>
      <c r="AO120" s="118"/>
      <c r="AP120" s="118"/>
      <c r="AQ120" s="118"/>
      <c r="AR120" s="118"/>
      <c r="AS120" s="118"/>
      <c r="AT120" s="118"/>
      <c r="AU120" s="118"/>
      <c r="AV120" s="118"/>
    </row>
    <row r="121" spans="13:48" ht="12.75" customHeight="1">
      <c r="M121" s="118"/>
      <c r="N121" s="118"/>
      <c r="O121" s="118"/>
      <c r="P121" s="118"/>
      <c r="Q121" s="118"/>
      <c r="R121" s="118"/>
      <c r="S121" s="118"/>
      <c r="T121" s="118"/>
      <c r="U121" s="118"/>
      <c r="V121" s="118"/>
      <c r="W121" s="118"/>
      <c r="X121" s="118"/>
      <c r="Y121" s="118"/>
      <c r="Z121" s="118"/>
      <c r="AB121" s="4"/>
      <c r="AC121" s="107"/>
      <c r="AD121" s="107"/>
      <c r="AE121" s="107"/>
      <c r="AF121" s="107"/>
      <c r="AG121" s="107"/>
      <c r="AH121" s="118"/>
      <c r="AI121" s="118"/>
      <c r="AJ121" s="118"/>
      <c r="AK121" s="118"/>
      <c r="AL121" s="118"/>
      <c r="AM121" s="118"/>
      <c r="AN121" s="118"/>
      <c r="AO121" s="118"/>
      <c r="AP121" s="118"/>
      <c r="AQ121" s="118"/>
      <c r="AR121" s="118"/>
      <c r="AS121" s="118"/>
      <c r="AT121" s="118"/>
      <c r="AU121" s="118"/>
      <c r="AV121" s="118"/>
    </row>
    <row r="122" spans="8:48" ht="12.75">
      <c r="H122" s="118"/>
      <c r="I122" s="118"/>
      <c r="J122" s="118"/>
      <c r="K122" s="118"/>
      <c r="L122" s="118"/>
      <c r="M122" s="118"/>
      <c r="N122" s="118"/>
      <c r="O122" s="120"/>
      <c r="P122" s="118"/>
      <c r="Q122" s="118"/>
      <c r="R122" s="120" t="s">
        <v>96</v>
      </c>
      <c r="S122" s="118">
        <f>U89-(S113/2)</f>
        <v>2079.4612794612794</v>
      </c>
      <c r="T122" s="118"/>
      <c r="U122" s="118"/>
      <c r="V122" s="118"/>
      <c r="W122" s="118"/>
      <c r="X122" s="118"/>
      <c r="Y122" s="118"/>
      <c r="Z122" s="118"/>
      <c r="AA122" s="118"/>
      <c r="AB122" s="4"/>
      <c r="AC122" s="107"/>
      <c r="AD122" s="107"/>
      <c r="AE122" s="107"/>
      <c r="AF122" s="107"/>
      <c r="AG122" s="107"/>
      <c r="AH122" s="118"/>
      <c r="AI122" s="118"/>
      <c r="AJ122" s="118"/>
      <c r="AK122" s="118"/>
      <c r="AL122" s="118"/>
      <c r="AM122" s="118"/>
      <c r="AN122" s="118"/>
      <c r="AO122" s="118"/>
      <c r="AP122" s="118"/>
      <c r="AQ122" s="118"/>
      <c r="AR122" s="118"/>
      <c r="AS122" s="118"/>
      <c r="AT122" s="118"/>
      <c r="AU122" s="118"/>
      <c r="AV122" s="118"/>
    </row>
    <row r="123" spans="8:48" ht="12.75">
      <c r="H123" s="118"/>
      <c r="I123" s="118"/>
      <c r="J123" s="118"/>
      <c r="K123" s="118"/>
      <c r="L123" s="118"/>
      <c r="M123" s="118"/>
      <c r="N123" s="118"/>
      <c r="O123" s="120"/>
      <c r="P123" s="118"/>
      <c r="Q123" s="118"/>
      <c r="R123" s="120" t="s">
        <v>97</v>
      </c>
      <c r="S123" s="118">
        <f>U90-(S114/2)</f>
        <v>2716.1960025789813</v>
      </c>
      <c r="T123" s="118"/>
      <c r="U123" s="118"/>
      <c r="V123" s="118"/>
      <c r="W123" s="118"/>
      <c r="X123" s="118"/>
      <c r="Y123" s="118"/>
      <c r="Z123" s="118"/>
      <c r="AA123" s="118"/>
      <c r="AB123" s="4"/>
      <c r="AC123" s="107"/>
      <c r="AD123" s="107"/>
      <c r="AE123" s="107"/>
      <c r="AF123" s="107"/>
      <c r="AG123" s="107"/>
      <c r="AH123" s="118"/>
      <c r="AI123" s="118"/>
      <c r="AJ123" s="118"/>
      <c r="AK123" s="118"/>
      <c r="AL123" s="118"/>
      <c r="AM123" s="118"/>
      <c r="AN123" s="118"/>
      <c r="AO123" s="118"/>
      <c r="AP123" s="118"/>
      <c r="AQ123" s="118"/>
      <c r="AR123" s="118"/>
      <c r="AS123" s="118"/>
      <c r="AT123" s="118"/>
      <c r="AU123" s="118"/>
      <c r="AV123" s="118"/>
    </row>
    <row r="124" spans="8:48" ht="12.75">
      <c r="H124" s="118"/>
      <c r="I124" s="118"/>
      <c r="J124" s="118"/>
      <c r="K124" s="118"/>
      <c r="L124" s="118"/>
      <c r="M124" s="118"/>
      <c r="N124" s="118"/>
      <c r="O124" s="120"/>
      <c r="P124" s="118"/>
      <c r="Q124" s="118"/>
      <c r="R124" s="120" t="s">
        <v>98</v>
      </c>
      <c r="S124" s="118">
        <f>U91-(S115/2)</f>
        <v>3464.4335033116467</v>
      </c>
      <c r="T124" s="118"/>
      <c r="U124" s="118"/>
      <c r="V124" s="118"/>
      <c r="W124" s="118"/>
      <c r="X124" s="118"/>
      <c r="Y124" s="118"/>
      <c r="Z124" s="118"/>
      <c r="AA124" s="118"/>
      <c r="AB124" s="4"/>
      <c r="AC124" s="107"/>
      <c r="AD124" s="107"/>
      <c r="AE124" s="107"/>
      <c r="AF124" s="107"/>
      <c r="AG124" s="107"/>
      <c r="AH124" s="118"/>
      <c r="AI124" s="118"/>
      <c r="AJ124" s="118"/>
      <c r="AK124" s="118"/>
      <c r="AL124" s="118"/>
      <c r="AM124" s="118"/>
      <c r="AN124" s="118"/>
      <c r="AO124" s="118"/>
      <c r="AP124" s="118"/>
      <c r="AQ124" s="118"/>
      <c r="AR124" s="118"/>
      <c r="AS124" s="118"/>
      <c r="AT124" s="118"/>
      <c r="AU124" s="118"/>
      <c r="AV124" s="118"/>
    </row>
    <row r="125" spans="8:48" ht="12.75">
      <c r="H125" s="118"/>
      <c r="I125" s="118"/>
      <c r="J125" s="118"/>
      <c r="K125" s="118"/>
      <c r="L125" s="118"/>
      <c r="M125" s="118"/>
      <c r="N125" s="118"/>
      <c r="O125" s="118"/>
      <c r="P125" s="118"/>
      <c r="Q125" s="118"/>
      <c r="R125" s="120"/>
      <c r="S125" s="118"/>
      <c r="T125" s="118"/>
      <c r="U125" s="118"/>
      <c r="V125" s="118"/>
      <c r="W125" s="118"/>
      <c r="X125" s="118"/>
      <c r="Y125" s="118"/>
      <c r="Z125" s="118"/>
      <c r="AA125" s="118"/>
      <c r="AB125" s="4"/>
      <c r="AC125" s="107"/>
      <c r="AD125" s="107"/>
      <c r="AE125" s="107"/>
      <c r="AF125" s="107"/>
      <c r="AG125" s="107"/>
      <c r="AH125" s="118"/>
      <c r="AI125" s="118"/>
      <c r="AJ125" s="118"/>
      <c r="AK125" s="118"/>
      <c r="AL125" s="118"/>
      <c r="AM125" s="118"/>
      <c r="AN125" s="118"/>
      <c r="AO125" s="118"/>
      <c r="AP125" s="118"/>
      <c r="AQ125" s="118"/>
      <c r="AR125" s="118"/>
      <c r="AS125" s="118"/>
      <c r="AT125" s="118"/>
      <c r="AU125" s="118"/>
      <c r="AV125" s="118"/>
    </row>
    <row r="126" spans="8:48" ht="12.75">
      <c r="H126" s="118"/>
      <c r="I126" s="118"/>
      <c r="J126" s="118"/>
      <c r="K126" s="118"/>
      <c r="L126" s="118"/>
      <c r="M126" s="118"/>
      <c r="N126" s="118" t="s">
        <v>99</v>
      </c>
      <c r="O126" s="118"/>
      <c r="P126" s="118"/>
      <c r="Q126" s="118"/>
      <c r="R126" s="120"/>
      <c r="S126" s="118"/>
      <c r="T126" s="118"/>
      <c r="U126" s="118"/>
      <c r="V126" s="118"/>
      <c r="W126" s="118"/>
      <c r="X126" s="118"/>
      <c r="Y126" s="118"/>
      <c r="Z126" s="118"/>
      <c r="AA126" s="118"/>
      <c r="AB126" s="4"/>
      <c r="AC126" s="107"/>
      <c r="AD126" s="107"/>
      <c r="AE126" s="107"/>
      <c r="AF126" s="107"/>
      <c r="AG126" s="107"/>
      <c r="AH126" s="118"/>
      <c r="AI126" s="118"/>
      <c r="AJ126" s="118"/>
      <c r="AK126" s="118"/>
      <c r="AL126" s="118"/>
      <c r="AM126" s="118"/>
      <c r="AN126" s="118"/>
      <c r="AO126" s="118"/>
      <c r="AP126" s="118"/>
      <c r="AQ126" s="118"/>
      <c r="AR126" s="118"/>
      <c r="AS126" s="118"/>
      <c r="AT126" s="118"/>
      <c r="AU126" s="118"/>
      <c r="AV126" s="118"/>
    </row>
    <row r="127" spans="8:48" ht="12.75">
      <c r="H127" s="118"/>
      <c r="I127" s="118"/>
      <c r="J127" s="118"/>
      <c r="K127" s="118"/>
      <c r="L127" s="118"/>
      <c r="M127" s="118"/>
      <c r="N127" s="118"/>
      <c r="O127" s="118"/>
      <c r="P127" s="118"/>
      <c r="Q127" s="118"/>
      <c r="R127" s="120"/>
      <c r="S127" s="118"/>
      <c r="T127" s="118"/>
      <c r="U127" s="118"/>
      <c r="V127" s="118"/>
      <c r="W127" s="118"/>
      <c r="X127" s="118"/>
      <c r="Y127" s="118"/>
      <c r="Z127" s="118"/>
      <c r="AA127" s="118"/>
      <c r="AB127" s="4"/>
      <c r="AC127" s="107"/>
      <c r="AD127" s="107"/>
      <c r="AE127" s="107"/>
      <c r="AF127" s="107"/>
      <c r="AG127" s="107"/>
      <c r="AH127" s="118"/>
      <c r="AI127" s="118"/>
      <c r="AJ127" s="118"/>
      <c r="AK127" s="118"/>
      <c r="AL127" s="118"/>
      <c r="AM127" s="118"/>
      <c r="AN127" s="118"/>
      <c r="AO127" s="118"/>
      <c r="AP127" s="118"/>
      <c r="AQ127" s="118"/>
      <c r="AR127" s="118"/>
      <c r="AS127" s="118"/>
      <c r="AT127" s="118"/>
      <c r="AU127" s="118"/>
      <c r="AV127" s="118"/>
    </row>
    <row r="128" spans="8:48" ht="12.75">
      <c r="H128" s="118"/>
      <c r="I128" s="118" t="s">
        <v>106</v>
      </c>
      <c r="J128" s="118"/>
      <c r="K128" s="118"/>
      <c r="L128" s="118"/>
      <c r="M128" s="118"/>
      <c r="N128" s="118"/>
      <c r="O128" s="118"/>
      <c r="P128" s="118"/>
      <c r="Q128" s="118" t="s">
        <v>165</v>
      </c>
      <c r="R128" s="118"/>
      <c r="S128" s="123">
        <f>E59</f>
        <v>15</v>
      </c>
      <c r="T128" s="118" t="s">
        <v>47</v>
      </c>
      <c r="U128" s="118"/>
      <c r="V128" s="118"/>
      <c r="W128" s="118"/>
      <c r="X128" s="118"/>
      <c r="Y128" s="118"/>
      <c r="Z128" s="118"/>
      <c r="AA128" s="118"/>
      <c r="AB128" s="4"/>
      <c r="AC128" s="107"/>
      <c r="AD128" s="107"/>
      <c r="AE128" s="107"/>
      <c r="AF128" s="107"/>
      <c r="AG128" s="107"/>
      <c r="AH128" s="118"/>
      <c r="AI128" s="118"/>
      <c r="AJ128" s="118"/>
      <c r="AK128" s="118"/>
      <c r="AL128" s="118"/>
      <c r="AM128" s="118"/>
      <c r="AN128" s="118"/>
      <c r="AO128" s="118"/>
      <c r="AP128" s="118"/>
      <c r="AQ128" s="118"/>
      <c r="AR128" s="118"/>
      <c r="AS128" s="118"/>
      <c r="AT128" s="118"/>
      <c r="AU128" s="118"/>
      <c r="AV128" s="118"/>
    </row>
    <row r="129" spans="8:48" ht="12.75">
      <c r="H129" s="118"/>
      <c r="I129" s="118"/>
      <c r="J129" s="118"/>
      <c r="K129" s="118"/>
      <c r="L129" s="118"/>
      <c r="M129" s="118"/>
      <c r="N129" s="118"/>
      <c r="O129" s="118"/>
      <c r="P129" s="118"/>
      <c r="Q129" s="118"/>
      <c r="R129" s="120" t="s">
        <v>48</v>
      </c>
      <c r="S129" s="118">
        <f>S128*U92/(U84*1000)</f>
        <v>0.07875</v>
      </c>
      <c r="T129" s="118" t="s">
        <v>166</v>
      </c>
      <c r="U129" s="118"/>
      <c r="V129" s="118"/>
      <c r="W129" s="118"/>
      <c r="X129" s="118"/>
      <c r="Y129" s="118"/>
      <c r="Z129" s="118"/>
      <c r="AA129" s="118"/>
      <c r="AB129" s="4"/>
      <c r="AC129" s="107"/>
      <c r="AD129" s="107"/>
      <c r="AE129" s="107"/>
      <c r="AF129" s="107"/>
      <c r="AG129" s="107"/>
      <c r="AH129" s="118"/>
      <c r="AI129" s="118"/>
      <c r="AJ129" s="118"/>
      <c r="AK129" s="118"/>
      <c r="AL129" s="118"/>
      <c r="AM129" s="118"/>
      <c r="AN129" s="118"/>
      <c r="AO129" s="118"/>
      <c r="AP129" s="118"/>
      <c r="AQ129" s="118"/>
      <c r="AR129" s="118"/>
      <c r="AS129" s="118"/>
      <c r="AT129" s="118"/>
      <c r="AU129" s="118"/>
      <c r="AV129" s="118"/>
    </row>
    <row r="130" spans="8:48" ht="12.75">
      <c r="H130" s="118"/>
      <c r="I130" s="118" t="s">
        <v>108</v>
      </c>
      <c r="J130" s="118"/>
      <c r="K130" s="118"/>
      <c r="L130" s="118"/>
      <c r="M130" s="118"/>
      <c r="N130" s="118"/>
      <c r="O130" s="118"/>
      <c r="P130" s="118"/>
      <c r="Q130" s="118"/>
      <c r="R130" s="120" t="s">
        <v>51</v>
      </c>
      <c r="S130" s="118">
        <f>W130*U84*1000/U92</f>
        <v>15.619047619047619</v>
      </c>
      <c r="T130" s="118" t="s">
        <v>47</v>
      </c>
      <c r="U130" s="118" t="s">
        <v>167</v>
      </c>
      <c r="V130" s="118"/>
      <c r="W130" s="135">
        <f>E61</f>
        <v>0.082</v>
      </c>
      <c r="X130" s="118" t="s">
        <v>166</v>
      </c>
      <c r="Y130" s="118"/>
      <c r="Z130" s="118"/>
      <c r="AA130" s="118"/>
      <c r="AB130" s="4"/>
      <c r="AC130" s="107"/>
      <c r="AD130" s="107"/>
      <c r="AE130" s="107"/>
      <c r="AF130" s="107"/>
      <c r="AG130" s="107"/>
      <c r="AH130" s="118"/>
      <c r="AI130" s="118"/>
      <c r="AJ130" s="118"/>
      <c r="AK130" s="118"/>
      <c r="AL130" s="118"/>
      <c r="AM130" s="118"/>
      <c r="AN130" s="118"/>
      <c r="AO130" s="118"/>
      <c r="AP130" s="118"/>
      <c r="AQ130" s="118"/>
      <c r="AR130" s="118"/>
      <c r="AS130" s="118"/>
      <c r="AT130" s="118"/>
      <c r="AU130" s="118"/>
      <c r="AV130" s="118"/>
    </row>
    <row r="131" spans="8:48" ht="12.75">
      <c r="H131" s="118"/>
      <c r="I131" s="118"/>
      <c r="J131" s="118"/>
      <c r="K131" s="118"/>
      <c r="L131" s="118"/>
      <c r="M131" s="118"/>
      <c r="N131" s="118"/>
      <c r="O131" s="118"/>
      <c r="P131" s="118"/>
      <c r="Q131" s="118"/>
      <c r="R131" s="118"/>
      <c r="S131" s="118"/>
      <c r="T131" s="118"/>
      <c r="U131" s="118"/>
      <c r="V131" s="118"/>
      <c r="W131" s="118"/>
      <c r="X131" s="118"/>
      <c r="Y131" s="118"/>
      <c r="Z131" s="118"/>
      <c r="AA131" s="118"/>
      <c r="AB131" s="4"/>
      <c r="AC131" s="107"/>
      <c r="AD131" s="107"/>
      <c r="AE131" s="107"/>
      <c r="AF131" s="107"/>
      <c r="AG131" s="107"/>
      <c r="AH131" s="118"/>
      <c r="AI131" s="118"/>
      <c r="AJ131" s="118"/>
      <c r="AK131" s="118"/>
      <c r="AL131" s="118"/>
      <c r="AM131" s="118"/>
      <c r="AN131" s="118"/>
      <c r="AO131" s="118"/>
      <c r="AP131" s="118"/>
      <c r="AQ131" s="118"/>
      <c r="AR131" s="118"/>
      <c r="AS131" s="118"/>
      <c r="AT131" s="118"/>
      <c r="AU131" s="118"/>
      <c r="AV131" s="118"/>
    </row>
    <row r="132" spans="8:48" ht="12.75">
      <c r="H132" s="118"/>
      <c r="I132" s="118" t="s">
        <v>107</v>
      </c>
      <c r="J132" s="118">
        <f>E49/(2*E77)</f>
        <v>0.012296296296296296</v>
      </c>
      <c r="K132" s="118" t="s">
        <v>109</v>
      </c>
      <c r="L132" s="118"/>
      <c r="M132" s="118"/>
      <c r="N132" s="118"/>
      <c r="O132" s="118"/>
      <c r="P132" s="118"/>
      <c r="Q132" s="118"/>
      <c r="R132" s="118"/>
      <c r="S132" s="127" t="s">
        <v>11</v>
      </c>
      <c r="T132" s="118"/>
      <c r="U132" s="118"/>
      <c r="V132" s="118"/>
      <c r="W132" s="118"/>
      <c r="X132" s="118"/>
      <c r="Y132" s="118"/>
      <c r="Z132" s="118"/>
      <c r="AA132" s="118"/>
      <c r="AB132" s="4"/>
      <c r="AC132" s="107"/>
      <c r="AD132" s="107"/>
      <c r="AE132" s="107"/>
      <c r="AF132" s="107"/>
      <c r="AG132" s="107"/>
      <c r="AH132" s="118"/>
      <c r="AI132" s="118"/>
      <c r="AJ132" s="118"/>
      <c r="AK132" s="118"/>
      <c r="AL132" s="118"/>
      <c r="AM132" s="118"/>
      <c r="AN132" s="118"/>
      <c r="AO132" s="118"/>
      <c r="AP132" s="118"/>
      <c r="AQ132" s="118"/>
      <c r="AR132" s="118"/>
      <c r="AS132" s="118"/>
      <c r="AT132" s="118"/>
      <c r="AU132" s="118"/>
      <c r="AV132" s="118"/>
    </row>
    <row r="133" spans="8:48" ht="12.75">
      <c r="H133" s="118"/>
      <c r="I133" s="118"/>
      <c r="J133" s="118"/>
      <c r="K133" s="118"/>
      <c r="L133" s="118"/>
      <c r="M133" s="118"/>
      <c r="N133" s="118"/>
      <c r="O133" s="118"/>
      <c r="P133" s="118"/>
      <c r="Q133" s="118"/>
      <c r="R133" s="118"/>
      <c r="S133" s="127" t="s">
        <v>12</v>
      </c>
      <c r="T133" s="118"/>
      <c r="U133" s="118"/>
      <c r="V133" s="118"/>
      <c r="W133" s="118"/>
      <c r="X133" s="118"/>
      <c r="Y133" s="118"/>
      <c r="Z133" s="118"/>
      <c r="AA133" s="118"/>
      <c r="AB133" s="4"/>
      <c r="AC133" s="107"/>
      <c r="AD133" s="107"/>
      <c r="AE133" s="107"/>
      <c r="AF133" s="107"/>
      <c r="AG133" s="107"/>
      <c r="AH133" s="118"/>
      <c r="AI133" s="118"/>
      <c r="AJ133" s="118"/>
      <c r="AK133" s="118"/>
      <c r="AL133" s="118"/>
      <c r="AM133" s="118"/>
      <c r="AN133" s="118"/>
      <c r="AO133" s="118"/>
      <c r="AP133" s="118"/>
      <c r="AQ133" s="118"/>
      <c r="AR133" s="118"/>
      <c r="AS133" s="118"/>
      <c r="AT133" s="118"/>
      <c r="AU133" s="118"/>
      <c r="AV133" s="118"/>
    </row>
    <row r="134" spans="8:48" ht="12.75">
      <c r="H134" s="118"/>
      <c r="I134" s="118"/>
      <c r="J134" s="118"/>
      <c r="K134" s="118"/>
      <c r="L134" s="118"/>
      <c r="M134" s="118"/>
      <c r="N134" s="118"/>
      <c r="O134" s="118"/>
      <c r="P134" s="118"/>
      <c r="Q134" s="118"/>
      <c r="R134" s="118"/>
      <c r="S134" s="127" t="s">
        <v>13</v>
      </c>
      <c r="T134" s="118"/>
      <c r="U134" s="118"/>
      <c r="V134" s="118"/>
      <c r="W134" s="118"/>
      <c r="X134" s="118"/>
      <c r="Y134" s="118"/>
      <c r="Z134" s="118"/>
      <c r="AA134" s="118"/>
      <c r="AB134" s="4"/>
      <c r="AC134" s="107"/>
      <c r="AD134" s="107"/>
      <c r="AE134" s="107"/>
      <c r="AF134" s="107"/>
      <c r="AG134" s="107"/>
      <c r="AH134" s="118"/>
      <c r="AI134" s="118"/>
      <c r="AJ134" s="118"/>
      <c r="AK134" s="118"/>
      <c r="AL134" s="118"/>
      <c r="AM134" s="118"/>
      <c r="AN134" s="118"/>
      <c r="AO134" s="118"/>
      <c r="AP134" s="118"/>
      <c r="AQ134" s="118"/>
      <c r="AR134" s="118"/>
      <c r="AS134" s="118"/>
      <c r="AT134" s="118"/>
      <c r="AU134" s="118"/>
      <c r="AV134" s="118"/>
    </row>
    <row r="135" spans="8:48" ht="12.75">
      <c r="H135" s="118"/>
      <c r="I135" s="118"/>
      <c r="J135" s="118"/>
      <c r="K135" s="118"/>
      <c r="L135" s="118"/>
      <c r="M135" s="118"/>
      <c r="N135" s="118"/>
      <c r="O135" s="118"/>
      <c r="P135" s="118"/>
      <c r="Q135" s="118"/>
      <c r="R135" s="120" t="s">
        <v>15</v>
      </c>
      <c r="S135" s="127">
        <f>25*S98/U84</f>
        <v>100.75757575757578</v>
      </c>
      <c r="T135" s="118"/>
      <c r="U135" s="118"/>
      <c r="V135" s="118"/>
      <c r="W135" s="118"/>
      <c r="X135" s="118"/>
      <c r="Y135" s="118"/>
      <c r="Z135" s="118"/>
      <c r="AA135" s="118"/>
      <c r="AB135" s="4"/>
      <c r="AC135" s="107"/>
      <c r="AD135" s="107"/>
      <c r="AE135" s="107"/>
      <c r="AF135" s="107"/>
      <c r="AG135" s="107"/>
      <c r="AH135" s="118"/>
      <c r="AI135" s="118"/>
      <c r="AJ135" s="118"/>
      <c r="AK135" s="118"/>
      <c r="AL135" s="118"/>
      <c r="AM135" s="118"/>
      <c r="AN135" s="118"/>
      <c r="AO135" s="118"/>
      <c r="AP135" s="118"/>
      <c r="AQ135" s="118"/>
      <c r="AR135" s="118"/>
      <c r="AS135" s="118"/>
      <c r="AT135" s="118"/>
      <c r="AU135" s="118"/>
      <c r="AV135" s="118"/>
    </row>
    <row r="136" spans="8:48" ht="12.75">
      <c r="H136" s="118"/>
      <c r="I136" s="118"/>
      <c r="J136" s="118"/>
      <c r="K136" s="118"/>
      <c r="L136" s="118"/>
      <c r="M136" s="118"/>
      <c r="N136" s="118"/>
      <c r="O136" s="118"/>
      <c r="P136" s="118"/>
      <c r="Q136" s="118"/>
      <c r="R136" s="120" t="s">
        <v>14</v>
      </c>
      <c r="S136" s="118">
        <f>S135/S113</f>
        <v>-0.18027108433734934</v>
      </c>
      <c r="T136" s="118"/>
      <c r="U136" s="118"/>
      <c r="V136" s="118"/>
      <c r="W136" s="118"/>
      <c r="X136" s="118"/>
      <c r="Y136" s="118"/>
      <c r="Z136" s="118"/>
      <c r="AA136" s="118"/>
      <c r="AB136" s="4"/>
      <c r="AC136" s="107"/>
      <c r="AD136" s="107"/>
      <c r="AE136" s="107"/>
      <c r="AF136" s="107"/>
      <c r="AG136" s="107"/>
      <c r="AH136" s="118"/>
      <c r="AI136" s="118"/>
      <c r="AJ136" s="118"/>
      <c r="AK136" s="118"/>
      <c r="AL136" s="118"/>
      <c r="AM136" s="118"/>
      <c r="AN136" s="118"/>
      <c r="AO136" s="118"/>
      <c r="AP136" s="118"/>
      <c r="AQ136" s="118"/>
      <c r="AR136" s="118"/>
      <c r="AS136" s="118"/>
      <c r="AT136" s="118"/>
      <c r="AU136" s="118"/>
      <c r="AV136" s="118"/>
    </row>
    <row r="137" spans="8:48" ht="12.75">
      <c r="H137" s="118"/>
      <c r="I137" s="118"/>
      <c r="J137" s="118"/>
      <c r="K137" s="118"/>
      <c r="L137" s="118"/>
      <c r="M137" s="118"/>
      <c r="N137" s="118"/>
      <c r="O137" s="118"/>
      <c r="P137" s="118"/>
      <c r="Q137" s="118"/>
      <c r="R137" s="120" t="s">
        <v>24</v>
      </c>
      <c r="S137" s="118">
        <f>25/S113</f>
        <v>-0.044728915662650574</v>
      </c>
      <c r="T137" s="118"/>
      <c r="U137" s="118"/>
      <c r="V137" s="118"/>
      <c r="W137" s="118"/>
      <c r="X137" s="118"/>
      <c r="Y137" s="118"/>
      <c r="Z137" s="118"/>
      <c r="AA137" s="118"/>
      <c r="AB137" s="4"/>
      <c r="AC137" s="107"/>
      <c r="AD137" s="107"/>
      <c r="AE137" s="107"/>
      <c r="AF137" s="107"/>
      <c r="AG137" s="107"/>
      <c r="AH137" s="118"/>
      <c r="AI137" s="118"/>
      <c r="AJ137" s="118"/>
      <c r="AK137" s="118"/>
      <c r="AL137" s="118"/>
      <c r="AM137" s="118"/>
      <c r="AN137" s="118"/>
      <c r="AO137" s="118"/>
      <c r="AP137" s="118"/>
      <c r="AQ137" s="118"/>
      <c r="AR137" s="118"/>
      <c r="AS137" s="118"/>
      <c r="AT137" s="118"/>
      <c r="AU137" s="118"/>
      <c r="AV137" s="118"/>
    </row>
    <row r="138" spans="8:48" ht="12.75">
      <c r="H138" s="118"/>
      <c r="I138" s="118"/>
      <c r="J138" s="118"/>
      <c r="K138" s="118"/>
      <c r="L138" s="118"/>
      <c r="M138" s="118"/>
      <c r="N138" s="118"/>
      <c r="O138" s="118"/>
      <c r="P138" s="118"/>
      <c r="Q138" s="118"/>
      <c r="R138" s="120" t="s">
        <v>25</v>
      </c>
      <c r="S138" s="118">
        <f>IF(E65="Type 1",S136,S137)</f>
        <v>-0.044728915662650574</v>
      </c>
      <c r="T138" s="118"/>
      <c r="U138" s="118"/>
      <c r="V138" s="118"/>
      <c r="W138" s="118"/>
      <c r="X138" s="118"/>
      <c r="Y138" s="118"/>
      <c r="Z138" s="118"/>
      <c r="AA138" s="118"/>
      <c r="AB138" s="4"/>
      <c r="AC138" s="107"/>
      <c r="AD138" s="107"/>
      <c r="AE138" s="107"/>
      <c r="AF138" s="107"/>
      <c r="AG138" s="107"/>
      <c r="AH138" s="118"/>
      <c r="AI138" s="118"/>
      <c r="AJ138" s="118"/>
      <c r="AK138" s="118"/>
      <c r="AL138" s="118"/>
      <c r="AM138" s="118"/>
      <c r="AN138" s="118"/>
      <c r="AO138" s="118"/>
      <c r="AP138" s="118"/>
      <c r="AQ138" s="118"/>
      <c r="AR138" s="118"/>
      <c r="AS138" s="118"/>
      <c r="AT138" s="118"/>
      <c r="AU138" s="118"/>
      <c r="AV138" s="118"/>
    </row>
    <row r="139" spans="8:48" ht="12.75">
      <c r="H139" s="118"/>
      <c r="I139" s="118"/>
      <c r="J139" s="118"/>
      <c r="K139" s="118"/>
      <c r="L139" s="118"/>
      <c r="M139" s="118"/>
      <c r="N139" s="118"/>
      <c r="O139" s="118"/>
      <c r="P139" s="118"/>
      <c r="Q139" s="118"/>
      <c r="R139" s="120" t="s">
        <v>17</v>
      </c>
      <c r="S139" s="118">
        <f>5*(E35+E37)*1000/E42*(E35*E37)</f>
        <v>7315</v>
      </c>
      <c r="T139" s="118"/>
      <c r="U139" s="118"/>
      <c r="V139" s="118"/>
      <c r="W139" s="118"/>
      <c r="X139" s="118"/>
      <c r="Y139" s="118"/>
      <c r="Z139" s="118"/>
      <c r="AA139" s="118"/>
      <c r="AB139" s="4"/>
      <c r="AC139" s="107"/>
      <c r="AD139" s="107"/>
      <c r="AE139" s="107"/>
      <c r="AF139" s="107"/>
      <c r="AG139" s="107"/>
      <c r="AH139" s="118"/>
      <c r="AI139" s="118"/>
      <c r="AJ139" s="118"/>
      <c r="AK139" s="118"/>
      <c r="AL139" s="118"/>
      <c r="AM139" s="118"/>
      <c r="AN139" s="118"/>
      <c r="AO139" s="118"/>
      <c r="AP139" s="118"/>
      <c r="AQ139" s="118"/>
      <c r="AR139" s="118"/>
      <c r="AS139" s="118"/>
      <c r="AT139" s="118"/>
      <c r="AU139" s="118"/>
      <c r="AV139" s="118"/>
    </row>
    <row r="140" spans="8:48" ht="12.75">
      <c r="H140" s="118"/>
      <c r="I140" s="118"/>
      <c r="J140" s="118"/>
      <c r="K140" s="118"/>
      <c r="L140" s="118"/>
      <c r="M140" s="118"/>
      <c r="N140" s="118"/>
      <c r="O140" s="118"/>
      <c r="P140" s="118"/>
      <c r="Q140" s="118"/>
      <c r="R140" s="120" t="s">
        <v>18</v>
      </c>
      <c r="S140" s="127">
        <f>S98-(0*(1-(S98/R43)))</f>
        <v>8.060606060606062</v>
      </c>
      <c r="T140" s="118"/>
      <c r="U140" s="118"/>
      <c r="V140" s="118"/>
      <c r="W140" s="118"/>
      <c r="X140" s="118"/>
      <c r="Y140" s="118"/>
      <c r="Z140" s="118"/>
      <c r="AA140" s="118"/>
      <c r="AB140" s="4"/>
      <c r="AC140" s="107"/>
      <c r="AD140" s="107"/>
      <c r="AE140" s="107"/>
      <c r="AF140" s="107"/>
      <c r="AG140" s="107"/>
      <c r="AH140" s="118"/>
      <c r="AI140" s="118"/>
      <c r="AJ140" s="118"/>
      <c r="AK140" s="118"/>
      <c r="AL140" s="118"/>
      <c r="AM140" s="118"/>
      <c r="AN140" s="118"/>
      <c r="AO140" s="118"/>
      <c r="AP140" s="118"/>
      <c r="AQ140" s="118"/>
      <c r="AR140" s="118"/>
      <c r="AS140" s="118"/>
      <c r="AT140" s="118"/>
      <c r="AU140" s="118"/>
      <c r="AV140" s="118"/>
    </row>
    <row r="141" spans="8:48" ht="12.75">
      <c r="H141" s="118"/>
      <c r="I141" s="118"/>
      <c r="J141" s="118"/>
      <c r="K141" s="118"/>
      <c r="L141" s="118"/>
      <c r="M141" s="118"/>
      <c r="N141" s="118"/>
      <c r="O141" s="118"/>
      <c r="P141" s="118"/>
      <c r="Q141" s="118"/>
      <c r="R141" s="120" t="s">
        <v>19</v>
      </c>
      <c r="S141" s="118">
        <f>(R43-S140)*S109/50</f>
        <v>-0.5253872053872057</v>
      </c>
      <c r="T141" s="118"/>
      <c r="U141" s="136">
        <f>E71</f>
        <v>1000</v>
      </c>
      <c r="V141" s="118" t="s">
        <v>166</v>
      </c>
      <c r="W141" s="118" t="s">
        <v>168</v>
      </c>
      <c r="X141" s="118"/>
      <c r="Y141" s="118"/>
      <c r="Z141" s="118"/>
      <c r="AA141" s="118"/>
      <c r="AB141" s="4"/>
      <c r="AC141" s="107"/>
      <c r="AD141" s="107"/>
      <c r="AE141" s="107"/>
      <c r="AF141" s="107"/>
      <c r="AG141" s="107"/>
      <c r="AH141" s="118"/>
      <c r="AI141" s="118"/>
      <c r="AJ141" s="118"/>
      <c r="AK141" s="118"/>
      <c r="AL141" s="118"/>
      <c r="AM141" s="118"/>
      <c r="AN141" s="118"/>
      <c r="AO141" s="118"/>
      <c r="AP141" s="118"/>
      <c r="AQ141" s="118"/>
      <c r="AR141" s="118"/>
      <c r="AS141" s="118"/>
      <c r="AT141" s="118"/>
      <c r="AU141" s="118"/>
      <c r="AV141" s="118"/>
    </row>
    <row r="142" spans="8:48" ht="12.75">
      <c r="H142" s="118"/>
      <c r="I142" s="118"/>
      <c r="J142" s="118"/>
      <c r="K142" s="118"/>
      <c r="L142" s="118"/>
      <c r="M142" s="118"/>
      <c r="N142" s="118"/>
      <c r="O142" s="118"/>
      <c r="P142" s="118"/>
      <c r="Q142" s="118"/>
      <c r="R142" s="120" t="s">
        <v>52</v>
      </c>
      <c r="S142" s="118">
        <f>S141*10^6/U141</f>
        <v>-525.3872053872057</v>
      </c>
      <c r="T142" s="118"/>
      <c r="U142" s="118"/>
      <c r="V142" s="118"/>
      <c r="W142" s="118"/>
      <c r="X142" s="118"/>
      <c r="Y142" s="118"/>
      <c r="Z142" s="118"/>
      <c r="AA142" s="118"/>
      <c r="AB142" s="4"/>
      <c r="AC142" s="107"/>
      <c r="AD142" s="107"/>
      <c r="AE142" s="107"/>
      <c r="AF142" s="107"/>
      <c r="AG142" s="107"/>
      <c r="AH142" s="118"/>
      <c r="AI142" s="118"/>
      <c r="AJ142" s="118"/>
      <c r="AK142" s="118"/>
      <c r="AL142" s="118"/>
      <c r="AM142" s="118"/>
      <c r="AN142" s="118"/>
      <c r="AO142" s="118"/>
      <c r="AP142" s="118"/>
      <c r="AQ142" s="118"/>
      <c r="AR142" s="118"/>
      <c r="AS142" s="118"/>
      <c r="AT142" s="118"/>
      <c r="AU142" s="118"/>
      <c r="AV142" s="118"/>
    </row>
    <row r="143" spans="8:48" ht="12.75">
      <c r="H143" s="118"/>
      <c r="I143" s="118"/>
      <c r="J143" s="118"/>
      <c r="K143" s="118"/>
      <c r="L143" s="118"/>
      <c r="M143" s="118"/>
      <c r="N143" s="118"/>
      <c r="O143" s="118"/>
      <c r="P143" s="118"/>
      <c r="Q143" s="118"/>
      <c r="R143" s="118"/>
      <c r="S143" s="118"/>
      <c r="T143" s="118"/>
      <c r="U143" s="118"/>
      <c r="V143" s="118"/>
      <c r="W143" s="118"/>
      <c r="X143" s="118"/>
      <c r="Y143" s="118"/>
      <c r="Z143" s="118"/>
      <c r="AA143" s="118"/>
      <c r="AB143" s="4"/>
      <c r="AC143" s="107"/>
      <c r="AD143" s="107"/>
      <c r="AE143" s="107"/>
      <c r="AF143" s="107"/>
      <c r="AG143" s="107"/>
      <c r="AH143" s="118"/>
      <c r="AI143" s="118"/>
      <c r="AJ143" s="118"/>
      <c r="AK143" s="118"/>
      <c r="AL143" s="118"/>
      <c r="AM143" s="118"/>
      <c r="AN143" s="118"/>
      <c r="AO143" s="118"/>
      <c r="AP143" s="118"/>
      <c r="AQ143" s="118"/>
      <c r="AR143" s="118"/>
      <c r="AS143" s="118"/>
      <c r="AT143" s="118"/>
      <c r="AU143" s="118"/>
      <c r="AV143" s="118"/>
    </row>
    <row r="144" spans="8:48" ht="12.75">
      <c r="H144" s="118"/>
      <c r="I144" s="118"/>
      <c r="J144" s="118"/>
      <c r="K144" s="118"/>
      <c r="L144" s="118"/>
      <c r="M144" s="118"/>
      <c r="N144" s="118"/>
      <c r="O144" s="118"/>
      <c r="P144" s="118"/>
      <c r="Q144" s="118"/>
      <c r="R144" s="118"/>
      <c r="S144" s="118"/>
      <c r="T144" s="118"/>
      <c r="U144" s="118"/>
      <c r="V144" s="118"/>
      <c r="W144" s="118"/>
      <c r="X144" s="118"/>
      <c r="Y144" s="118"/>
      <c r="Z144" s="118"/>
      <c r="AA144" s="118"/>
      <c r="AB144" s="4"/>
      <c r="AC144" s="107"/>
      <c r="AD144" s="107"/>
      <c r="AE144" s="107"/>
      <c r="AF144" s="107"/>
      <c r="AG144" s="107"/>
      <c r="AH144" s="118"/>
      <c r="AI144" s="118"/>
      <c r="AJ144" s="118"/>
      <c r="AK144" s="118"/>
      <c r="AL144" s="118"/>
      <c r="AM144" s="118"/>
      <c r="AN144" s="118"/>
      <c r="AO144" s="118"/>
      <c r="AP144" s="118"/>
      <c r="AQ144" s="118"/>
      <c r="AR144" s="118"/>
      <c r="AS144" s="118"/>
      <c r="AT144" s="118"/>
      <c r="AU144" s="118"/>
      <c r="AV144" s="118"/>
    </row>
    <row r="145" spans="8:48" ht="12.75">
      <c r="H145" s="118"/>
      <c r="I145" s="118"/>
      <c r="J145" s="118"/>
      <c r="K145" s="118"/>
      <c r="L145" s="118"/>
      <c r="M145" s="118"/>
      <c r="N145" s="118"/>
      <c r="O145" s="118"/>
      <c r="P145" s="118"/>
      <c r="Q145" s="118"/>
      <c r="R145" s="120" t="s">
        <v>37</v>
      </c>
      <c r="S145" s="118">
        <f>R58/(8*S108*10)*10^6</f>
        <v>-16.931705472578944</v>
      </c>
      <c r="T145" s="118"/>
      <c r="U145" s="118"/>
      <c r="V145" s="118"/>
      <c r="W145" s="118"/>
      <c r="X145" s="118"/>
      <c r="Y145" s="118"/>
      <c r="Z145" s="118"/>
      <c r="AA145" s="118"/>
      <c r="AB145" s="4"/>
      <c r="AC145" s="107"/>
      <c r="AD145" s="107"/>
      <c r="AE145" s="107"/>
      <c r="AF145" s="107"/>
      <c r="AG145" s="107"/>
      <c r="AH145" s="118"/>
      <c r="AI145" s="118"/>
      <c r="AJ145" s="118"/>
      <c r="AK145" s="118"/>
      <c r="AL145" s="118"/>
      <c r="AM145" s="118"/>
      <c r="AN145" s="118"/>
      <c r="AO145" s="118"/>
      <c r="AP145" s="118"/>
      <c r="AQ145" s="118"/>
      <c r="AR145" s="118"/>
      <c r="AS145" s="118"/>
      <c r="AT145" s="118"/>
      <c r="AU145" s="118"/>
      <c r="AV145" s="118"/>
    </row>
    <row r="146" spans="8:48" ht="12.75">
      <c r="H146" s="118"/>
      <c r="I146" s="118"/>
      <c r="J146" s="118"/>
      <c r="K146" s="118"/>
      <c r="L146" s="118"/>
      <c r="M146" s="118"/>
      <c r="N146" s="118"/>
      <c r="O146" s="118"/>
      <c r="P146" s="118"/>
      <c r="Q146" s="118"/>
      <c r="R146" s="120" t="s">
        <v>53</v>
      </c>
      <c r="S146" s="118">
        <f>S115*E67</f>
        <v>0</v>
      </c>
      <c r="T146" s="118"/>
      <c r="U146" s="118"/>
      <c r="V146" s="118"/>
      <c r="W146" s="118"/>
      <c r="X146" s="118"/>
      <c r="Y146" s="118"/>
      <c r="Z146" s="118"/>
      <c r="AA146" s="118"/>
      <c r="AB146" s="4"/>
      <c r="AC146" s="107"/>
      <c r="AD146" s="107"/>
      <c r="AE146" s="107"/>
      <c r="AF146" s="107"/>
      <c r="AG146" s="107"/>
      <c r="AH146" s="118"/>
      <c r="AI146" s="118"/>
      <c r="AJ146" s="118"/>
      <c r="AK146" s="118"/>
      <c r="AL146" s="118"/>
      <c r="AM146" s="118"/>
      <c r="AN146" s="118"/>
      <c r="AO146" s="118"/>
      <c r="AP146" s="118"/>
      <c r="AQ146" s="118"/>
      <c r="AR146" s="118"/>
      <c r="AS146" s="118"/>
      <c r="AT146" s="118"/>
      <c r="AU146" s="118"/>
      <c r="AV146" s="118"/>
    </row>
    <row r="147" spans="8:48" ht="12.75">
      <c r="H147" s="118"/>
      <c r="I147" s="118"/>
      <c r="J147" s="118"/>
      <c r="K147" s="118"/>
      <c r="L147" s="118"/>
      <c r="M147" s="118"/>
      <c r="N147" s="118"/>
      <c r="O147" s="118"/>
      <c r="P147" s="118"/>
      <c r="Q147" s="118"/>
      <c r="R147" s="120" t="s">
        <v>54</v>
      </c>
      <c r="S147" s="118">
        <f>R58/(8*S108*10^3*E77*10^-6)*1000</f>
        <v>-0.5643901824192982</v>
      </c>
      <c r="T147" s="118"/>
      <c r="U147" s="118"/>
      <c r="V147" s="118"/>
      <c r="W147" s="118"/>
      <c r="X147" s="118"/>
      <c r="Y147" s="118"/>
      <c r="Z147" s="118"/>
      <c r="AA147" s="118"/>
      <c r="AB147" s="4"/>
      <c r="AC147" s="107"/>
      <c r="AD147" s="107"/>
      <c r="AE147" s="107"/>
      <c r="AF147" s="107"/>
      <c r="AG147" s="107"/>
      <c r="AH147" s="118"/>
      <c r="AI147" s="118"/>
      <c r="AJ147" s="118"/>
      <c r="AK147" s="118"/>
      <c r="AL147" s="118"/>
      <c r="AM147" s="118"/>
      <c r="AN147" s="118"/>
      <c r="AO147" s="118"/>
      <c r="AP147" s="118"/>
      <c r="AQ147" s="118"/>
      <c r="AR147" s="118"/>
      <c r="AS147" s="118"/>
      <c r="AT147" s="118"/>
      <c r="AU147" s="118"/>
      <c r="AV147" s="118"/>
    </row>
    <row r="148" spans="8:48" ht="12.75">
      <c r="H148" s="118"/>
      <c r="I148" s="118"/>
      <c r="J148" s="118"/>
      <c r="K148" s="118"/>
      <c r="L148" s="118"/>
      <c r="M148" s="118"/>
      <c r="N148" s="118"/>
      <c r="O148" s="118"/>
      <c r="P148" s="118"/>
      <c r="Q148" s="118"/>
      <c r="R148" s="118"/>
      <c r="S148" s="118"/>
      <c r="T148" s="118"/>
      <c r="U148" s="118"/>
      <c r="V148" s="118"/>
      <c r="W148" s="118"/>
      <c r="X148" s="118"/>
      <c r="Y148" s="118"/>
      <c r="Z148" s="118"/>
      <c r="AA148" s="118"/>
      <c r="AB148" s="4"/>
      <c r="AC148" s="107"/>
      <c r="AD148" s="107"/>
      <c r="AE148" s="107"/>
      <c r="AF148" s="107"/>
      <c r="AG148" s="107"/>
      <c r="AH148" s="118"/>
      <c r="AI148" s="118"/>
      <c r="AJ148" s="118"/>
      <c r="AK148" s="118"/>
      <c r="AL148" s="118"/>
      <c r="AM148" s="118"/>
      <c r="AN148" s="118"/>
      <c r="AO148" s="118"/>
      <c r="AP148" s="118"/>
      <c r="AQ148" s="118"/>
      <c r="AR148" s="118"/>
      <c r="AS148" s="118"/>
      <c r="AT148" s="118"/>
      <c r="AU148" s="118"/>
      <c r="AV148" s="118"/>
    </row>
    <row r="149" spans="8:48" ht="12.75">
      <c r="H149" s="118"/>
      <c r="I149" s="118"/>
      <c r="J149" s="118"/>
      <c r="K149" s="118"/>
      <c r="L149" s="118"/>
      <c r="M149" s="118"/>
      <c r="N149" s="118"/>
      <c r="O149" s="118"/>
      <c r="P149" s="118"/>
      <c r="Q149" s="118"/>
      <c r="R149" s="120" t="s">
        <v>55</v>
      </c>
      <c r="S149" s="118">
        <f>(R42*S109)/(0.5)</f>
        <v>11.804444444444446</v>
      </c>
      <c r="T149" s="118" t="s">
        <v>174</v>
      </c>
      <c r="U149" s="118" t="s">
        <v>176</v>
      </c>
      <c r="V149" s="118"/>
      <c r="W149" s="118">
        <f>$R$42*$S$109/$S$150</f>
        <v>0.08679738562091505</v>
      </c>
      <c r="X149" s="118" t="s">
        <v>62</v>
      </c>
      <c r="Y149" s="118"/>
      <c r="Z149" s="118"/>
      <c r="AA149" s="118"/>
      <c r="AB149" s="4"/>
      <c r="AC149" s="107"/>
      <c r="AD149" s="107"/>
      <c r="AE149" s="107"/>
      <c r="AF149" s="107"/>
      <c r="AG149" s="107"/>
      <c r="AH149" s="118"/>
      <c r="AI149" s="118"/>
      <c r="AJ149" s="118"/>
      <c r="AK149" s="118"/>
      <c r="AL149" s="118"/>
      <c r="AM149" s="118"/>
      <c r="AN149" s="118"/>
      <c r="AO149" s="118"/>
      <c r="AP149" s="118"/>
      <c r="AQ149" s="118"/>
      <c r="AR149" s="118"/>
      <c r="AS149" s="118"/>
      <c r="AT149" s="118"/>
      <c r="AU149" s="118"/>
      <c r="AV149" s="118"/>
    </row>
    <row r="150" spans="8:48" ht="12.75">
      <c r="H150" s="118"/>
      <c r="I150" s="118"/>
      <c r="J150" s="118"/>
      <c r="K150" s="118"/>
      <c r="L150" s="118"/>
      <c r="M150" s="118"/>
      <c r="N150" s="118"/>
      <c r="O150" s="118"/>
      <c r="P150" s="118"/>
      <c r="Q150" s="118" t="s">
        <v>177</v>
      </c>
      <c r="R150" s="120" t="s">
        <v>178</v>
      </c>
      <c r="S150" s="123">
        <f>E84</f>
        <v>68</v>
      </c>
      <c r="T150" s="118" t="s">
        <v>16</v>
      </c>
      <c r="U150" s="118"/>
      <c r="V150" s="118"/>
      <c r="W150" s="118"/>
      <c r="X150" s="118"/>
      <c r="Y150" s="118"/>
      <c r="Z150" s="118"/>
      <c r="AA150" s="118"/>
      <c r="AB150" s="4"/>
      <c r="AC150" s="107"/>
      <c r="AD150" s="107"/>
      <c r="AE150" s="107"/>
      <c r="AF150" s="107"/>
      <c r="AG150" s="107"/>
      <c r="AH150" s="118"/>
      <c r="AI150" s="118"/>
      <c r="AJ150" s="118"/>
      <c r="AK150" s="118"/>
      <c r="AL150" s="118"/>
      <c r="AM150" s="118"/>
      <c r="AN150" s="118"/>
      <c r="AO150" s="118"/>
      <c r="AP150" s="118"/>
      <c r="AQ150" s="118"/>
      <c r="AR150" s="118"/>
      <c r="AS150" s="118"/>
      <c r="AT150" s="118"/>
      <c r="AU150" s="118"/>
      <c r="AV150" s="118"/>
    </row>
    <row r="151" spans="8:48" ht="12.75">
      <c r="H151" s="118"/>
      <c r="I151" s="118"/>
      <c r="J151" s="118"/>
      <c r="K151" s="118"/>
      <c r="L151" s="118"/>
      <c r="M151" s="118"/>
      <c r="N151" s="118"/>
      <c r="O151" s="118"/>
      <c r="P151" s="118"/>
      <c r="Q151" s="118"/>
      <c r="R151" s="118"/>
      <c r="S151" s="118"/>
      <c r="T151" s="118"/>
      <c r="U151" s="118"/>
      <c r="V151" s="118"/>
      <c r="W151" s="118"/>
      <c r="X151" s="118"/>
      <c r="Y151" s="118"/>
      <c r="Z151" s="118"/>
      <c r="AA151" s="118"/>
      <c r="AB151" s="4"/>
      <c r="AC151" s="107"/>
      <c r="AD151" s="107"/>
      <c r="AE151" s="107"/>
      <c r="AF151" s="107"/>
      <c r="AG151" s="107"/>
      <c r="AH151" s="118"/>
      <c r="AI151" s="118"/>
      <c r="AJ151" s="118"/>
      <c r="AK151" s="118"/>
      <c r="AL151" s="118"/>
      <c r="AM151" s="118"/>
      <c r="AN151" s="118"/>
      <c r="AO151" s="118"/>
      <c r="AP151" s="118"/>
      <c r="AQ151" s="118"/>
      <c r="AR151" s="118"/>
      <c r="AS151" s="118"/>
      <c r="AT151" s="118"/>
      <c r="AU151" s="118"/>
      <c r="AV151" s="118"/>
    </row>
    <row r="152" spans="8:48" ht="12.75">
      <c r="H152" s="118"/>
      <c r="I152" s="118"/>
      <c r="J152" s="118"/>
      <c r="K152" s="118"/>
      <c r="L152" s="118"/>
      <c r="M152" s="118"/>
      <c r="N152" s="118"/>
      <c r="O152" s="118"/>
      <c r="P152" s="118"/>
      <c r="Q152" s="118"/>
      <c r="R152" s="118" t="s">
        <v>106</v>
      </c>
      <c r="S152" s="118"/>
      <c r="T152" s="118"/>
      <c r="U152" s="118"/>
      <c r="V152" s="118"/>
      <c r="W152" s="118"/>
      <c r="X152" s="118"/>
      <c r="Y152" s="118"/>
      <c r="Z152" s="118"/>
      <c r="AA152" s="118"/>
      <c r="AB152" s="4"/>
      <c r="AC152" s="107"/>
      <c r="AD152" s="107"/>
      <c r="AE152" s="107"/>
      <c r="AF152" s="107"/>
      <c r="AG152" s="107"/>
      <c r="AH152" s="118"/>
      <c r="AI152" s="118"/>
      <c r="AJ152" s="118"/>
      <c r="AK152" s="118"/>
      <c r="AL152" s="118"/>
      <c r="AM152" s="118"/>
      <c r="AN152" s="118"/>
      <c r="AO152" s="118"/>
      <c r="AP152" s="118"/>
      <c r="AQ152" s="118"/>
      <c r="AR152" s="118"/>
      <c r="AS152" s="118"/>
      <c r="AT152" s="118"/>
      <c r="AU152" s="118"/>
      <c r="AV152" s="118"/>
    </row>
    <row r="153" spans="8:48" ht="12.75">
      <c r="H153" s="118"/>
      <c r="I153" s="118"/>
      <c r="J153" s="118"/>
      <c r="K153" s="118"/>
      <c r="L153" s="118"/>
      <c r="M153" s="118"/>
      <c r="N153" s="118"/>
      <c r="O153" s="118"/>
      <c r="P153" s="118"/>
      <c r="Q153" s="118"/>
      <c r="R153" s="118"/>
      <c r="S153" s="118"/>
      <c r="T153" s="118"/>
      <c r="U153" s="118"/>
      <c r="V153" s="118"/>
      <c r="W153" s="118"/>
      <c r="X153" s="118"/>
      <c r="Y153" s="118"/>
      <c r="Z153" s="118"/>
      <c r="AA153" s="118"/>
      <c r="AB153" s="4"/>
      <c r="AC153" s="107"/>
      <c r="AD153" s="107"/>
      <c r="AE153" s="107"/>
      <c r="AF153" s="107"/>
      <c r="AG153" s="107"/>
      <c r="AH153" s="118"/>
      <c r="AI153" s="118"/>
      <c r="AJ153" s="118"/>
      <c r="AK153" s="118"/>
      <c r="AL153" s="118"/>
      <c r="AM153" s="118"/>
      <c r="AN153" s="118"/>
      <c r="AO153" s="118"/>
      <c r="AP153" s="118"/>
      <c r="AQ153" s="118"/>
      <c r="AR153" s="118"/>
      <c r="AS153" s="118"/>
      <c r="AT153" s="118"/>
      <c r="AU153" s="118"/>
      <c r="AV153" s="118"/>
    </row>
    <row r="154" spans="8:48" ht="12.75">
      <c r="H154" s="118"/>
      <c r="I154" s="118"/>
      <c r="J154" s="118"/>
      <c r="K154" s="118"/>
      <c r="L154" s="118"/>
      <c r="M154" s="118"/>
      <c r="N154" s="118"/>
      <c r="O154" s="118"/>
      <c r="P154" s="118"/>
      <c r="Q154" s="118"/>
      <c r="R154" s="118" t="s">
        <v>108</v>
      </c>
      <c r="S154" s="118"/>
      <c r="T154" s="118"/>
      <c r="U154" s="118"/>
      <c r="V154" s="118"/>
      <c r="W154" s="118"/>
      <c r="X154" s="118"/>
      <c r="Y154" s="118"/>
      <c r="Z154" s="118"/>
      <c r="AA154" s="118"/>
      <c r="AB154" s="4"/>
      <c r="AC154" s="107"/>
      <c r="AD154" s="107"/>
      <c r="AE154" s="107"/>
      <c r="AF154" s="107"/>
      <c r="AG154" s="107"/>
      <c r="AH154" s="118"/>
      <c r="AI154" s="118"/>
      <c r="AJ154" s="118"/>
      <c r="AK154" s="118"/>
      <c r="AL154" s="118"/>
      <c r="AM154" s="118"/>
      <c r="AN154" s="118"/>
      <c r="AO154" s="118"/>
      <c r="AP154" s="118"/>
      <c r="AQ154" s="118"/>
      <c r="AR154" s="118"/>
      <c r="AS154" s="118"/>
      <c r="AT154" s="118"/>
      <c r="AU154" s="118"/>
      <c r="AV154" s="118"/>
    </row>
    <row r="155" spans="8:48" ht="12.75">
      <c r="H155" s="118"/>
      <c r="I155" s="118"/>
      <c r="J155" s="118"/>
      <c r="K155" s="118"/>
      <c r="L155" s="118"/>
      <c r="M155" s="118"/>
      <c r="N155" s="118"/>
      <c r="O155" s="118"/>
      <c r="P155" s="118"/>
      <c r="Q155" s="118"/>
      <c r="R155" s="118"/>
      <c r="S155" s="118"/>
      <c r="T155" s="118"/>
      <c r="U155" s="118"/>
      <c r="V155" s="118"/>
      <c r="W155" s="118"/>
      <c r="X155" s="118"/>
      <c r="Y155" s="118"/>
      <c r="Z155" s="118"/>
      <c r="AA155" s="118"/>
      <c r="AB155" s="4"/>
      <c r="AC155" s="107"/>
      <c r="AD155" s="107"/>
      <c r="AE155" s="107"/>
      <c r="AF155" s="107"/>
      <c r="AG155" s="107"/>
      <c r="AH155" s="118"/>
      <c r="AI155" s="118"/>
      <c r="AJ155" s="118"/>
      <c r="AK155" s="118"/>
      <c r="AL155" s="118"/>
      <c r="AM155" s="118"/>
      <c r="AN155" s="118"/>
      <c r="AO155" s="118"/>
      <c r="AP155" s="118"/>
      <c r="AQ155" s="118"/>
      <c r="AR155" s="118"/>
      <c r="AS155" s="118"/>
      <c r="AT155" s="118"/>
      <c r="AU155" s="118"/>
      <c r="AV155" s="118"/>
    </row>
    <row r="156" spans="8:48" ht="12.75">
      <c r="H156" s="118"/>
      <c r="I156" s="118"/>
      <c r="J156" s="118"/>
      <c r="K156" s="118"/>
      <c r="L156" s="118"/>
      <c r="M156" s="118"/>
      <c r="N156" s="118"/>
      <c r="O156" s="118"/>
      <c r="P156" s="118"/>
      <c r="Q156" s="118"/>
      <c r="R156" s="118" t="s">
        <v>107</v>
      </c>
      <c r="S156" s="118">
        <f>E49/(2*E77)</f>
        <v>0.012296296296296296</v>
      </c>
      <c r="T156" s="118" t="s">
        <v>109</v>
      </c>
      <c r="U156" s="118"/>
      <c r="V156" s="118"/>
      <c r="W156" s="118"/>
      <c r="X156" s="118"/>
      <c r="Y156" s="118"/>
      <c r="Z156" s="118"/>
      <c r="AA156" s="118"/>
      <c r="AB156" s="4"/>
      <c r="AC156" s="107"/>
      <c r="AD156" s="107"/>
      <c r="AE156" s="107"/>
      <c r="AF156" s="107"/>
      <c r="AG156" s="107"/>
      <c r="AH156" s="118"/>
      <c r="AI156" s="118"/>
      <c r="AJ156" s="118"/>
      <c r="AK156" s="118"/>
      <c r="AL156" s="118"/>
      <c r="AM156" s="118"/>
      <c r="AN156" s="118"/>
      <c r="AO156" s="118"/>
      <c r="AP156" s="118"/>
      <c r="AQ156" s="118"/>
      <c r="AR156" s="118"/>
      <c r="AS156" s="118"/>
      <c r="AT156" s="118"/>
      <c r="AU156" s="118"/>
      <c r="AV156" s="118"/>
    </row>
    <row r="157" spans="8:48" ht="12.75">
      <c r="H157" s="118"/>
      <c r="I157" s="118"/>
      <c r="J157" s="118"/>
      <c r="K157" s="118"/>
      <c r="L157" s="118"/>
      <c r="M157" s="118"/>
      <c r="N157" s="118"/>
      <c r="O157" s="118"/>
      <c r="P157" s="118"/>
      <c r="Q157" s="118"/>
      <c r="R157" s="118"/>
      <c r="S157" s="118"/>
      <c r="T157" s="118"/>
      <c r="U157" s="118"/>
      <c r="V157" s="118"/>
      <c r="W157" s="118"/>
      <c r="X157" s="118"/>
      <c r="Y157" s="118"/>
      <c r="Z157" s="118"/>
      <c r="AA157" s="118"/>
      <c r="AB157" s="4"/>
      <c r="AC157" s="107"/>
      <c r="AD157" s="107"/>
      <c r="AE157" s="107"/>
      <c r="AF157" s="107"/>
      <c r="AG157" s="107"/>
      <c r="AH157" s="118"/>
      <c r="AI157" s="118"/>
      <c r="AJ157" s="118"/>
      <c r="AK157" s="118"/>
      <c r="AL157" s="118"/>
      <c r="AM157" s="118"/>
      <c r="AN157" s="118"/>
      <c r="AO157" s="118"/>
      <c r="AP157" s="118"/>
      <c r="AQ157" s="118"/>
      <c r="AR157" s="118"/>
      <c r="AS157" s="118"/>
      <c r="AT157" s="118"/>
      <c r="AU157" s="118"/>
      <c r="AV157" s="118"/>
    </row>
    <row r="158" spans="8:48" ht="12.75">
      <c r="H158" s="118"/>
      <c r="I158" s="118"/>
      <c r="J158" s="118"/>
      <c r="K158" s="118"/>
      <c r="L158" s="118"/>
      <c r="M158" s="118"/>
      <c r="N158" s="118"/>
      <c r="O158" s="118"/>
      <c r="P158" s="118"/>
      <c r="Q158" s="118"/>
      <c r="R158" s="118"/>
      <c r="S158" s="118"/>
      <c r="T158" s="118"/>
      <c r="U158" s="118"/>
      <c r="V158" s="118"/>
      <c r="W158" s="118"/>
      <c r="X158" s="118"/>
      <c r="Y158" s="118"/>
      <c r="Z158" s="118"/>
      <c r="AA158" s="118"/>
      <c r="AB158" s="4"/>
      <c r="AC158" s="107"/>
      <c r="AD158" s="107"/>
      <c r="AE158" s="107"/>
      <c r="AF158" s="107"/>
      <c r="AG158" s="107"/>
      <c r="AH158" s="118"/>
      <c r="AI158" s="118"/>
      <c r="AJ158" s="118"/>
      <c r="AK158" s="118"/>
      <c r="AL158" s="118"/>
      <c r="AM158" s="118"/>
      <c r="AN158" s="118"/>
      <c r="AO158" s="118"/>
      <c r="AP158" s="118"/>
      <c r="AQ158" s="118"/>
      <c r="AR158" s="118"/>
      <c r="AS158" s="118"/>
      <c r="AT158" s="118"/>
      <c r="AU158" s="118"/>
      <c r="AV158" s="118"/>
    </row>
    <row r="159" spans="8:48" ht="12.75">
      <c r="H159" s="118"/>
      <c r="I159" s="118"/>
      <c r="J159" s="118"/>
      <c r="K159" s="118"/>
      <c r="L159" s="118"/>
      <c r="M159" s="118"/>
      <c r="N159" s="118"/>
      <c r="O159" s="118"/>
      <c r="P159" s="118"/>
      <c r="Q159" s="107"/>
      <c r="R159" s="108" t="s">
        <v>58</v>
      </c>
      <c r="S159" s="137">
        <f>R46</f>
        <v>8</v>
      </c>
      <c r="T159" s="118"/>
      <c r="U159" s="118"/>
      <c r="V159" s="118"/>
      <c r="W159" s="118"/>
      <c r="X159" s="118"/>
      <c r="Y159" s="118"/>
      <c r="Z159" s="118"/>
      <c r="AA159" s="118"/>
      <c r="AB159" s="4"/>
      <c r="AC159" s="107"/>
      <c r="AD159" s="107"/>
      <c r="AE159" s="107"/>
      <c r="AF159" s="107"/>
      <c r="AG159" s="107"/>
      <c r="AH159" s="118"/>
      <c r="AI159" s="118"/>
      <c r="AJ159" s="118"/>
      <c r="AK159" s="118"/>
      <c r="AL159" s="118"/>
      <c r="AM159" s="118"/>
      <c r="AN159" s="118"/>
      <c r="AO159" s="118"/>
      <c r="AP159" s="118"/>
      <c r="AQ159" s="118"/>
      <c r="AR159" s="118"/>
      <c r="AS159" s="118"/>
      <c r="AT159" s="118"/>
      <c r="AU159" s="118"/>
      <c r="AV159" s="118"/>
    </row>
    <row r="160" spans="8:33" ht="12.75">
      <c r="H160" s="118"/>
      <c r="I160" s="118"/>
      <c r="J160" s="118"/>
      <c r="K160" s="118"/>
      <c r="L160" s="118"/>
      <c r="M160" s="118"/>
      <c r="N160" s="118"/>
      <c r="O160" s="118"/>
      <c r="P160" s="118"/>
      <c r="Q160" s="107"/>
      <c r="R160" s="108" t="s">
        <v>59</v>
      </c>
      <c r="S160" s="129">
        <v>4.5</v>
      </c>
      <c r="T160" s="118"/>
      <c r="U160" s="118"/>
      <c r="V160" s="118"/>
      <c r="W160" s="118"/>
      <c r="X160" s="118"/>
      <c r="Y160" s="118"/>
      <c r="Z160" s="118"/>
      <c r="AA160" s="118"/>
      <c r="AB160" s="4"/>
      <c r="AC160" s="4"/>
      <c r="AD160" s="4"/>
      <c r="AE160" s="4"/>
      <c r="AF160" s="4"/>
      <c r="AG160" s="4"/>
    </row>
    <row r="161" spans="8:33" ht="12.75">
      <c r="H161" s="118"/>
      <c r="I161" s="118"/>
      <c r="J161" s="118"/>
      <c r="K161" s="118"/>
      <c r="L161" s="118"/>
      <c r="M161" s="118"/>
      <c r="N161" s="118"/>
      <c r="O161" s="118"/>
      <c r="P161" s="118"/>
      <c r="Q161" s="107"/>
      <c r="R161" s="108" t="s">
        <v>60</v>
      </c>
      <c r="S161" s="129">
        <f>IF(S159&gt;S160,S159,S160)</f>
        <v>8</v>
      </c>
      <c r="T161" s="118"/>
      <c r="U161" s="118"/>
      <c r="V161" s="118"/>
      <c r="W161" s="118"/>
      <c r="X161" s="118"/>
      <c r="Y161" s="118"/>
      <c r="Z161" s="118"/>
      <c r="AA161" s="118"/>
      <c r="AB161" s="4"/>
      <c r="AC161" s="4"/>
      <c r="AD161" s="4"/>
      <c r="AE161" s="4"/>
      <c r="AF161" s="4"/>
      <c r="AG161" s="4"/>
    </row>
    <row r="162" spans="8:33" ht="12.75">
      <c r="H162" s="118"/>
      <c r="I162" s="118"/>
      <c r="J162" s="118"/>
      <c r="K162" s="118"/>
      <c r="L162" s="118"/>
      <c r="M162" s="118"/>
      <c r="N162" s="118"/>
      <c r="O162" s="118"/>
      <c r="P162" s="118"/>
      <c r="Q162" s="118"/>
      <c r="R162" s="118"/>
      <c r="S162" s="118"/>
      <c r="T162" s="118"/>
      <c r="U162" s="118"/>
      <c r="V162" s="118"/>
      <c r="W162" s="118"/>
      <c r="X162" s="118"/>
      <c r="Y162" s="118"/>
      <c r="Z162" s="118"/>
      <c r="AA162" s="118"/>
      <c r="AB162" s="4"/>
      <c r="AC162" s="4"/>
      <c r="AD162" s="4"/>
      <c r="AE162" s="4"/>
      <c r="AF162" s="4"/>
      <c r="AG162" s="4"/>
    </row>
    <row r="163" spans="8:33" ht="12.75">
      <c r="H163" s="118"/>
      <c r="I163" s="118"/>
      <c r="J163" s="118"/>
      <c r="K163" s="118"/>
      <c r="L163" s="118"/>
      <c r="M163" s="118"/>
      <c r="N163" s="118"/>
      <c r="O163" s="118"/>
      <c r="P163" s="118"/>
      <c r="Q163" s="118"/>
      <c r="R163" s="118"/>
      <c r="S163" s="118"/>
      <c r="T163" s="118"/>
      <c r="U163" s="118"/>
      <c r="V163" s="118"/>
      <c r="W163" s="118"/>
      <c r="X163" s="118"/>
      <c r="Y163" s="118"/>
      <c r="Z163" s="118"/>
      <c r="AA163" s="118"/>
      <c r="AB163" s="4"/>
      <c r="AC163" s="4"/>
      <c r="AD163" s="4"/>
      <c r="AE163" s="4"/>
      <c r="AF163" s="4"/>
      <c r="AG163" s="4"/>
    </row>
    <row r="164" spans="8:33" ht="12.75">
      <c r="H164" s="118"/>
      <c r="I164" s="118"/>
      <c r="J164" s="118"/>
      <c r="K164" s="118"/>
      <c r="L164" s="118"/>
      <c r="M164" s="118"/>
      <c r="N164" s="118"/>
      <c r="O164" s="118"/>
      <c r="P164" s="118"/>
      <c r="Q164" s="118"/>
      <c r="R164" s="118"/>
      <c r="S164" s="118"/>
      <c r="T164" s="118"/>
      <c r="U164" s="118"/>
      <c r="V164" s="118"/>
      <c r="W164" s="118"/>
      <c r="X164" s="118"/>
      <c r="Y164" s="118"/>
      <c r="Z164" s="118"/>
      <c r="AA164" s="118"/>
      <c r="AB164" s="4"/>
      <c r="AC164" s="4"/>
      <c r="AD164" s="4"/>
      <c r="AE164" s="4"/>
      <c r="AF164" s="4"/>
      <c r="AG164" s="4"/>
    </row>
    <row r="165" spans="8:33" ht="12.75">
      <c r="H165" s="118"/>
      <c r="I165" s="118"/>
      <c r="J165" s="118"/>
      <c r="K165" s="118"/>
      <c r="L165" s="118"/>
      <c r="M165" s="118"/>
      <c r="N165" s="118"/>
      <c r="O165" s="118"/>
      <c r="P165" s="118"/>
      <c r="Q165" s="118"/>
      <c r="R165" s="118"/>
      <c r="S165" s="118"/>
      <c r="T165" s="118"/>
      <c r="U165" s="118"/>
      <c r="V165" s="118"/>
      <c r="W165" s="118"/>
      <c r="X165" s="118"/>
      <c r="Y165" s="118"/>
      <c r="Z165" s="118"/>
      <c r="AA165" s="118"/>
      <c r="AB165" s="4"/>
      <c r="AC165" s="4"/>
      <c r="AD165" s="4"/>
      <c r="AE165" s="4"/>
      <c r="AF165" s="4"/>
      <c r="AG165" s="4"/>
    </row>
    <row r="166" spans="8:33" ht="12.75">
      <c r="H166" s="118"/>
      <c r="I166" s="118"/>
      <c r="J166" s="118"/>
      <c r="K166" s="118"/>
      <c r="L166" s="118"/>
      <c r="M166" s="118"/>
      <c r="N166" s="118"/>
      <c r="O166" s="118"/>
      <c r="P166" s="118"/>
      <c r="Q166" s="118"/>
      <c r="R166" s="118"/>
      <c r="S166" s="118"/>
      <c r="T166" s="118"/>
      <c r="U166" s="118"/>
      <c r="V166" s="118"/>
      <c r="W166" s="118"/>
      <c r="X166" s="118"/>
      <c r="Y166" s="118"/>
      <c r="Z166" s="118"/>
      <c r="AA166" s="118"/>
      <c r="AB166" s="4"/>
      <c r="AC166" s="4"/>
      <c r="AD166" s="4"/>
      <c r="AE166" s="4"/>
      <c r="AF166" s="4"/>
      <c r="AG166" s="4"/>
    </row>
    <row r="167" spans="8:33" ht="12.75">
      <c r="H167" s="118"/>
      <c r="I167" s="118"/>
      <c r="J167" s="118"/>
      <c r="K167" s="118"/>
      <c r="L167" s="118"/>
      <c r="M167" s="118"/>
      <c r="N167" s="118"/>
      <c r="O167" s="118"/>
      <c r="P167" s="118"/>
      <c r="Q167" s="118"/>
      <c r="R167" s="118"/>
      <c r="S167" s="118"/>
      <c r="T167" s="118"/>
      <c r="U167" s="118"/>
      <c r="V167" s="118"/>
      <c r="W167" s="118"/>
      <c r="X167" s="118"/>
      <c r="Y167" s="118"/>
      <c r="Z167" s="118"/>
      <c r="AA167" s="118"/>
      <c r="AB167" s="4"/>
      <c r="AC167" s="4"/>
      <c r="AD167" s="4"/>
      <c r="AE167" s="4"/>
      <c r="AF167" s="4"/>
      <c r="AG167" s="4"/>
    </row>
    <row r="168" spans="8:33" ht="12.75">
      <c r="H168" s="118"/>
      <c r="I168" s="118"/>
      <c r="J168" s="118"/>
      <c r="K168" s="118"/>
      <c r="L168" s="118"/>
      <c r="M168" s="118"/>
      <c r="N168" s="118"/>
      <c r="O168" s="118"/>
      <c r="P168" s="118"/>
      <c r="Q168" s="118"/>
      <c r="R168" s="118"/>
      <c r="S168" s="118"/>
      <c r="T168" s="118"/>
      <c r="U168" s="118"/>
      <c r="V168" s="118"/>
      <c r="W168" s="118"/>
      <c r="X168" s="118"/>
      <c r="Y168" s="118"/>
      <c r="Z168" s="118"/>
      <c r="AA168" s="118"/>
      <c r="AB168" s="4"/>
      <c r="AC168" s="4"/>
      <c r="AD168" s="4"/>
      <c r="AE168" s="4"/>
      <c r="AF168" s="4"/>
      <c r="AG168" s="4"/>
    </row>
    <row r="169" spans="8:33" ht="12.75">
      <c r="H169" s="118"/>
      <c r="I169" s="118"/>
      <c r="J169" s="118"/>
      <c r="K169" s="118"/>
      <c r="L169" s="118"/>
      <c r="M169" s="118"/>
      <c r="N169" s="118"/>
      <c r="O169" s="118"/>
      <c r="P169" s="118"/>
      <c r="Q169" s="118"/>
      <c r="R169" s="118"/>
      <c r="S169" s="118"/>
      <c r="T169" s="118"/>
      <c r="U169" s="118"/>
      <c r="V169" s="118"/>
      <c r="W169" s="118"/>
      <c r="X169" s="118"/>
      <c r="Y169" s="118"/>
      <c r="Z169" s="118"/>
      <c r="AA169" s="118"/>
      <c r="AB169" s="4"/>
      <c r="AC169" s="4"/>
      <c r="AD169" s="4"/>
      <c r="AE169" s="4"/>
      <c r="AF169" s="4"/>
      <c r="AG169" s="4"/>
    </row>
    <row r="170" spans="8:33" ht="12.75">
      <c r="H170" s="118"/>
      <c r="I170" s="118"/>
      <c r="J170" s="118"/>
      <c r="K170" s="118"/>
      <c r="L170" s="118"/>
      <c r="M170" s="118"/>
      <c r="N170" s="118"/>
      <c r="O170" s="118"/>
      <c r="P170" s="118"/>
      <c r="Q170" s="118"/>
      <c r="R170" s="118"/>
      <c r="S170" s="118"/>
      <c r="T170" s="118"/>
      <c r="U170" s="118"/>
      <c r="V170" s="118"/>
      <c r="W170" s="118"/>
      <c r="X170" s="118"/>
      <c r="Y170" s="118"/>
      <c r="Z170" s="118"/>
      <c r="AA170" s="118"/>
      <c r="AB170" s="4"/>
      <c r="AC170" s="4"/>
      <c r="AD170" s="4"/>
      <c r="AE170" s="4"/>
      <c r="AF170" s="4"/>
      <c r="AG170" s="4"/>
    </row>
    <row r="171" spans="8:33" ht="12.75">
      <c r="H171" s="118"/>
      <c r="I171" s="118"/>
      <c r="J171" s="118"/>
      <c r="K171" s="118"/>
      <c r="L171" s="118"/>
      <c r="M171" s="118"/>
      <c r="N171" s="118"/>
      <c r="O171" s="118"/>
      <c r="P171" s="118"/>
      <c r="Q171" s="118"/>
      <c r="R171" s="118"/>
      <c r="S171" s="118"/>
      <c r="T171" s="118"/>
      <c r="U171" s="118"/>
      <c r="V171" s="118"/>
      <c r="W171" s="118"/>
      <c r="X171" s="118"/>
      <c r="Y171" s="118"/>
      <c r="Z171" s="118"/>
      <c r="AA171" s="118"/>
      <c r="AB171" s="4"/>
      <c r="AC171" s="4"/>
      <c r="AD171" s="4"/>
      <c r="AE171" s="4"/>
      <c r="AF171" s="4"/>
      <c r="AG171" s="4"/>
    </row>
    <row r="172" spans="8:27" ht="12.75">
      <c r="H172" s="118"/>
      <c r="I172" s="118"/>
      <c r="J172" s="118"/>
      <c r="K172" s="118"/>
      <c r="L172" s="118"/>
      <c r="M172" s="118"/>
      <c r="N172" s="118"/>
      <c r="O172" s="118"/>
      <c r="P172" s="118"/>
      <c r="Q172" s="118"/>
      <c r="R172" s="118"/>
      <c r="S172" s="118"/>
      <c r="T172" s="118"/>
      <c r="U172" s="118"/>
      <c r="V172" s="118"/>
      <c r="W172" s="118"/>
      <c r="X172" s="118"/>
      <c r="Y172" s="118"/>
      <c r="Z172" s="118"/>
      <c r="AA172" s="118"/>
    </row>
    <row r="173" spans="8:27" ht="12.75">
      <c r="H173" s="118"/>
      <c r="I173" s="118"/>
      <c r="J173" s="118"/>
      <c r="K173" s="118"/>
      <c r="L173" s="118"/>
      <c r="M173" s="118"/>
      <c r="N173" s="118"/>
      <c r="O173" s="118"/>
      <c r="P173" s="118"/>
      <c r="Q173" s="118"/>
      <c r="R173" s="118"/>
      <c r="S173" s="118"/>
      <c r="T173" s="118"/>
      <c r="U173" s="118"/>
      <c r="V173" s="118"/>
      <c r="W173" s="118"/>
      <c r="X173" s="118"/>
      <c r="Y173" s="118"/>
      <c r="Z173" s="118"/>
      <c r="AA173" s="118"/>
    </row>
    <row r="174" spans="8:27" ht="12.75">
      <c r="H174" s="118"/>
      <c r="I174" s="118"/>
      <c r="J174" s="118"/>
      <c r="K174" s="118"/>
      <c r="L174" s="118"/>
      <c r="M174" s="118"/>
      <c r="N174" s="118"/>
      <c r="O174" s="118"/>
      <c r="P174" s="118"/>
      <c r="Q174" s="118"/>
      <c r="R174" s="118"/>
      <c r="S174" s="118"/>
      <c r="T174" s="118"/>
      <c r="U174" s="118"/>
      <c r="V174" s="118"/>
      <c r="W174" s="118"/>
      <c r="X174" s="118"/>
      <c r="Y174" s="118"/>
      <c r="Z174" s="118"/>
      <c r="AA174" s="118"/>
    </row>
    <row r="175" spans="8:27" ht="12.75">
      <c r="H175" s="118"/>
      <c r="I175" s="118"/>
      <c r="J175" s="118"/>
      <c r="K175" s="118"/>
      <c r="L175" s="118"/>
      <c r="M175" s="118"/>
      <c r="N175" s="118"/>
      <c r="O175" s="118"/>
      <c r="P175" s="118"/>
      <c r="Q175" s="118"/>
      <c r="R175" s="118"/>
      <c r="S175" s="118"/>
      <c r="T175" s="118"/>
      <c r="U175" s="118"/>
      <c r="V175" s="118"/>
      <c r="W175" s="118"/>
      <c r="X175" s="118"/>
      <c r="Y175" s="118"/>
      <c r="Z175" s="118"/>
      <c r="AA175" s="118"/>
    </row>
    <row r="176" spans="8:27" ht="12.75">
      <c r="H176" s="118"/>
      <c r="I176" s="118"/>
      <c r="J176" s="118"/>
      <c r="K176" s="118"/>
      <c r="L176" s="118"/>
      <c r="M176" s="118"/>
      <c r="N176" s="118"/>
      <c r="O176" s="118"/>
      <c r="P176" s="118"/>
      <c r="Q176" s="118"/>
      <c r="R176" s="118"/>
      <c r="S176" s="118"/>
      <c r="T176" s="118"/>
      <c r="U176" s="118"/>
      <c r="V176" s="118"/>
      <c r="W176" s="118"/>
      <c r="X176" s="118"/>
      <c r="Y176" s="118"/>
      <c r="Z176" s="118"/>
      <c r="AA176" s="118"/>
    </row>
    <row r="177" spans="8:27" ht="12.75">
      <c r="H177" s="118"/>
      <c r="I177" s="118"/>
      <c r="J177" s="118"/>
      <c r="K177" s="118"/>
      <c r="L177" s="118"/>
      <c r="M177" s="118"/>
      <c r="N177" s="118"/>
      <c r="O177" s="118"/>
      <c r="P177" s="118"/>
      <c r="Q177" s="118"/>
      <c r="R177" s="118"/>
      <c r="S177" s="118"/>
      <c r="T177" s="118"/>
      <c r="U177" s="118"/>
      <c r="V177" s="118"/>
      <c r="W177" s="118"/>
      <c r="X177" s="118"/>
      <c r="Y177" s="118"/>
      <c r="Z177" s="118"/>
      <c r="AA177" s="118"/>
    </row>
    <row r="178" spans="8:27" ht="12.75">
      <c r="H178" s="118"/>
      <c r="I178" s="118"/>
      <c r="J178" s="118"/>
      <c r="K178" s="118"/>
      <c r="L178" s="118"/>
      <c r="M178" s="118"/>
      <c r="N178" s="118"/>
      <c r="O178" s="118"/>
      <c r="P178" s="118"/>
      <c r="Q178" s="118"/>
      <c r="R178" s="118"/>
      <c r="S178" s="118"/>
      <c r="T178" s="118"/>
      <c r="U178" s="118"/>
      <c r="V178" s="118"/>
      <c r="W178" s="118"/>
      <c r="X178" s="118"/>
      <c r="Y178" s="118"/>
      <c r="Z178" s="118"/>
      <c r="AA178" s="118"/>
    </row>
    <row r="179" spans="8:27" ht="12.75">
      <c r="H179" s="118"/>
      <c r="I179" s="118"/>
      <c r="J179" s="118"/>
      <c r="K179" s="118"/>
      <c r="L179" s="118"/>
      <c r="M179" s="118"/>
      <c r="N179" s="118"/>
      <c r="O179" s="118"/>
      <c r="P179" s="118"/>
      <c r="Q179" s="118"/>
      <c r="R179" s="118"/>
      <c r="S179" s="118"/>
      <c r="T179" s="118"/>
      <c r="U179" s="118"/>
      <c r="V179" s="118"/>
      <c r="W179" s="118"/>
      <c r="X179" s="118"/>
      <c r="Y179" s="118"/>
      <c r="Z179" s="118"/>
      <c r="AA179" s="118"/>
    </row>
    <row r="180" spans="8:27" ht="12.75">
      <c r="H180" s="118"/>
      <c r="I180" s="118"/>
      <c r="J180" s="118"/>
      <c r="K180" s="118"/>
      <c r="L180" s="118"/>
      <c r="M180" s="118"/>
      <c r="N180" s="118"/>
      <c r="O180" s="118"/>
      <c r="P180" s="118"/>
      <c r="Q180" s="118"/>
      <c r="R180" s="118"/>
      <c r="S180" s="118"/>
      <c r="T180" s="118"/>
      <c r="U180" s="118"/>
      <c r="V180" s="118"/>
      <c r="W180" s="118"/>
      <c r="X180" s="118"/>
      <c r="Y180" s="118"/>
      <c r="Z180" s="118"/>
      <c r="AA180" s="118"/>
    </row>
    <row r="181" spans="8:27" ht="12.75">
      <c r="H181" s="118"/>
      <c r="I181" s="118"/>
      <c r="J181" s="118"/>
      <c r="K181" s="118"/>
      <c r="L181" s="118"/>
      <c r="M181" s="118"/>
      <c r="N181" s="118"/>
      <c r="O181" s="118"/>
      <c r="P181" s="118"/>
      <c r="Q181" s="118"/>
      <c r="R181" s="118"/>
      <c r="S181" s="118"/>
      <c r="T181" s="118"/>
      <c r="U181" s="118"/>
      <c r="V181" s="118"/>
      <c r="W181" s="118"/>
      <c r="X181" s="118"/>
      <c r="Y181" s="118"/>
      <c r="Z181" s="118"/>
      <c r="AA181" s="118"/>
    </row>
    <row r="182" spans="8:27" ht="12.75">
      <c r="H182" s="118"/>
      <c r="I182" s="118"/>
      <c r="J182" s="118"/>
      <c r="K182" s="118"/>
      <c r="L182" s="118"/>
      <c r="M182" s="118"/>
      <c r="N182" s="118"/>
      <c r="O182" s="118"/>
      <c r="P182" s="118"/>
      <c r="Q182" s="118"/>
      <c r="R182" s="118"/>
      <c r="S182" s="118"/>
      <c r="T182" s="118"/>
      <c r="U182" s="118"/>
      <c r="V182" s="118"/>
      <c r="W182" s="118"/>
      <c r="X182" s="118"/>
      <c r="Y182" s="118"/>
      <c r="Z182" s="118"/>
      <c r="AA182" s="118"/>
    </row>
    <row r="183" spans="8:27" ht="12.75">
      <c r="H183" s="118"/>
      <c r="I183" s="118"/>
      <c r="J183" s="118"/>
      <c r="K183" s="118"/>
      <c r="L183" s="118"/>
      <c r="M183" s="118"/>
      <c r="N183" s="118"/>
      <c r="O183" s="118"/>
      <c r="P183" s="118"/>
      <c r="Q183" s="118"/>
      <c r="R183" s="118"/>
      <c r="S183" s="118"/>
      <c r="T183" s="118"/>
      <c r="U183" s="118"/>
      <c r="V183" s="118"/>
      <c r="W183" s="118"/>
      <c r="X183" s="118"/>
      <c r="Y183" s="118"/>
      <c r="Z183" s="118"/>
      <c r="AA183" s="118"/>
    </row>
    <row r="184" spans="8:27" ht="12.75">
      <c r="H184" s="118"/>
      <c r="I184" s="118"/>
      <c r="J184" s="118"/>
      <c r="K184" s="118"/>
      <c r="L184" s="118"/>
      <c r="M184" s="118"/>
      <c r="N184" s="118"/>
      <c r="O184" s="118"/>
      <c r="P184" s="118"/>
      <c r="Q184" s="118"/>
      <c r="R184" s="118"/>
      <c r="S184" s="118"/>
      <c r="T184" s="118"/>
      <c r="U184" s="118"/>
      <c r="V184" s="118"/>
      <c r="W184" s="118"/>
      <c r="X184" s="118"/>
      <c r="Y184" s="118"/>
      <c r="Z184" s="118"/>
      <c r="AA184" s="118"/>
    </row>
    <row r="185" spans="8:27" ht="12.75">
      <c r="H185" s="118"/>
      <c r="I185" s="118"/>
      <c r="J185" s="118"/>
      <c r="K185" s="118"/>
      <c r="L185" s="118"/>
      <c r="M185" s="118"/>
      <c r="N185" s="118"/>
      <c r="O185" s="118"/>
      <c r="P185" s="118"/>
      <c r="Q185" s="118"/>
      <c r="R185" s="118"/>
      <c r="S185" s="118"/>
      <c r="T185" s="118"/>
      <c r="U185" s="118"/>
      <c r="V185" s="118"/>
      <c r="W185" s="118"/>
      <c r="X185" s="118"/>
      <c r="Y185" s="118"/>
      <c r="Z185" s="118"/>
      <c r="AA185" s="118"/>
    </row>
    <row r="186" spans="8:27" ht="12.75">
      <c r="H186" s="118"/>
      <c r="I186" s="118"/>
      <c r="J186" s="118"/>
      <c r="K186" s="118"/>
      <c r="L186" s="118"/>
      <c r="M186" s="118"/>
      <c r="N186" s="118"/>
      <c r="O186" s="118"/>
      <c r="P186" s="118"/>
      <c r="Q186" s="118"/>
      <c r="R186" s="118"/>
      <c r="S186" s="118"/>
      <c r="T186" s="118"/>
      <c r="U186" s="118"/>
      <c r="V186" s="118"/>
      <c r="W186" s="118"/>
      <c r="X186" s="118"/>
      <c r="Y186" s="118"/>
      <c r="Z186" s="118"/>
      <c r="AA186" s="118"/>
    </row>
    <row r="187" spans="8:28" ht="12.75">
      <c r="H187" s="118"/>
      <c r="I187" s="118"/>
      <c r="J187" s="118"/>
      <c r="K187" s="118"/>
      <c r="L187" s="118"/>
      <c r="M187" s="118"/>
      <c r="N187" s="118"/>
      <c r="O187" s="118"/>
      <c r="P187" s="118"/>
      <c r="Q187" s="118"/>
      <c r="R187" s="118"/>
      <c r="S187" s="118"/>
      <c r="T187" s="118"/>
      <c r="U187" s="118"/>
      <c r="V187" s="118"/>
      <c r="W187" s="118"/>
      <c r="X187" s="118"/>
      <c r="Y187" s="118"/>
      <c r="Z187" s="118"/>
      <c r="AA187" s="118"/>
      <c r="AB187" s="7"/>
    </row>
    <row r="188" spans="8:28" ht="12.75">
      <c r="H188" s="118"/>
      <c r="I188" s="118"/>
      <c r="J188" s="118"/>
      <c r="K188" s="118"/>
      <c r="L188" s="118"/>
      <c r="M188" s="118"/>
      <c r="N188" s="118"/>
      <c r="O188" s="118"/>
      <c r="P188" s="118"/>
      <c r="Q188" s="118"/>
      <c r="R188" s="118"/>
      <c r="S188" s="118"/>
      <c r="T188" s="118"/>
      <c r="U188" s="118"/>
      <c r="V188" s="118"/>
      <c r="W188" s="118"/>
      <c r="X188" s="118"/>
      <c r="Y188" s="118"/>
      <c r="Z188" s="118"/>
      <c r="AA188" s="118"/>
      <c r="AB188" s="7"/>
    </row>
    <row r="189" spans="8:27" ht="12.75">
      <c r="H189" s="118"/>
      <c r="I189" s="118"/>
      <c r="J189" s="118"/>
      <c r="K189" s="118"/>
      <c r="L189" s="118"/>
      <c r="M189" s="118"/>
      <c r="N189" s="118"/>
      <c r="O189" s="118"/>
      <c r="P189" s="118"/>
      <c r="Q189" s="118"/>
      <c r="R189" s="118"/>
      <c r="S189" s="118"/>
      <c r="T189" s="118"/>
      <c r="U189" s="120"/>
      <c r="V189" s="118"/>
      <c r="W189" s="118"/>
      <c r="X189" s="118"/>
      <c r="Y189" s="118"/>
      <c r="Z189" s="118"/>
      <c r="AA189" s="118"/>
    </row>
    <row r="190" spans="8:27" ht="12.75">
      <c r="H190" s="118"/>
      <c r="I190" s="118"/>
      <c r="J190" s="118"/>
      <c r="K190" s="118"/>
      <c r="L190" s="118"/>
      <c r="M190" s="118"/>
      <c r="N190" s="118"/>
      <c r="O190" s="118"/>
      <c r="P190" s="118"/>
      <c r="Q190" s="118"/>
      <c r="R190" s="118"/>
      <c r="S190" s="118"/>
      <c r="T190" s="118"/>
      <c r="U190" s="120"/>
      <c r="V190" s="118"/>
      <c r="W190" s="118"/>
      <c r="X190" s="118"/>
      <c r="Y190" s="118"/>
      <c r="Z190" s="118"/>
      <c r="AA190" s="118"/>
    </row>
    <row r="191" spans="8:27" ht="12.75">
      <c r="H191" s="118"/>
      <c r="I191" s="118"/>
      <c r="J191" s="118"/>
      <c r="K191" s="118"/>
      <c r="L191" s="118"/>
      <c r="M191" s="118"/>
      <c r="N191" s="118"/>
      <c r="O191" s="118"/>
      <c r="P191" s="118"/>
      <c r="Q191" s="118"/>
      <c r="R191" s="118"/>
      <c r="S191" s="118"/>
      <c r="T191" s="118"/>
      <c r="U191" s="120"/>
      <c r="V191" s="118"/>
      <c r="W191" s="118"/>
      <c r="X191" s="118"/>
      <c r="Y191" s="118"/>
      <c r="Z191" s="118"/>
      <c r="AA191" s="118"/>
    </row>
    <row r="192" spans="8:27" ht="12.75">
      <c r="H192" s="118"/>
      <c r="I192" s="118"/>
      <c r="J192" s="118"/>
      <c r="K192" s="118"/>
      <c r="L192" s="118"/>
      <c r="M192" s="118"/>
      <c r="N192" s="118"/>
      <c r="O192" s="118"/>
      <c r="P192" s="118"/>
      <c r="Q192" s="118"/>
      <c r="R192" s="118"/>
      <c r="S192" s="118"/>
      <c r="T192" s="118"/>
      <c r="U192" s="120"/>
      <c r="V192" s="118"/>
      <c r="W192" s="118"/>
      <c r="X192" s="118"/>
      <c r="Y192" s="118"/>
      <c r="Z192" s="118"/>
      <c r="AA192" s="118"/>
    </row>
    <row r="193" spans="8:27" ht="12.75">
      <c r="H193" s="118"/>
      <c r="I193" s="118"/>
      <c r="J193" s="118"/>
      <c r="K193" s="118"/>
      <c r="L193" s="118"/>
      <c r="M193" s="118"/>
      <c r="N193" s="118"/>
      <c r="O193" s="118"/>
      <c r="P193" s="118"/>
      <c r="Q193" s="118"/>
      <c r="R193" s="118"/>
      <c r="S193" s="118"/>
      <c r="T193" s="118"/>
      <c r="U193" s="120"/>
      <c r="V193" s="118"/>
      <c r="W193" s="118"/>
      <c r="X193" s="118"/>
      <c r="Y193" s="118"/>
      <c r="Z193" s="118"/>
      <c r="AA193" s="118"/>
    </row>
    <row r="194" spans="8:28" ht="12.75">
      <c r="H194" s="118"/>
      <c r="I194" s="118"/>
      <c r="J194" s="118"/>
      <c r="K194" s="118"/>
      <c r="L194" s="118"/>
      <c r="M194" s="118"/>
      <c r="N194" s="118"/>
      <c r="O194" s="118"/>
      <c r="P194" s="118"/>
      <c r="Q194" s="118"/>
      <c r="R194" s="118"/>
      <c r="S194" s="118"/>
      <c r="T194" s="118"/>
      <c r="U194" s="120"/>
      <c r="V194" s="118"/>
      <c r="W194" s="118"/>
      <c r="X194" s="118"/>
      <c r="Y194" s="118"/>
      <c r="Z194" s="118"/>
      <c r="AA194" s="118"/>
      <c r="AB194" s="118"/>
    </row>
    <row r="195" spans="8:28" ht="12.75">
      <c r="H195" s="118"/>
      <c r="I195" s="118"/>
      <c r="J195" s="118"/>
      <c r="K195" s="118"/>
      <c r="L195" s="118"/>
      <c r="M195" s="118"/>
      <c r="N195" s="118"/>
      <c r="O195" s="118"/>
      <c r="P195" s="118"/>
      <c r="Q195" s="118"/>
      <c r="R195" s="118"/>
      <c r="S195" s="118"/>
      <c r="T195" s="118"/>
      <c r="U195" s="118"/>
      <c r="V195" s="118"/>
      <c r="W195" s="118"/>
      <c r="X195" s="118"/>
      <c r="Y195" s="118"/>
      <c r="Z195" s="118"/>
      <c r="AA195" s="118"/>
      <c r="AB195" s="118"/>
    </row>
    <row r="196" spans="8:28" ht="12.75">
      <c r="H196" s="118"/>
      <c r="I196" s="118"/>
      <c r="J196" s="118"/>
      <c r="K196" s="118"/>
      <c r="L196" s="118"/>
      <c r="M196" s="118"/>
      <c r="N196" s="118"/>
      <c r="O196" s="118"/>
      <c r="P196" s="118"/>
      <c r="Q196" s="118"/>
      <c r="R196" s="118"/>
      <c r="S196" s="118"/>
      <c r="T196" s="118"/>
      <c r="U196" s="118"/>
      <c r="V196" s="118"/>
      <c r="W196" s="118"/>
      <c r="X196" s="118"/>
      <c r="Y196" s="118"/>
      <c r="Z196" s="118"/>
      <c r="AA196" s="118"/>
      <c r="AB196" s="118"/>
    </row>
    <row r="198" ht="12.75">
      <c r="U198" s="7"/>
    </row>
    <row r="199" ht="12.75">
      <c r="U199" s="7"/>
    </row>
    <row r="200" ht="12.75">
      <c r="U200" s="7"/>
    </row>
    <row r="201" ht="12.75">
      <c r="U201" s="7"/>
    </row>
    <row r="202" ht="12.75">
      <c r="U202" s="7"/>
    </row>
    <row r="203" ht="12.75">
      <c r="U203" s="7"/>
    </row>
  </sheetData>
  <sheetProtection password="E1E4" sheet="1" selectLockedCells="1"/>
  <mergeCells count="12">
    <mergeCell ref="C56:D56"/>
    <mergeCell ref="C57:D57"/>
    <mergeCell ref="A1:Q1"/>
    <mergeCell ref="O3:P3"/>
    <mergeCell ref="G104:I104"/>
    <mergeCell ref="G92:I92"/>
    <mergeCell ref="B87:C87"/>
    <mergeCell ref="C51:D51"/>
    <mergeCell ref="C52:D52"/>
    <mergeCell ref="C53:D53"/>
    <mergeCell ref="C54:D54"/>
    <mergeCell ref="C55:D55"/>
  </mergeCells>
  <conditionalFormatting sqref="E70">
    <cfRule type="expression" priority="56" dxfId="14" stopIfTrue="1">
      <formula>E65="Type 3"</formula>
    </cfRule>
  </conditionalFormatting>
  <conditionalFormatting sqref="E68">
    <cfRule type="expression" priority="51" dxfId="14" stopIfTrue="1">
      <formula>E65="Type 2"</formula>
    </cfRule>
  </conditionalFormatting>
  <conditionalFormatting sqref="E69">
    <cfRule type="expression" priority="52" dxfId="15" stopIfTrue="1">
      <formula>E65="Type 2"</formula>
    </cfRule>
  </conditionalFormatting>
  <conditionalFormatting sqref="E71">
    <cfRule type="expression" priority="50" dxfId="16" stopIfTrue="1">
      <formula>E65="Type 3"</formula>
    </cfRule>
  </conditionalFormatting>
  <conditionalFormatting sqref="E72">
    <cfRule type="expression" priority="49" dxfId="14" stopIfTrue="1">
      <formula>E65="Type 3"</formula>
    </cfRule>
  </conditionalFormatting>
  <conditionalFormatting sqref="E73">
    <cfRule type="expression" priority="48" dxfId="17" stopIfTrue="1">
      <formula>E65="Type 3"</formula>
    </cfRule>
  </conditionalFormatting>
  <conditionalFormatting sqref="E74:E75">
    <cfRule type="expression" priority="47" dxfId="14" stopIfTrue="1">
      <formula>E65="Type 3"</formula>
    </cfRule>
  </conditionalFormatting>
  <conditionalFormatting sqref="E66">
    <cfRule type="expression" priority="46" dxfId="6" stopIfTrue="1">
      <formula>E65="Type 3"</formula>
    </cfRule>
  </conditionalFormatting>
  <conditionalFormatting sqref="E67">
    <cfRule type="expression" priority="45" dxfId="5" stopIfTrue="1">
      <formula>E65="Type 3"</formula>
    </cfRule>
  </conditionalFormatting>
  <conditionalFormatting sqref="E51">
    <cfRule type="expression" priority="42" dxfId="0" stopIfTrue="1">
      <formula>$E$51&lt;0</formula>
    </cfRule>
  </conditionalFormatting>
  <conditionalFormatting sqref="AD57">
    <cfRule type="cellIs" priority="15" dxfId="3" operator="greaterThanOrEqual" stopIfTrue="1">
      <formula>1500</formula>
    </cfRule>
  </conditionalFormatting>
  <conditionalFormatting sqref="AD56">
    <cfRule type="cellIs" priority="14" dxfId="0" operator="greaterThanOrEqual" stopIfTrue="1">
      <formula>2500</formula>
    </cfRule>
  </conditionalFormatting>
  <conditionalFormatting sqref="AD51">
    <cfRule type="expression" priority="3" dxfId="0" stopIfTrue="1">
      <formula>$E$51&lt;0</formula>
    </cfRule>
  </conditionalFormatting>
  <conditionalFormatting sqref="E56">
    <cfRule type="expression" priority="1" dxfId="0" stopIfTrue="1">
      <formula>$X$58&gt;2.12</formula>
    </cfRule>
  </conditionalFormatting>
  <dataValidations count="16">
    <dataValidation type="decimal" allowBlank="1" showInputMessage="1" showErrorMessage="1" errorTitle="Nominal Input Voltage Error." error="The nominal input voltage must be between the minimum and maximum input voltages." sqref="E20 AD20">
      <formula1>E19</formula1>
      <formula2>E21</formula2>
    </dataValidation>
    <dataValidation type="decimal" allowBlank="1" showInputMessage="1" showErrorMessage="1" errorTitle="Maximum Input Voltage Error." error="The maximum input voltage must be no less than the nominal input voltage, and  no greater than 65V." sqref="E21 AD21">
      <formula1>E20</formula1>
      <formula2>65</formula2>
    </dataValidation>
    <dataValidation errorStyle="warning" type="decimal" operator="greaterThanOrEqual" allowBlank="1" showInputMessage="1" showErrorMessage="1" errorTitle="Cout Value Warning" error="A value smaller than the recommended value will result in higher ripple at Vout, and will affect transient response." sqref="AD77">
      <formula1>AD76</formula1>
    </dataValidation>
    <dataValidation errorStyle="warning" type="decimal" operator="greaterThanOrEqual" allowBlank="1" showInputMessage="1" showErrorMessage="1" errorTitle="Input Capacitor Value Warning" error="The selected value should generally be larger than the recommended minimum value to prevent the lower peak of the input ripple voltage from reaching the UVLO threshold." sqref="AD84">
      <formula1>AD83</formula1>
    </dataValidation>
    <dataValidation errorStyle="warning" type="decimal" operator="greaterThanOrEqual" allowBlank="1" showInputMessage="1" showErrorMessage="1" errorTitle="R3 Value Error!" error="The selected value for R3 may result in insufficient ripple voltage at the FB Pin. The switching waveform at SW may be jittery." sqref="E67 AD67">
      <formula1>E66</formula1>
    </dataValidation>
    <dataValidation errorStyle="warning" type="decimal" operator="lessThanOrEqual" allowBlank="1" showInputMessage="1" showErrorMessage="1" errorTitle="Possible Load Current Violation." error="Typically the maximum load current should not exceed 1.5A." sqref="AD25 AD22:AD23 E25 AD27:AD31">
      <formula1>1500</formula1>
    </dataValidation>
    <dataValidation errorStyle="warning" type="decimal" operator="lessThanOrEqual" allowBlank="1" showInputMessage="1" showErrorMessage="1" errorTitle="Switching Frequency Error." error="The selected switching frequency is greater than the maximum allowed frequency based on the input voltage range and the minimum on-time and minimum off-time. The output voltage and/or frequency may be incorrect." sqref="E42 AD42">
      <formula1>S103</formula1>
    </dataValidation>
    <dataValidation errorStyle="warning" type="decimal" operator="greaterThanOrEqual" allowBlank="1" showInputMessage="1" showErrorMessage="1" errorTitle="Ron Value Warning" error="The selected value for Ron will result in a nominal frequency higher than the maximum allowed frequency, resulting in possible errors in Vout." sqref="E44 AD44">
      <formula1>S107</formula1>
    </dataValidation>
    <dataValidation type="decimal" operator="greaterThanOrEqual" allowBlank="1" showInputMessage="1" showErrorMessage="1" errorTitle="Minimum Input Voltage error." error="The minimum input voltage must be the larger of 4.5V and the Desired Output Voltage (Vout)." sqref="E19 AD19">
      <formula1>S161</formula1>
    </dataValidation>
    <dataValidation type="decimal" operator="lessThan" allowBlank="1" showInputMessage="1" showErrorMessage="1" errorTitle="Net Load Current Violation." error="Typically, the net load current has to be less than the High side peak current for finite primary side inductance ripple" sqref="AD24">
      <formula1>1.8</formula1>
    </dataValidation>
    <dataValidation type="decimal" operator="lessThan" allowBlank="1" showInputMessage="1" showErrorMessage="1" sqref="R42">
      <formula1>1.8</formula1>
    </dataValidation>
    <dataValidation errorStyle="warning" type="decimal" operator="lessThanOrEqual" allowBlank="1" errorTitle="Possible Load Current Violation." error="Typically the maximum load current should not exceed 1.5A." sqref="E29:E32 E23 AD32">
      <formula1>1500</formula1>
    </dataValidation>
    <dataValidation allowBlank="1" sqref="E26:E28 E22 E52"/>
    <dataValidation type="decimal" operator="lessThanOrEqual" allowBlank="1" showInputMessage="1" showErrorMessage="1" errorTitle="Net Load Current Violation." error="The net load current has to be less than the MAXIMUM load current capability of the part" sqref="E24">
      <formula1>1.5</formula1>
    </dataValidation>
    <dataValidation errorStyle="warning" type="decimal" operator="greaterThan" allowBlank="1" showInputMessage="1" showErrorMessage="1" error="The primary side peak current limit is more than 1.8A" sqref="E56">
      <formula1>1.8</formula1>
    </dataValidation>
    <dataValidation errorStyle="warning" type="decimal" operator="greaterThanOrEqual" allowBlank="1" showInputMessage="1" showErrorMessage="1" errorTitle="Input Capacitor Value Warning" error="The selected value should generally be larger than the recommended minimum value to prevent the lower peak of the input ripple voltage from reaching the Vin UVLO threshold." sqref="E84">
      <formula1>E83</formula1>
    </dataValidation>
  </dataValidations>
  <printOptions/>
  <pageMargins left="0.25" right="2.5" top="0.75" bottom="0.75" header="0.3" footer="0.3"/>
  <pageSetup fitToHeight="6" fitToWidth="2" horizontalDpi="600" verticalDpi="600" orientation="landscape" scale="40" r:id="rId5"/>
  <rowBreaks count="2" manualBreakCount="2">
    <brk id="62" max="255" man="1"/>
    <brk id="118" max="255" man="1"/>
  </rowBreaks>
  <colBreaks count="1" manualBreakCount="1">
    <brk id="14" max="65535" man="1"/>
  </colBreaks>
  <ignoredErrors>
    <ignoredError sqref="R52 X56:X58 P90 S105:S117 J132 S135:S142 S145:S148 R68 R79:U82 T49:T50 S122:S125 T68 T70 S98:S103 AD76:AD107 R53:T60 R29 AD19:AD74 R37 R41 S151:S156" evalError="1"/>
  </ignoredErrors>
  <drawing r:id="rId4"/>
  <legacyDrawing r:id="rId3"/>
  <oleObjects>
    <oleObject progId="Visio.Drawing.11" shapeId="120052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ssen</dc:creator>
  <cp:keywords/>
  <dc:description/>
  <cp:lastModifiedBy>Windows User</cp:lastModifiedBy>
  <cp:lastPrinted>2014-06-10T17:57:50Z</cp:lastPrinted>
  <dcterms:created xsi:type="dcterms:W3CDTF">2009-06-05T18:08:56Z</dcterms:created>
  <dcterms:modified xsi:type="dcterms:W3CDTF">2018-11-09T10:44:05Z</dcterms:modified>
  <cp:category/>
  <cp:version/>
  <cp:contentType/>
  <cp:contentStatus/>
</cp:coreProperties>
</file>