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a0499631\TI Drive\517X\LM5170\e2e\"/>
    </mc:Choice>
  </mc:AlternateContent>
  <xr:revisionPtr revIDLastSave="0" documentId="13_ncr:1_{7942BC1F-E5B3-4350-996C-A4E0B7C334E9}" xr6:coauthVersionLast="36" xr6:coauthVersionMax="36" xr10:uidLastSave="{00000000-0000-0000-0000-000000000000}"/>
  <workbookProtection workbookPassword="E1A4" lockStructure="1"/>
  <bookViews>
    <workbookView xWindow="360" yWindow="630" windowWidth="11115" windowHeight="4605" xr2:uid="{00000000-000D-0000-FFFF-FFFF00000000}"/>
  </bookViews>
  <sheets>
    <sheet name="Design_Converter" sheetId="1" r:id="rId1"/>
    <sheet name="Calculations" sheetId="2" state="hidden" r:id="rId2"/>
    <sheet name="Compensation" sheetId="6" state="hidden" r:id="rId3"/>
    <sheet name="Comp_Compare" sheetId="8" state="hidden" r:id="rId4"/>
    <sheet name="Constants" sheetId="4" state="hidden" r:id="rId5"/>
    <sheet name="Lists" sheetId="7" state="hidden" r:id="rId6"/>
    <sheet name="Schematic" sheetId="5" state="hidden" r:id="rId7"/>
  </sheets>
  <externalReferences>
    <externalReference r:id="rId8"/>
  </externalReferences>
  <definedNames>
    <definedName name="_xlnm._FilterDatabase" localSheetId="4" hidden="1">Constants!$A$1:$E$33</definedName>
    <definedName name="Acs">Constants!$C$5</definedName>
    <definedName name="Fsw">Calculations!$B$15</definedName>
    <definedName name="gm">Constants!$C$4</definedName>
    <definedName name="I_Channel">Calculations!$B$29</definedName>
    <definedName name="I_Channel_Design">Calculations!$B$25</definedName>
    <definedName name="I_Channel_Peak_No_Ilimit">Calculations!$B$65</definedName>
    <definedName name="I_Channel_Peak_Select">Calculations!$B$67</definedName>
    <definedName name="I_Channel_Select">Compensation!#REF!</definedName>
    <definedName name="I12_Select">Design_Converter!#REF!</definedName>
    <definedName name="I48_Select">Design_Converter!#REF!</definedName>
    <definedName name="IL_Comp_Ccomp">Calculations!$B$146*(10^(-9))</definedName>
    <definedName name="IL_Comp_Chf">Calculations!$B$148*(10^-9)</definedName>
    <definedName name="IL_Comp_Rcomp">Calculations!$B$144*1000</definedName>
    <definedName name="ISETA_Max">Constants!$C$46</definedName>
    <definedName name="Lm">Calculations!$B$38*(10^-6)</definedName>
    <definedName name="Lm_DCR">Design_Converter!$B$38/(1000)</definedName>
    <definedName name="np">Calculations!$B$24</definedName>
    <definedName name="np_select">Compensation!#REF!</definedName>
    <definedName name="Ramp_C">Design_Converter!$B$62*(10^(-9))</definedName>
    <definedName name="Ramp_R">Design_Converter!$B$64*1000</definedName>
    <definedName name="Rcs">Calculations!$B$28/1000</definedName>
    <definedName name="Schematic">INDIRECT(Schematic!$A$2)</definedName>
    <definedName name="schematic_1">Schematic!$B$4</definedName>
    <definedName name="V12_Max">Calculations!$B$13</definedName>
    <definedName name="V12_Min">Calculations!$B$11</definedName>
    <definedName name="V12_Nom">Calculations!$B$12</definedName>
    <definedName name="V12_Select">Compensation!#REF!</definedName>
    <definedName name="V12_Vripple">Design_Converter!#REF!</definedName>
    <definedName name="V48_Max">Calculations!$B$9</definedName>
    <definedName name="V48_Min">Calculations!$B$7</definedName>
    <definedName name="V48_Nom">Calculations!$B$8</definedName>
    <definedName name="V48_Select">Compensation!#REF!</definedName>
    <definedName name="V48_Vripple">Design_Converter!#REF!</definedName>
    <definedName name="VCS_Max">50*(10^-3)</definedName>
    <definedName name="Vo_CompII_Boost_Ccomp">Compensation!#REF!*(10^(-9))</definedName>
    <definedName name="Vo_CompII_Boost_Chf">Compensation!#REF!*(10^(-9))</definedName>
    <definedName name="Vo_CompII_Boost_Rcomp">Compensation!#REF!*1000</definedName>
    <definedName name="Vo_CompII_Boost_Rfb_Bottom">Compensation!#REF!*1000</definedName>
    <definedName name="Vo_CompII_Boost_Rfb_Top">Compensation!#REF!*1000</definedName>
    <definedName name="Vo_CompII_Buck_Ccomp">Compensation!#REF!*(10^(-9))</definedName>
    <definedName name="Vo_CompII_Buck_Chf">Compensation!#REF!*(10^(-9))</definedName>
    <definedName name="Vo_CompII_Buck_Rcomp">Compensation!#REF!*1000</definedName>
    <definedName name="Vo_CompII_Buck_Rfb_Bottom">Compensation!#REF!*1000</definedName>
    <definedName name="Vo_CompII_Buck_Rfb_Top">Compensation!#REF!*1000</definedName>
    <definedName name="Zo_Boost_Cout">Design_Converter!$B$56*(10^(-6))</definedName>
    <definedName name="Zo_Boost_Resr">Design_Converter!$B$57/1000</definedName>
    <definedName name="Zo_Buck_Cout">Design_Converter!$B$53/(10^6)</definedName>
    <definedName name="Zo_Buck_Resr">Design_Converter!$B$54/1000</definedName>
  </definedNames>
  <calcPr calcId="191029"/>
</workbook>
</file>

<file path=xl/calcChain.xml><?xml version="1.0" encoding="utf-8"?>
<calcChain xmlns="http://schemas.openxmlformats.org/spreadsheetml/2006/main">
  <c r="B189" i="2" l="1"/>
  <c r="B197" i="2"/>
  <c r="B175" i="2" l="1"/>
  <c r="B173" i="2"/>
  <c r="B171" i="2"/>
  <c r="B165" i="2"/>
  <c r="B134" i="6" s="1"/>
  <c r="C134" i="6" s="1"/>
  <c r="B163" i="2"/>
  <c r="B160" i="2"/>
  <c r="B158" i="2"/>
  <c r="B157" i="2"/>
  <c r="B199" i="2"/>
  <c r="B195" i="2"/>
  <c r="B181" i="2"/>
  <c r="B182" i="2"/>
  <c r="B184" i="2"/>
  <c r="U134" i="6" l="1"/>
  <c r="V134" i="6" s="1"/>
  <c r="B176" i="2"/>
  <c r="B177" i="2"/>
  <c r="B201" i="2"/>
  <c r="B224" i="6"/>
  <c r="C224" i="6" s="1"/>
  <c r="B165" i="1" l="1"/>
  <c r="B136" i="6"/>
  <c r="C136" i="6" s="1"/>
  <c r="U136" i="6" s="1"/>
  <c r="B164" i="1"/>
  <c r="B135" i="6"/>
  <c r="C135" i="6" s="1"/>
  <c r="U135" i="6" s="1"/>
  <c r="B184" i="1"/>
  <c r="B226" i="6"/>
  <c r="C226" i="6" s="1"/>
  <c r="W134" i="6"/>
  <c r="C79" i="6"/>
  <c r="U79" i="6" s="1"/>
  <c r="W79" i="6" s="1"/>
  <c r="C80" i="6"/>
  <c r="U80" i="6" s="1"/>
  <c r="V80" i="6" s="1"/>
  <c r="C81" i="6"/>
  <c r="U81" i="6" s="1"/>
  <c r="V81" i="6" s="1"/>
  <c r="C82" i="6"/>
  <c r="U82" i="6" s="1"/>
  <c r="W82" i="6" s="1"/>
  <c r="C83" i="6"/>
  <c r="U83" i="6" s="1"/>
  <c r="W83" i="6" s="1"/>
  <c r="C84" i="6"/>
  <c r="U84" i="6" s="1"/>
  <c r="W84" i="6" s="1"/>
  <c r="C85" i="6"/>
  <c r="U85" i="6" s="1"/>
  <c r="V85" i="6" s="1"/>
  <c r="C86" i="6"/>
  <c r="U86" i="6" s="1"/>
  <c r="W86" i="6" s="1"/>
  <c r="C87" i="6"/>
  <c r="U87" i="6" s="1"/>
  <c r="V87" i="6" s="1"/>
  <c r="C88" i="6"/>
  <c r="U88" i="6" s="1"/>
  <c r="W88" i="6" s="1"/>
  <c r="C89" i="6"/>
  <c r="U89" i="6" s="1"/>
  <c r="W89" i="6" s="1"/>
  <c r="C90" i="6"/>
  <c r="U90" i="6" s="1"/>
  <c r="V90" i="6" s="1"/>
  <c r="C91" i="6"/>
  <c r="U91" i="6" s="1"/>
  <c r="W91" i="6" s="1"/>
  <c r="C92" i="6"/>
  <c r="U92" i="6" s="1"/>
  <c r="W92" i="6" s="1"/>
  <c r="C93" i="6"/>
  <c r="U93" i="6" s="1"/>
  <c r="W93" i="6" s="1"/>
  <c r="C94" i="6"/>
  <c r="U94" i="6" s="1"/>
  <c r="V94" i="6" s="1"/>
  <c r="C95" i="6"/>
  <c r="U95" i="6" s="1"/>
  <c r="V95" i="6" s="1"/>
  <c r="C96" i="6"/>
  <c r="U96" i="6" s="1"/>
  <c r="V96" i="6" s="1"/>
  <c r="C97" i="6"/>
  <c r="U97" i="6" s="1"/>
  <c r="W97" i="6" s="1"/>
  <c r="C98" i="6"/>
  <c r="U98" i="6" s="1"/>
  <c r="V98" i="6" s="1"/>
  <c r="C99" i="6"/>
  <c r="U99" i="6" s="1"/>
  <c r="W99" i="6" s="1"/>
  <c r="C100" i="6"/>
  <c r="U100" i="6" s="1"/>
  <c r="W100" i="6" s="1"/>
  <c r="C101" i="6"/>
  <c r="U101" i="6" s="1"/>
  <c r="W101" i="6" s="1"/>
  <c r="C102" i="6"/>
  <c r="U102" i="6" s="1"/>
  <c r="V102" i="6" s="1"/>
  <c r="C103" i="6"/>
  <c r="U103" i="6" s="1"/>
  <c r="W103" i="6" s="1"/>
  <c r="C104" i="6"/>
  <c r="U104" i="6" s="1"/>
  <c r="V104" i="6" s="1"/>
  <c r="C105" i="6"/>
  <c r="U105" i="6" s="1"/>
  <c r="W105" i="6" s="1"/>
  <c r="C106" i="6"/>
  <c r="U106" i="6" s="1"/>
  <c r="V106" i="6" s="1"/>
  <c r="C107" i="6"/>
  <c r="U107" i="6" s="1"/>
  <c r="V107" i="6" s="1"/>
  <c r="C108" i="6"/>
  <c r="U108" i="6" s="1"/>
  <c r="W108" i="6" s="1"/>
  <c r="C109" i="6"/>
  <c r="U109" i="6" s="1"/>
  <c r="W109" i="6" s="1"/>
  <c r="C110" i="6"/>
  <c r="U110" i="6" s="1"/>
  <c r="V110" i="6" s="1"/>
  <c r="C111" i="6"/>
  <c r="U111" i="6" s="1"/>
  <c r="V111" i="6" s="1"/>
  <c r="C112" i="6"/>
  <c r="U112" i="6" s="1"/>
  <c r="V112" i="6" s="1"/>
  <c r="C113" i="6"/>
  <c r="U113" i="6" s="1"/>
  <c r="W113" i="6" s="1"/>
  <c r="C114" i="6"/>
  <c r="U114" i="6" s="1"/>
  <c r="V114" i="6" s="1"/>
  <c r="C115" i="6"/>
  <c r="U115" i="6" s="1"/>
  <c r="V115" i="6" s="1"/>
  <c r="C116" i="6"/>
  <c r="U116" i="6" s="1"/>
  <c r="V116" i="6" s="1"/>
  <c r="C117" i="6"/>
  <c r="U117" i="6" s="1"/>
  <c r="W117" i="6" s="1"/>
  <c r="C118" i="6"/>
  <c r="U118" i="6" s="1"/>
  <c r="V118" i="6" s="1"/>
  <c r="C119" i="6"/>
  <c r="U119" i="6" s="1"/>
  <c r="W119" i="6" s="1"/>
  <c r="C120" i="6"/>
  <c r="U120" i="6" s="1"/>
  <c r="V120" i="6" s="1"/>
  <c r="C121" i="6"/>
  <c r="U121" i="6" s="1"/>
  <c r="V121" i="6" s="1"/>
  <c r="C122" i="6"/>
  <c r="U122" i="6" s="1"/>
  <c r="V122" i="6" s="1"/>
  <c r="C123" i="6"/>
  <c r="U123" i="6" s="1"/>
  <c r="W123" i="6" s="1"/>
  <c r="C124" i="6"/>
  <c r="U124" i="6" s="1"/>
  <c r="V124" i="6" s="1"/>
  <c r="C125" i="6"/>
  <c r="U125" i="6" s="1"/>
  <c r="W125" i="6" s="1"/>
  <c r="C126" i="6"/>
  <c r="U126" i="6" s="1"/>
  <c r="V126" i="6" s="1"/>
  <c r="C127" i="6"/>
  <c r="U127" i="6" s="1"/>
  <c r="V127" i="6" s="1"/>
  <c r="C128" i="6"/>
  <c r="U128" i="6" s="1"/>
  <c r="V128" i="6" s="1"/>
  <c r="C129" i="6"/>
  <c r="U129" i="6" s="1"/>
  <c r="W129" i="6" s="1"/>
  <c r="C130" i="6"/>
  <c r="U130" i="6" s="1"/>
  <c r="V130" i="6" s="1"/>
  <c r="C131" i="6"/>
  <c r="U131" i="6" s="1"/>
  <c r="V131" i="6" s="1"/>
  <c r="C132" i="6"/>
  <c r="U132" i="6" s="1"/>
  <c r="W132" i="6" s="1"/>
  <c r="C133" i="6"/>
  <c r="U133" i="6" s="1"/>
  <c r="W133" i="6" s="1"/>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B66" i="2"/>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B148" i="2"/>
  <c r="B146" i="2"/>
  <c r="B144" i="2"/>
  <c r="B140" i="2"/>
  <c r="B164" i="2" s="1"/>
  <c r="B156" i="1" s="1"/>
  <c r="B135" i="2"/>
  <c r="C31" i="4"/>
  <c r="C32" i="4"/>
  <c r="B107" i="2"/>
  <c r="B105" i="2"/>
  <c r="B104" i="2"/>
  <c r="B130" i="2"/>
  <c r="C30" i="4"/>
  <c r="C29" i="4"/>
  <c r="C27" i="4"/>
  <c r="B128" i="2"/>
  <c r="B127" i="2"/>
  <c r="W95" i="6" l="1"/>
  <c r="V92" i="6"/>
  <c r="W90" i="6"/>
  <c r="W98" i="6"/>
  <c r="W87" i="6"/>
  <c r="W122" i="6"/>
  <c r="W130" i="6"/>
  <c r="W116" i="6"/>
  <c r="V79" i="6"/>
  <c r="V84" i="6"/>
  <c r="W94" i="6"/>
  <c r="V91" i="6"/>
  <c r="V132" i="6"/>
  <c r="V108" i="6"/>
  <c r="V100" i="6"/>
  <c r="V82" i="6"/>
  <c r="W120" i="6"/>
  <c r="W121" i="6"/>
  <c r="V97" i="6"/>
  <c r="W115" i="6"/>
  <c r="V103" i="6"/>
  <c r="W104" i="6"/>
  <c r="W124" i="6"/>
  <c r="W107" i="6"/>
  <c r="V129" i="6"/>
  <c r="W127" i="6"/>
  <c r="W131" i="6"/>
  <c r="V99" i="6"/>
  <c r="W81" i="6"/>
  <c r="V123" i="6"/>
  <c r="V93" i="6"/>
  <c r="V125" i="6"/>
  <c r="V117" i="6"/>
  <c r="V119" i="6"/>
  <c r="W106" i="6"/>
  <c r="V113" i="6"/>
  <c r="V83" i="6"/>
  <c r="V89" i="6"/>
  <c r="W114" i="6"/>
  <c r="V109" i="6"/>
  <c r="W118" i="6"/>
  <c r="W110" i="6"/>
  <c r="W102" i="6"/>
  <c r="W128" i="6"/>
  <c r="V133" i="6"/>
  <c r="V105" i="6"/>
  <c r="V88" i="6"/>
  <c r="W112" i="6"/>
  <c r="V86" i="6"/>
  <c r="W126" i="6"/>
  <c r="W85" i="6"/>
  <c r="W80" i="6"/>
  <c r="V101" i="6"/>
  <c r="W111" i="6"/>
  <c r="W96" i="6"/>
  <c r="V136" i="6"/>
  <c r="W136" i="6"/>
  <c r="W135" i="6"/>
  <c r="V135" i="6"/>
  <c r="B150" i="2"/>
  <c r="B149" i="2"/>
  <c r="D128" i="2"/>
  <c r="B121" i="2"/>
  <c r="B75" i="2"/>
  <c r="B69" i="2"/>
  <c r="C22" i="4"/>
  <c r="B144" i="1" l="1"/>
  <c r="AA10" i="6"/>
  <c r="AB10" i="6" s="1"/>
  <c r="B145" i="1"/>
  <c r="AA11" i="6"/>
  <c r="AB11" i="6" s="1"/>
  <c r="C48" i="4"/>
  <c r="B117" i="2"/>
  <c r="B115" i="2"/>
  <c r="B85" i="2"/>
  <c r="B122" i="2" l="1"/>
  <c r="B118" i="1" s="1"/>
  <c r="B120" i="2"/>
  <c r="B115" i="1" s="1"/>
  <c r="D115" i="2"/>
  <c r="C13" i="4"/>
  <c r="B103" i="2"/>
  <c r="B101" i="2"/>
  <c r="B100" i="2"/>
  <c r="B99" i="2"/>
  <c r="B109" i="2" l="1"/>
  <c r="B103" i="1" s="1"/>
  <c r="B108" i="2"/>
  <c r="B102" i="1" s="1"/>
  <c r="B106" i="2"/>
  <c r="B100" i="1" s="1"/>
  <c r="B111" i="2"/>
  <c r="B105" i="1" s="1"/>
  <c r="B102" i="2"/>
  <c r="B96" i="1" s="1"/>
  <c r="B95" i="2"/>
  <c r="B93" i="2"/>
  <c r="B91" i="2"/>
  <c r="C20" i="4"/>
  <c r="C19" i="4"/>
  <c r="B89" i="2"/>
  <c r="B90" i="2" s="1"/>
  <c r="B81" i="1" s="1"/>
  <c r="B110" i="2" l="1"/>
  <c r="B104" i="1" s="1"/>
  <c r="B94" i="2"/>
  <c r="B86" i="1" s="1"/>
  <c r="B92" i="2"/>
  <c r="B83" i="1" s="1"/>
  <c r="B96" i="2"/>
  <c r="B88" i="1" s="1"/>
  <c r="B38" i="2"/>
  <c r="B36" i="2"/>
  <c r="B28" i="2"/>
  <c r="B24" i="2"/>
  <c r="B22" i="2"/>
  <c r="B15" i="2"/>
  <c r="N134" i="6" l="1"/>
  <c r="N227" i="6"/>
  <c r="N136" i="6"/>
  <c r="N226" i="6"/>
  <c r="N137" i="6"/>
  <c r="N135" i="6"/>
  <c r="N228" i="6"/>
  <c r="N225" i="6"/>
  <c r="B193" i="2"/>
  <c r="B169" i="2"/>
  <c r="N172" i="6"/>
  <c r="N180" i="6"/>
  <c r="N188" i="6"/>
  <c r="N196" i="6"/>
  <c r="N204" i="6"/>
  <c r="N212" i="6"/>
  <c r="N220" i="6"/>
  <c r="N81" i="6"/>
  <c r="N85" i="6"/>
  <c r="N89" i="6"/>
  <c r="N93" i="6"/>
  <c r="N97" i="6"/>
  <c r="N101" i="6"/>
  <c r="N105" i="6"/>
  <c r="N109" i="6"/>
  <c r="N113" i="6"/>
  <c r="N117" i="6"/>
  <c r="N121" i="6"/>
  <c r="N125" i="6"/>
  <c r="N129" i="6"/>
  <c r="N133" i="6"/>
  <c r="N173" i="6"/>
  <c r="N181" i="6"/>
  <c r="N189" i="6"/>
  <c r="N197" i="6"/>
  <c r="N205" i="6"/>
  <c r="N213" i="6"/>
  <c r="N221" i="6"/>
  <c r="N79" i="6"/>
  <c r="N174" i="6"/>
  <c r="N182" i="6"/>
  <c r="N190" i="6"/>
  <c r="N198" i="6"/>
  <c r="N206" i="6"/>
  <c r="N214" i="6"/>
  <c r="N222" i="6"/>
  <c r="N176" i="6"/>
  <c r="N184" i="6"/>
  <c r="N192" i="6"/>
  <c r="N200" i="6"/>
  <c r="N208" i="6"/>
  <c r="N216" i="6"/>
  <c r="N169" i="6"/>
  <c r="N83" i="6"/>
  <c r="N87" i="6"/>
  <c r="N91" i="6"/>
  <c r="N95" i="6"/>
  <c r="N99" i="6"/>
  <c r="N103" i="6"/>
  <c r="N107" i="6"/>
  <c r="N111" i="6"/>
  <c r="N115" i="6"/>
  <c r="N119" i="6"/>
  <c r="N123" i="6"/>
  <c r="N127" i="6"/>
  <c r="N131" i="6"/>
  <c r="N177" i="6"/>
  <c r="N185" i="6"/>
  <c r="N193" i="6"/>
  <c r="N201" i="6"/>
  <c r="N209" i="6"/>
  <c r="N217" i="6"/>
  <c r="N170" i="6"/>
  <c r="N178" i="6"/>
  <c r="N186" i="6"/>
  <c r="N194" i="6"/>
  <c r="N202" i="6"/>
  <c r="N210" i="6"/>
  <c r="N218" i="6"/>
  <c r="N80" i="6"/>
  <c r="N90" i="6"/>
  <c r="N106" i="6"/>
  <c r="N122" i="6"/>
  <c r="N175" i="6"/>
  <c r="N207" i="6"/>
  <c r="N92" i="6"/>
  <c r="N108" i="6"/>
  <c r="N124" i="6"/>
  <c r="N179" i="6"/>
  <c r="N211" i="6"/>
  <c r="N224" i="6"/>
  <c r="N94" i="6"/>
  <c r="N110" i="6"/>
  <c r="N126" i="6"/>
  <c r="N183" i="6"/>
  <c r="N215" i="6"/>
  <c r="N96" i="6"/>
  <c r="N112" i="6"/>
  <c r="N128" i="6"/>
  <c r="N187" i="6"/>
  <c r="N219" i="6"/>
  <c r="N82" i="6"/>
  <c r="N98" i="6"/>
  <c r="N114" i="6"/>
  <c r="N130" i="6"/>
  <c r="N191" i="6"/>
  <c r="N223" i="6"/>
  <c r="N84" i="6"/>
  <c r="N100" i="6"/>
  <c r="N116" i="6"/>
  <c r="N132" i="6"/>
  <c r="N195" i="6"/>
  <c r="N86" i="6"/>
  <c r="N102" i="6"/>
  <c r="N118" i="6"/>
  <c r="N199" i="6"/>
  <c r="N88" i="6"/>
  <c r="N104" i="6"/>
  <c r="N120" i="6"/>
  <c r="N171" i="6"/>
  <c r="N203" i="6"/>
  <c r="B70" i="2"/>
  <c r="B48" i="1" s="1"/>
  <c r="B137" i="2"/>
  <c r="AA9" i="6" s="1"/>
  <c r="AB9" i="6" s="1"/>
  <c r="B139" i="2"/>
  <c r="B136" i="1" s="1"/>
  <c r="B136" i="2"/>
  <c r="B142" i="2"/>
  <c r="B29" i="2"/>
  <c r="B12" i="2"/>
  <c r="B13" i="2"/>
  <c r="B11" i="2"/>
  <c r="B8" i="2"/>
  <c r="M228" i="6" s="1"/>
  <c r="B9" i="2"/>
  <c r="M137" i="6" s="1"/>
  <c r="B7" i="2"/>
  <c r="A2" i="5"/>
  <c r="M135" i="6" l="1"/>
  <c r="M227" i="6"/>
  <c r="M225" i="6"/>
  <c r="M226" i="6"/>
  <c r="M136" i="6"/>
  <c r="B159" i="2"/>
  <c r="B154" i="1" s="1"/>
  <c r="M89" i="6"/>
  <c r="M134" i="6"/>
  <c r="M223" i="6"/>
  <c r="B183" i="2"/>
  <c r="B173" i="1" s="1"/>
  <c r="M189" i="6"/>
  <c r="M172" i="6"/>
  <c r="M184" i="6"/>
  <c r="M202" i="6"/>
  <c r="M193" i="6"/>
  <c r="M215" i="6"/>
  <c r="M190" i="6"/>
  <c r="M111" i="6"/>
  <c r="M118" i="6"/>
  <c r="M86" i="6"/>
  <c r="M113" i="6"/>
  <c r="M200" i="6"/>
  <c r="M219" i="6"/>
  <c r="M96" i="6"/>
  <c r="M194" i="6"/>
  <c r="M185" i="6"/>
  <c r="M107" i="6"/>
  <c r="M199" i="6"/>
  <c r="M114" i="6"/>
  <c r="M82" i="6"/>
  <c r="M182" i="6"/>
  <c r="M181" i="6"/>
  <c r="M109" i="6"/>
  <c r="B18" i="2"/>
  <c r="B52" i="2"/>
  <c r="M212" i="6"/>
  <c r="M196" i="6"/>
  <c r="M211" i="6"/>
  <c r="M124" i="6"/>
  <c r="M92" i="6"/>
  <c r="M186" i="6"/>
  <c r="M177" i="6"/>
  <c r="M103" i="6"/>
  <c r="M191" i="6"/>
  <c r="M110" i="6"/>
  <c r="M224" i="6"/>
  <c r="M174" i="6"/>
  <c r="M173" i="6"/>
  <c r="M105" i="6"/>
  <c r="B58" i="2"/>
  <c r="M180" i="6"/>
  <c r="M169" i="6"/>
  <c r="M203" i="6"/>
  <c r="M120" i="6"/>
  <c r="M88" i="6"/>
  <c r="M178" i="6"/>
  <c r="M131" i="6"/>
  <c r="M99" i="6"/>
  <c r="M183" i="6"/>
  <c r="M106" i="6"/>
  <c r="M207" i="6"/>
  <c r="M133" i="6"/>
  <c r="M101" i="6"/>
  <c r="M100" i="6"/>
  <c r="M81" i="6"/>
  <c r="B56" i="2"/>
  <c r="B57" i="2" s="1"/>
  <c r="B53" i="2"/>
  <c r="B54" i="2" s="1"/>
  <c r="B50" i="2"/>
  <c r="B51" i="2" s="1"/>
  <c r="M128" i="6"/>
  <c r="B55" i="2"/>
  <c r="B43" i="2"/>
  <c r="B46" i="2"/>
  <c r="B49" i="2"/>
  <c r="M192" i="6"/>
  <c r="M116" i="6"/>
  <c r="M170" i="6"/>
  <c r="M95" i="6"/>
  <c r="M102" i="6"/>
  <c r="M221" i="6"/>
  <c r="M129" i="6"/>
  <c r="M176" i="6"/>
  <c r="M220" i="6"/>
  <c r="M187" i="6"/>
  <c r="M112" i="6"/>
  <c r="M80" i="6"/>
  <c r="M217" i="6"/>
  <c r="M123" i="6"/>
  <c r="M91" i="6"/>
  <c r="M130" i="6"/>
  <c r="M98" i="6"/>
  <c r="M214" i="6"/>
  <c r="M213" i="6"/>
  <c r="M125" i="6"/>
  <c r="M93" i="6"/>
  <c r="M79" i="6"/>
  <c r="M188" i="6"/>
  <c r="M179" i="6"/>
  <c r="M108" i="6"/>
  <c r="M218" i="6"/>
  <c r="M209" i="6"/>
  <c r="M119" i="6"/>
  <c r="M87" i="6"/>
  <c r="M126" i="6"/>
  <c r="M94" i="6"/>
  <c r="M206" i="6"/>
  <c r="M205" i="6"/>
  <c r="M121" i="6"/>
  <c r="O99" i="2"/>
  <c r="O83" i="2"/>
  <c r="O68" i="2"/>
  <c r="B47" i="2"/>
  <c r="O67" i="2"/>
  <c r="O105" i="2"/>
  <c r="O81" i="2"/>
  <c r="O69" i="2"/>
  <c r="O98" i="2"/>
  <c r="O74" i="2"/>
  <c r="O89" i="2"/>
  <c r="O66" i="2"/>
  <c r="O104" i="2"/>
  <c r="O80" i="2"/>
  <c r="O107" i="2"/>
  <c r="O75" i="2"/>
  <c r="O90" i="2"/>
  <c r="O88" i="2"/>
  <c r="O65" i="2"/>
  <c r="O111" i="2"/>
  <c r="O103" i="2"/>
  <c r="O95" i="2"/>
  <c r="O87" i="2"/>
  <c r="O79" i="2"/>
  <c r="O72" i="2"/>
  <c r="O64" i="2"/>
  <c r="O110" i="2"/>
  <c r="O102" i="2"/>
  <c r="O94" i="2"/>
  <c r="O86" i="2"/>
  <c r="O78" i="2"/>
  <c r="O71" i="2"/>
  <c r="O63" i="2"/>
  <c r="O109" i="2"/>
  <c r="O101" i="2"/>
  <c r="O93" i="2"/>
  <c r="O85" i="2"/>
  <c r="O77" i="2"/>
  <c r="O70" i="2"/>
  <c r="O62" i="2"/>
  <c r="O108" i="2"/>
  <c r="O100" i="2"/>
  <c r="O92" i="2"/>
  <c r="O84" i="2"/>
  <c r="O76" i="2"/>
  <c r="B64" i="2"/>
  <c r="B123" i="2" s="1"/>
  <c r="B117" i="1" s="1"/>
  <c r="O91" i="2"/>
  <c r="O106" i="2"/>
  <c r="O82" i="2"/>
  <c r="O97" i="2"/>
  <c r="O73" i="2"/>
  <c r="O96" i="2"/>
  <c r="B80" i="2"/>
  <c r="M132" i="6"/>
  <c r="M208" i="6"/>
  <c r="M195" i="6"/>
  <c r="M84" i="6"/>
  <c r="M127" i="6"/>
  <c r="M175" i="6"/>
  <c r="M222" i="6"/>
  <c r="M97" i="6"/>
  <c r="M204" i="6"/>
  <c r="M216" i="6"/>
  <c r="M171" i="6"/>
  <c r="M104" i="6"/>
  <c r="M210" i="6"/>
  <c r="M201" i="6"/>
  <c r="M115" i="6"/>
  <c r="M83" i="6"/>
  <c r="M122" i="6"/>
  <c r="M90" i="6"/>
  <c r="M198" i="6"/>
  <c r="M197" i="6"/>
  <c r="M117" i="6"/>
  <c r="M85" i="6"/>
  <c r="B76" i="2"/>
  <c r="B31" i="2"/>
  <c r="B30" i="1" s="1"/>
  <c r="D21" i="6"/>
  <c r="D45" i="6"/>
  <c r="D14" i="6"/>
  <c r="D22" i="6"/>
  <c r="D30" i="6"/>
  <c r="D38" i="6"/>
  <c r="D46" i="6"/>
  <c r="D54" i="6"/>
  <c r="D62" i="6"/>
  <c r="D25" i="6"/>
  <c r="D10" i="6"/>
  <c r="D34" i="6"/>
  <c r="D50" i="6"/>
  <c r="D58" i="6"/>
  <c r="D11" i="6"/>
  <c r="D15" i="6"/>
  <c r="D19" i="6"/>
  <c r="D23" i="6"/>
  <c r="D27" i="6"/>
  <c r="D31" i="6"/>
  <c r="D35" i="6"/>
  <c r="D39" i="6"/>
  <c r="D43" i="6"/>
  <c r="D47" i="6"/>
  <c r="D51" i="6"/>
  <c r="D55" i="6"/>
  <c r="D59" i="6"/>
  <c r="B138" i="2"/>
  <c r="D13" i="6"/>
  <c r="D29" i="6"/>
  <c r="D42" i="6"/>
  <c r="D53" i="6"/>
  <c r="D61" i="6"/>
  <c r="D8" i="6"/>
  <c r="D12" i="6"/>
  <c r="D16" i="6"/>
  <c r="D20" i="6"/>
  <c r="D24" i="6"/>
  <c r="D28" i="6"/>
  <c r="D32" i="6"/>
  <c r="D36" i="6"/>
  <c r="D40" i="6"/>
  <c r="D44" i="6"/>
  <c r="D48" i="6"/>
  <c r="D52" i="6"/>
  <c r="D56" i="6"/>
  <c r="D60" i="6"/>
  <c r="D9" i="6"/>
  <c r="D17" i="6"/>
  <c r="D33" i="6"/>
  <c r="D41" i="6"/>
  <c r="D49" i="6"/>
  <c r="D57" i="6"/>
  <c r="D18" i="6"/>
  <c r="D26" i="6"/>
  <c r="D37" i="6"/>
  <c r="B135" i="1"/>
  <c r="B141" i="2"/>
  <c r="B30" i="2"/>
  <c r="B32" i="2" s="1"/>
  <c r="B23" i="2"/>
  <c r="B83" i="2"/>
  <c r="C33" i="4"/>
  <c r="B86" i="2" s="1"/>
  <c r="B75" i="1" s="1"/>
  <c r="B84" i="2" l="1"/>
  <c r="F13" i="6"/>
  <c r="E13" i="6"/>
  <c r="E41" i="6"/>
  <c r="F41" i="6"/>
  <c r="E48" i="6"/>
  <c r="F48" i="6"/>
  <c r="E16" i="6"/>
  <c r="F16" i="6"/>
  <c r="E31" i="6"/>
  <c r="F31" i="6"/>
  <c r="E34" i="6"/>
  <c r="F34" i="6"/>
  <c r="E22" i="6"/>
  <c r="F22" i="6"/>
  <c r="E33" i="6"/>
  <c r="F33" i="6"/>
  <c r="E44" i="6"/>
  <c r="F44" i="6"/>
  <c r="E12" i="6"/>
  <c r="F12" i="6"/>
  <c r="E59" i="6"/>
  <c r="F59" i="6"/>
  <c r="E27" i="6"/>
  <c r="F27" i="6"/>
  <c r="E10" i="6"/>
  <c r="F10" i="6"/>
  <c r="E14" i="6"/>
  <c r="F14" i="6"/>
  <c r="E52" i="6"/>
  <c r="F52" i="6"/>
  <c r="E50" i="6"/>
  <c r="F50" i="6"/>
  <c r="F8" i="6"/>
  <c r="E8" i="6"/>
  <c r="E25" i="6"/>
  <c r="F25" i="6"/>
  <c r="E9" i="6"/>
  <c r="F9" i="6"/>
  <c r="F51" i="6"/>
  <c r="E51" i="6"/>
  <c r="F21" i="6"/>
  <c r="E21" i="6"/>
  <c r="E26" i="6"/>
  <c r="F26" i="6"/>
  <c r="E32" i="6"/>
  <c r="F32" i="6"/>
  <c r="F53" i="6"/>
  <c r="E53" i="6"/>
  <c r="E47" i="6"/>
  <c r="F47" i="6"/>
  <c r="F15" i="6"/>
  <c r="E15" i="6"/>
  <c r="E54" i="6"/>
  <c r="F54" i="6"/>
  <c r="E49" i="6"/>
  <c r="F49" i="6"/>
  <c r="F35" i="6"/>
  <c r="E35" i="6"/>
  <c r="E40" i="6"/>
  <c r="F40" i="6"/>
  <c r="E23" i="6"/>
  <c r="F23" i="6"/>
  <c r="E36" i="6"/>
  <c r="F36" i="6"/>
  <c r="F19" i="6"/>
  <c r="E19" i="6"/>
  <c r="E18" i="6"/>
  <c r="F18" i="6"/>
  <c r="E60" i="6"/>
  <c r="F60" i="6"/>
  <c r="E28" i="6"/>
  <c r="F28" i="6"/>
  <c r="E42" i="6"/>
  <c r="F42" i="6"/>
  <c r="E43" i="6"/>
  <c r="F43" i="6"/>
  <c r="F11" i="6"/>
  <c r="E11" i="6"/>
  <c r="E46" i="6"/>
  <c r="F46" i="6"/>
  <c r="E20" i="6"/>
  <c r="F20" i="6"/>
  <c r="E30" i="6"/>
  <c r="F30" i="6"/>
  <c r="E17" i="6"/>
  <c r="F17" i="6"/>
  <c r="F55" i="6"/>
  <c r="E55" i="6"/>
  <c r="F45" i="6"/>
  <c r="E45" i="6"/>
  <c r="F37" i="6"/>
  <c r="E37" i="6"/>
  <c r="F61" i="6"/>
  <c r="E61" i="6"/>
  <c r="E62" i="6"/>
  <c r="F62" i="6"/>
  <c r="E57" i="6"/>
  <c r="F57" i="6"/>
  <c r="E56" i="6"/>
  <c r="F56" i="6"/>
  <c r="E24" i="6"/>
  <c r="F24" i="6"/>
  <c r="F29" i="6"/>
  <c r="E29" i="6"/>
  <c r="E39" i="6"/>
  <c r="F39" i="6"/>
  <c r="E58" i="6"/>
  <c r="F58" i="6"/>
  <c r="E38" i="6"/>
  <c r="F38" i="6"/>
  <c r="B73" i="1"/>
  <c r="B77" i="2" l="1"/>
  <c r="B63" i="1"/>
  <c r="B79" i="2"/>
  <c r="B78" i="2"/>
  <c r="B17" i="2"/>
  <c r="D15" i="2"/>
  <c r="B48" i="2"/>
  <c r="B41" i="2"/>
  <c r="B42" i="2" s="1"/>
  <c r="B44" i="2"/>
  <c r="B45" i="2" s="1"/>
  <c r="B39"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62" i="2"/>
  <c r="AD61" i="2"/>
  <c r="B29" i="1"/>
  <c r="AN84" i="2" l="1"/>
  <c r="AM84" i="2"/>
  <c r="AO84" i="2" s="1"/>
  <c r="AP84" i="2" s="1"/>
  <c r="AM107" i="2"/>
  <c r="AO107" i="2" s="1"/>
  <c r="AP107" i="2" s="1"/>
  <c r="AN107" i="2"/>
  <c r="AM99" i="2"/>
  <c r="AO99" i="2" s="1"/>
  <c r="AP99" i="2" s="1"/>
  <c r="AN99" i="2"/>
  <c r="AN91" i="2"/>
  <c r="AM91" i="2"/>
  <c r="AO91" i="2" s="1"/>
  <c r="AP91" i="2" s="1"/>
  <c r="AN83" i="2"/>
  <c r="AM83" i="2"/>
  <c r="AO83" i="2" s="1"/>
  <c r="AP83" i="2" s="1"/>
  <c r="AN75" i="2"/>
  <c r="AM75" i="2"/>
  <c r="AO75" i="2" s="1"/>
  <c r="AP75" i="2" s="1"/>
  <c r="AM67" i="2"/>
  <c r="AO67" i="2" s="1"/>
  <c r="AP67" i="2" s="1"/>
  <c r="AN67" i="2"/>
  <c r="AN93" i="2"/>
  <c r="AM93" i="2"/>
  <c r="AO93" i="2" s="1"/>
  <c r="AP93" i="2" s="1"/>
  <c r="AN69" i="2"/>
  <c r="AM69" i="2"/>
  <c r="AO69" i="2" s="1"/>
  <c r="AP69" i="2" s="1"/>
  <c r="AM90" i="2"/>
  <c r="AO90" i="2" s="1"/>
  <c r="AP90" i="2" s="1"/>
  <c r="AN90" i="2"/>
  <c r="AN66" i="2"/>
  <c r="AM66" i="2"/>
  <c r="AO66" i="2" s="1"/>
  <c r="AP66" i="2" s="1"/>
  <c r="AM61" i="2"/>
  <c r="AO61" i="2" s="1"/>
  <c r="AP61" i="2" s="1"/>
  <c r="AN61" i="2"/>
  <c r="AM89" i="2"/>
  <c r="AO89" i="2" s="1"/>
  <c r="AP89" i="2" s="1"/>
  <c r="AN89" i="2"/>
  <c r="AN65" i="2"/>
  <c r="AM65" i="2"/>
  <c r="AO65" i="2" s="1"/>
  <c r="AP65" i="2" s="1"/>
  <c r="AM96" i="2"/>
  <c r="AO96" i="2" s="1"/>
  <c r="AP96" i="2" s="1"/>
  <c r="AN96" i="2"/>
  <c r="AN101" i="2"/>
  <c r="AM101" i="2"/>
  <c r="AO101" i="2" s="1"/>
  <c r="AP101" i="2" s="1"/>
  <c r="AN77" i="2"/>
  <c r="AM77" i="2"/>
  <c r="AO77" i="2" s="1"/>
  <c r="AP77" i="2" s="1"/>
  <c r="AM108" i="2"/>
  <c r="AO108" i="2" s="1"/>
  <c r="AP108" i="2" s="1"/>
  <c r="AN108" i="2"/>
  <c r="AM92" i="2"/>
  <c r="AO92" i="2" s="1"/>
  <c r="AP92" i="2" s="1"/>
  <c r="AN92" i="2"/>
  <c r="AM76" i="2"/>
  <c r="AO76" i="2" s="1"/>
  <c r="AP76" i="2" s="1"/>
  <c r="AN76" i="2"/>
  <c r="AN106" i="2"/>
  <c r="AM106" i="2"/>
  <c r="AO106" i="2" s="1"/>
  <c r="AP106" i="2" s="1"/>
  <c r="AM82" i="2"/>
  <c r="AO82" i="2" s="1"/>
  <c r="AP82" i="2" s="1"/>
  <c r="AN82" i="2"/>
  <c r="AN74" i="2"/>
  <c r="AM74" i="2"/>
  <c r="AO74" i="2" s="1"/>
  <c r="AP74" i="2" s="1"/>
  <c r="AM97" i="2"/>
  <c r="AO97" i="2" s="1"/>
  <c r="AP97" i="2" s="1"/>
  <c r="AN97" i="2"/>
  <c r="AN73" i="2"/>
  <c r="AM73" i="2"/>
  <c r="AO73" i="2" s="1"/>
  <c r="AP73" i="2" s="1"/>
  <c r="AN88" i="2"/>
  <c r="AM88" i="2"/>
  <c r="AO88" i="2" s="1"/>
  <c r="AP88" i="2" s="1"/>
  <c r="AM111" i="2"/>
  <c r="AO111" i="2" s="1"/>
  <c r="AP111" i="2" s="1"/>
  <c r="AN111" i="2"/>
  <c r="AN103" i="2"/>
  <c r="AM103" i="2"/>
  <c r="AO103" i="2" s="1"/>
  <c r="AP103" i="2" s="1"/>
  <c r="AM95" i="2"/>
  <c r="AO95" i="2" s="1"/>
  <c r="AP95" i="2" s="1"/>
  <c r="AN95" i="2"/>
  <c r="AN87" i="2"/>
  <c r="AM87" i="2"/>
  <c r="AO87" i="2" s="1"/>
  <c r="AP87" i="2" s="1"/>
  <c r="AM79" i="2"/>
  <c r="AO79" i="2" s="1"/>
  <c r="AP79" i="2" s="1"/>
  <c r="AN79" i="2"/>
  <c r="AM71" i="2"/>
  <c r="AO71" i="2" s="1"/>
  <c r="AP71" i="2" s="1"/>
  <c r="AN71" i="2"/>
  <c r="AN63" i="2"/>
  <c r="AM63" i="2"/>
  <c r="AO63" i="2" s="1"/>
  <c r="AP63" i="2" s="1"/>
  <c r="AN109" i="2"/>
  <c r="AM109" i="2"/>
  <c r="AO109" i="2" s="1"/>
  <c r="AP109" i="2" s="1"/>
  <c r="AM85" i="2"/>
  <c r="AO85" i="2" s="1"/>
  <c r="AP85" i="2" s="1"/>
  <c r="AN85" i="2"/>
  <c r="AM100" i="2"/>
  <c r="AO100" i="2" s="1"/>
  <c r="AP100" i="2" s="1"/>
  <c r="AN100" i="2"/>
  <c r="AM68" i="2"/>
  <c r="AO68" i="2" s="1"/>
  <c r="AP68" i="2" s="1"/>
  <c r="AN68" i="2"/>
  <c r="AN98" i="2"/>
  <c r="AM98" i="2"/>
  <c r="AO98" i="2" s="1"/>
  <c r="AP98" i="2" s="1"/>
  <c r="AN105" i="2"/>
  <c r="AM105" i="2"/>
  <c r="AO105" i="2" s="1"/>
  <c r="AP105" i="2" s="1"/>
  <c r="AM81" i="2"/>
  <c r="AO81" i="2" s="1"/>
  <c r="AP81" i="2" s="1"/>
  <c r="AN81" i="2"/>
  <c r="AN62" i="2"/>
  <c r="AM62" i="2"/>
  <c r="AO62" i="2" s="1"/>
  <c r="AP62" i="2" s="1"/>
  <c r="AM104" i="2"/>
  <c r="AO104" i="2" s="1"/>
  <c r="AP104" i="2" s="1"/>
  <c r="AN104" i="2"/>
  <c r="AN80" i="2"/>
  <c r="AM80" i="2"/>
  <c r="AO80" i="2" s="1"/>
  <c r="AP80" i="2" s="1"/>
  <c r="AN72" i="2"/>
  <c r="AM72" i="2"/>
  <c r="AO72" i="2" s="1"/>
  <c r="AP72" i="2" s="1"/>
  <c r="AM64" i="2"/>
  <c r="AO64" i="2" s="1"/>
  <c r="AP64" i="2" s="1"/>
  <c r="AN64" i="2"/>
  <c r="AN110" i="2"/>
  <c r="AM110" i="2"/>
  <c r="AO110" i="2" s="1"/>
  <c r="AP110" i="2" s="1"/>
  <c r="AN102" i="2"/>
  <c r="AM102" i="2"/>
  <c r="AO102" i="2" s="1"/>
  <c r="AP102" i="2" s="1"/>
  <c r="AN94" i="2"/>
  <c r="AM94" i="2"/>
  <c r="AO94" i="2" s="1"/>
  <c r="AP94" i="2" s="1"/>
  <c r="AN86" i="2"/>
  <c r="AM86" i="2"/>
  <c r="AO86" i="2" s="1"/>
  <c r="AP86" i="2" s="1"/>
  <c r="AN78" i="2"/>
  <c r="AM78" i="2"/>
  <c r="AO78" i="2" s="1"/>
  <c r="AP78" i="2" s="1"/>
  <c r="AN70" i="2"/>
  <c r="AM70" i="2"/>
  <c r="AO70" i="2" s="1"/>
  <c r="AP70" i="2" s="1"/>
  <c r="D80" i="2"/>
  <c r="B67" i="1"/>
  <c r="D78" i="2"/>
  <c r="B65" i="1"/>
  <c r="D79" i="2"/>
  <c r="B66" i="1"/>
  <c r="C9" i="4" l="1"/>
  <c r="C23" i="4"/>
  <c r="C26" i="4"/>
  <c r="C15" i="4"/>
  <c r="C25" i="4"/>
  <c r="C24" i="4"/>
  <c r="C21" i="4"/>
  <c r="B116" i="2" l="1"/>
  <c r="B111" i="1" s="1"/>
  <c r="B119" i="2"/>
  <c r="B114" i="1" s="1"/>
  <c r="B118" i="2"/>
  <c r="B129" i="2"/>
  <c r="B125" i="1" s="1"/>
  <c r="B131" i="2"/>
  <c r="B127" i="1" s="1"/>
  <c r="B132" i="2"/>
  <c r="B128" i="1" s="1"/>
  <c r="C17" i="4"/>
  <c r="B16" i="2" s="1"/>
  <c r="B22" i="1" s="1"/>
  <c r="B113" i="1" l="1"/>
  <c r="D118" i="2"/>
  <c r="C4" i="4"/>
  <c r="O128" i="6" l="1"/>
  <c r="O136" i="6"/>
  <c r="O222" i="6"/>
  <c r="O191" i="6"/>
  <c r="O101" i="6"/>
  <c r="O135" i="6"/>
  <c r="O176" i="6"/>
  <c r="O218" i="6"/>
  <c r="O209" i="6"/>
  <c r="O206" i="6"/>
  <c r="O212" i="6"/>
  <c r="O189" i="6"/>
  <c r="O105" i="6"/>
  <c r="O113" i="6"/>
  <c r="O132" i="6"/>
  <c r="O123" i="6"/>
  <c r="O112" i="6"/>
  <c r="O103" i="6"/>
  <c r="O102" i="6"/>
  <c r="O93" i="6"/>
  <c r="O226" i="6"/>
  <c r="O219" i="6"/>
  <c r="O210" i="6"/>
  <c r="O201" i="6"/>
  <c r="O190" i="6"/>
  <c r="O204" i="6"/>
  <c r="O173" i="6"/>
  <c r="O89" i="6"/>
  <c r="O97" i="6"/>
  <c r="O124" i="6"/>
  <c r="O115" i="6"/>
  <c r="O104" i="6"/>
  <c r="O85" i="6"/>
  <c r="O224" i="6"/>
  <c r="O211" i="6"/>
  <c r="O202" i="6"/>
  <c r="O193" i="6"/>
  <c r="O174" i="6"/>
  <c r="O196" i="6"/>
  <c r="O122" i="6"/>
  <c r="O213" i="6"/>
  <c r="O81" i="6"/>
  <c r="O116" i="6"/>
  <c r="O107" i="6"/>
  <c r="O96" i="6"/>
  <c r="O87" i="6"/>
  <c r="O86" i="6"/>
  <c r="O203" i="6"/>
  <c r="O194" i="6"/>
  <c r="O185" i="6"/>
  <c r="O188" i="6"/>
  <c r="O114" i="6"/>
  <c r="O223" i="6"/>
  <c r="O108" i="6"/>
  <c r="O88" i="6"/>
  <c r="O79" i="6"/>
  <c r="O131" i="6"/>
  <c r="O95" i="6"/>
  <c r="O184" i="6"/>
  <c r="O214" i="6"/>
  <c r="O197" i="6"/>
  <c r="O99" i="6"/>
  <c r="O133" i="6"/>
  <c r="O171" i="6"/>
  <c r="O121" i="6"/>
  <c r="O111" i="6"/>
  <c r="O94" i="6"/>
  <c r="O134" i="6"/>
  <c r="O216" i="6"/>
  <c r="O195" i="6"/>
  <c r="O186" i="6"/>
  <c r="O177" i="6"/>
  <c r="O198" i="6"/>
  <c r="O180" i="6"/>
  <c r="O98" i="6"/>
  <c r="O181" i="6"/>
  <c r="O215" i="6"/>
  <c r="O100" i="6"/>
  <c r="O91" i="6"/>
  <c r="O80" i="6"/>
  <c r="O125" i="6"/>
  <c r="O200" i="6"/>
  <c r="O170" i="6"/>
  <c r="O221" i="6"/>
  <c r="O106" i="6"/>
  <c r="O84" i="6"/>
  <c r="O118" i="6"/>
  <c r="O192" i="6"/>
  <c r="O217" i="6"/>
  <c r="O220" i="6"/>
  <c r="O129" i="6"/>
  <c r="O120" i="6"/>
  <c r="O208" i="6"/>
  <c r="O187" i="6"/>
  <c r="O178" i="6"/>
  <c r="O169" i="6"/>
  <c r="O182" i="6"/>
  <c r="O172" i="6"/>
  <c r="O90" i="6"/>
  <c r="O130" i="6"/>
  <c r="O207" i="6"/>
  <c r="O92" i="6"/>
  <c r="O83" i="6"/>
  <c r="O127" i="6"/>
  <c r="O126" i="6"/>
  <c r="O117" i="6"/>
  <c r="O179" i="6"/>
  <c r="O175" i="6"/>
  <c r="O183" i="6"/>
  <c r="O82" i="6"/>
  <c r="O199" i="6"/>
  <c r="O119" i="6"/>
  <c r="O109" i="6"/>
  <c r="O205" i="6"/>
  <c r="O110" i="6"/>
  <c r="G48" i="6"/>
  <c r="G52" i="6"/>
  <c r="G43" i="6"/>
  <c r="G14" i="6"/>
  <c r="G10" i="6"/>
  <c r="G13" i="6"/>
  <c r="G12" i="6"/>
  <c r="G29" i="6"/>
  <c r="G46" i="6"/>
  <c r="G19" i="6"/>
  <c r="G51" i="6"/>
  <c r="G38" i="6"/>
  <c r="G23" i="6"/>
  <c r="G31" i="6"/>
  <c r="G28" i="6"/>
  <c r="G59" i="6"/>
  <c r="G8" i="6"/>
  <c r="G33" i="6"/>
  <c r="G49" i="6"/>
  <c r="G30" i="6"/>
  <c r="G37" i="6"/>
  <c r="G44" i="6"/>
  <c r="G62" i="6"/>
  <c r="G56" i="6"/>
  <c r="G32" i="6"/>
  <c r="G21" i="6"/>
  <c r="G39" i="6"/>
  <c r="G42" i="6"/>
  <c r="G45" i="6"/>
  <c r="G26" i="6"/>
  <c r="G36" i="6"/>
  <c r="G16" i="6"/>
  <c r="G57" i="6"/>
  <c r="G25" i="6"/>
  <c r="G55" i="6"/>
  <c r="G34" i="6"/>
  <c r="G9" i="6"/>
  <c r="G41" i="6"/>
  <c r="G24" i="6"/>
  <c r="G47" i="6"/>
  <c r="G61" i="6"/>
  <c r="G20" i="6"/>
  <c r="G53" i="6"/>
  <c r="G18" i="6"/>
  <c r="G22" i="6"/>
  <c r="G11" i="6"/>
  <c r="G54" i="6"/>
  <c r="G27" i="6"/>
  <c r="G60" i="6"/>
  <c r="G35" i="6"/>
  <c r="G17" i="6"/>
  <c r="G40" i="6"/>
  <c r="G15" i="6"/>
  <c r="G50" i="6"/>
  <c r="G58" i="6"/>
  <c r="AC11" i="6"/>
  <c r="AD11" i="6" s="1"/>
  <c r="AC9" i="6"/>
  <c r="AD9" i="6" s="1"/>
  <c r="B143" i="2"/>
  <c r="AC10" i="6"/>
  <c r="AD10" i="6" s="1"/>
  <c r="O61" i="2"/>
  <c r="I35" i="6" l="1"/>
  <c r="H35" i="6"/>
  <c r="J35" i="6"/>
  <c r="I15" i="6"/>
  <c r="H15" i="6"/>
  <c r="J15" i="6"/>
  <c r="I22" i="6"/>
  <c r="H22" i="6"/>
  <c r="J22" i="6"/>
  <c r="I9" i="6"/>
  <c r="H9" i="6"/>
  <c r="J9" i="6"/>
  <c r="H45" i="6"/>
  <c r="I45" i="6"/>
  <c r="J45" i="6"/>
  <c r="H37" i="6"/>
  <c r="I37" i="6"/>
  <c r="J37" i="6"/>
  <c r="H23" i="6"/>
  <c r="I23" i="6"/>
  <c r="J23" i="6"/>
  <c r="H10" i="6"/>
  <c r="I10" i="6"/>
  <c r="J10" i="6"/>
  <c r="Q119" i="6"/>
  <c r="P119" i="6"/>
  <c r="P127" i="6"/>
  <c r="Q127" i="6"/>
  <c r="P169" i="6"/>
  <c r="Q169" i="6"/>
  <c r="Q192" i="6"/>
  <c r="P192" i="6"/>
  <c r="P80" i="6"/>
  <c r="Q80" i="6"/>
  <c r="P177" i="6"/>
  <c r="Q177" i="6"/>
  <c r="Q171" i="6"/>
  <c r="P171" i="6"/>
  <c r="P79" i="6"/>
  <c r="Q79" i="6"/>
  <c r="Q203" i="6"/>
  <c r="P203" i="6"/>
  <c r="Q122" i="6"/>
  <c r="P122" i="6"/>
  <c r="P104" i="6"/>
  <c r="Q104" i="6"/>
  <c r="P201" i="6"/>
  <c r="Q201" i="6"/>
  <c r="P123" i="6"/>
  <c r="Q123" i="6"/>
  <c r="Q218" i="6"/>
  <c r="P218" i="6"/>
  <c r="H42" i="6"/>
  <c r="I42" i="6"/>
  <c r="J42" i="6"/>
  <c r="H30" i="6"/>
  <c r="I30" i="6"/>
  <c r="J30" i="6"/>
  <c r="J38" i="6"/>
  <c r="H38" i="6"/>
  <c r="I38" i="6"/>
  <c r="H14" i="6"/>
  <c r="I14" i="6"/>
  <c r="J14" i="6"/>
  <c r="P199" i="6"/>
  <c r="Q199" i="6"/>
  <c r="Q83" i="6"/>
  <c r="P83" i="6"/>
  <c r="Q178" i="6"/>
  <c r="P178" i="6"/>
  <c r="P118" i="6"/>
  <c r="Q118" i="6"/>
  <c r="Q91" i="6"/>
  <c r="P91" i="6"/>
  <c r="Q186" i="6"/>
  <c r="P186" i="6"/>
  <c r="P133" i="6"/>
  <c r="Q133" i="6"/>
  <c r="P88" i="6"/>
  <c r="Q88" i="6"/>
  <c r="P86" i="6"/>
  <c r="Q86" i="6"/>
  <c r="P196" i="6"/>
  <c r="Q196" i="6"/>
  <c r="Q115" i="6"/>
  <c r="P115" i="6"/>
  <c r="P210" i="6"/>
  <c r="Q210" i="6"/>
  <c r="P132" i="6"/>
  <c r="Q132" i="6"/>
  <c r="P176" i="6"/>
  <c r="Q176" i="6"/>
  <c r="I17" i="6"/>
  <c r="H17" i="6"/>
  <c r="J17" i="6"/>
  <c r="H53" i="6"/>
  <c r="I53" i="6"/>
  <c r="J53" i="6"/>
  <c r="I55" i="6"/>
  <c r="H55" i="6"/>
  <c r="J55" i="6"/>
  <c r="H39" i="6"/>
  <c r="I39" i="6"/>
  <c r="J39" i="6"/>
  <c r="H49" i="6"/>
  <c r="I49" i="6"/>
  <c r="J49" i="6"/>
  <c r="H51" i="6"/>
  <c r="I51" i="6"/>
  <c r="J51" i="6"/>
  <c r="H43" i="6"/>
  <c r="I43" i="6"/>
  <c r="J43" i="6"/>
  <c r="P82" i="6"/>
  <c r="Q82" i="6"/>
  <c r="Q92" i="6"/>
  <c r="P92" i="6"/>
  <c r="P187" i="6"/>
  <c r="Q187" i="6"/>
  <c r="P84" i="6"/>
  <c r="Q84" i="6"/>
  <c r="P100" i="6"/>
  <c r="Q100" i="6"/>
  <c r="Q195" i="6"/>
  <c r="P195" i="6"/>
  <c r="P99" i="6"/>
  <c r="Q99" i="6"/>
  <c r="P108" i="6"/>
  <c r="Q108" i="6"/>
  <c r="Q87" i="6"/>
  <c r="P87" i="6"/>
  <c r="P174" i="6"/>
  <c r="Q174" i="6"/>
  <c r="P124" i="6"/>
  <c r="Q124" i="6"/>
  <c r="P219" i="6"/>
  <c r="Q219" i="6"/>
  <c r="P113" i="6"/>
  <c r="Q113" i="6"/>
  <c r="P135" i="6"/>
  <c r="Q135" i="6"/>
  <c r="B138" i="1"/>
  <c r="B145" i="2"/>
  <c r="I25" i="6"/>
  <c r="H25" i="6"/>
  <c r="J25" i="6"/>
  <c r="I21" i="6"/>
  <c r="H21" i="6"/>
  <c r="J21" i="6"/>
  <c r="H33" i="6"/>
  <c r="I33" i="6"/>
  <c r="J33" i="6"/>
  <c r="I19" i="6"/>
  <c r="H19" i="6"/>
  <c r="J19" i="6"/>
  <c r="I52" i="6"/>
  <c r="H52" i="6"/>
  <c r="J52" i="6"/>
  <c r="Q183" i="6"/>
  <c r="P183" i="6"/>
  <c r="P207" i="6"/>
  <c r="Q207" i="6"/>
  <c r="P208" i="6"/>
  <c r="Q208" i="6"/>
  <c r="P106" i="6"/>
  <c r="Q106" i="6"/>
  <c r="P215" i="6"/>
  <c r="Q215" i="6"/>
  <c r="P216" i="6"/>
  <c r="Q216" i="6"/>
  <c r="P197" i="6"/>
  <c r="Q197" i="6"/>
  <c r="P223" i="6"/>
  <c r="Q223" i="6"/>
  <c r="P96" i="6"/>
  <c r="Q96" i="6"/>
  <c r="P193" i="6"/>
  <c r="Q193" i="6"/>
  <c r="P97" i="6"/>
  <c r="Q97" i="6"/>
  <c r="Q226" i="6"/>
  <c r="P226" i="6"/>
  <c r="P105" i="6"/>
  <c r="Q105" i="6"/>
  <c r="P101" i="6"/>
  <c r="Q101" i="6"/>
  <c r="I60" i="6"/>
  <c r="H60" i="6"/>
  <c r="J60" i="6"/>
  <c r="I61" i="6"/>
  <c r="H61" i="6"/>
  <c r="J61" i="6"/>
  <c r="I57" i="6"/>
  <c r="H57" i="6"/>
  <c r="J57" i="6"/>
  <c r="H32" i="6"/>
  <c r="I32" i="6"/>
  <c r="J32" i="6"/>
  <c r="H8" i="6"/>
  <c r="I8" i="6"/>
  <c r="J8" i="6"/>
  <c r="H46" i="6"/>
  <c r="I46" i="6"/>
  <c r="J46" i="6"/>
  <c r="I48" i="6"/>
  <c r="H48" i="6"/>
  <c r="J48" i="6"/>
  <c r="P175" i="6"/>
  <c r="Q175" i="6"/>
  <c r="Q130" i="6"/>
  <c r="P130" i="6"/>
  <c r="P120" i="6"/>
  <c r="Q120" i="6"/>
  <c r="P221" i="6"/>
  <c r="Q221" i="6"/>
  <c r="P181" i="6"/>
  <c r="Q181" i="6"/>
  <c r="Q134" i="6"/>
  <c r="P134" i="6"/>
  <c r="Q214" i="6"/>
  <c r="P214" i="6"/>
  <c r="Q114" i="6"/>
  <c r="P114" i="6"/>
  <c r="P107" i="6"/>
  <c r="Q107" i="6"/>
  <c r="P202" i="6"/>
  <c r="Q202" i="6"/>
  <c r="P89" i="6"/>
  <c r="Q89" i="6"/>
  <c r="P93" i="6"/>
  <c r="Q93" i="6"/>
  <c r="P189" i="6"/>
  <c r="Q189" i="6"/>
  <c r="P191" i="6"/>
  <c r="Q191" i="6"/>
  <c r="I18" i="6"/>
  <c r="H18" i="6"/>
  <c r="J18" i="6"/>
  <c r="I27" i="6"/>
  <c r="H27" i="6"/>
  <c r="J27" i="6"/>
  <c r="I47" i="6"/>
  <c r="H47" i="6"/>
  <c r="J47" i="6"/>
  <c r="I16" i="6"/>
  <c r="H16" i="6"/>
  <c r="J16" i="6"/>
  <c r="H56" i="6"/>
  <c r="I56" i="6"/>
  <c r="J56" i="6"/>
  <c r="I59" i="6"/>
  <c r="H59" i="6"/>
  <c r="J59" i="6"/>
  <c r="H29" i="6"/>
  <c r="I29" i="6"/>
  <c r="J29" i="6"/>
  <c r="P110" i="6"/>
  <c r="Q110" i="6"/>
  <c r="Q179" i="6"/>
  <c r="P179" i="6"/>
  <c r="Q90" i="6"/>
  <c r="P90" i="6"/>
  <c r="P129" i="6"/>
  <c r="Q129" i="6"/>
  <c r="Q170" i="6"/>
  <c r="P170" i="6"/>
  <c r="P98" i="6"/>
  <c r="Q98" i="6"/>
  <c r="P94" i="6"/>
  <c r="Q94" i="6"/>
  <c r="P184" i="6"/>
  <c r="Q184" i="6"/>
  <c r="P188" i="6"/>
  <c r="Q188" i="6"/>
  <c r="Q116" i="6"/>
  <c r="P116" i="6"/>
  <c r="P211" i="6"/>
  <c r="Q211" i="6"/>
  <c r="P173" i="6"/>
  <c r="Q173" i="6"/>
  <c r="Q102" i="6"/>
  <c r="P102" i="6"/>
  <c r="P212" i="6"/>
  <c r="Q212" i="6"/>
  <c r="Q222" i="6"/>
  <c r="P222" i="6"/>
  <c r="I40" i="6"/>
  <c r="H40" i="6"/>
  <c r="J40" i="6"/>
  <c r="I20" i="6"/>
  <c r="H20" i="6"/>
  <c r="J20" i="6"/>
  <c r="I58" i="6"/>
  <c r="H58" i="6"/>
  <c r="J58" i="6"/>
  <c r="H54" i="6"/>
  <c r="I54" i="6"/>
  <c r="J54" i="6"/>
  <c r="H24" i="6"/>
  <c r="I24" i="6"/>
  <c r="J24" i="6"/>
  <c r="H36" i="6"/>
  <c r="I36" i="6"/>
  <c r="J36" i="6"/>
  <c r="I62" i="6"/>
  <c r="H62" i="6"/>
  <c r="J62" i="6"/>
  <c r="I28" i="6"/>
  <c r="H28" i="6"/>
  <c r="J28" i="6"/>
  <c r="I12" i="6"/>
  <c r="H12" i="6"/>
  <c r="J12" i="6"/>
  <c r="P205" i="6"/>
  <c r="Q205" i="6"/>
  <c r="Q117" i="6"/>
  <c r="P117" i="6"/>
  <c r="Q172" i="6"/>
  <c r="P172" i="6"/>
  <c r="P220" i="6"/>
  <c r="Q220" i="6"/>
  <c r="P200" i="6"/>
  <c r="Q200" i="6"/>
  <c r="P180" i="6"/>
  <c r="Q180" i="6"/>
  <c r="Q111" i="6"/>
  <c r="P111" i="6"/>
  <c r="Q95" i="6"/>
  <c r="P95" i="6"/>
  <c r="P185" i="6"/>
  <c r="Q185" i="6"/>
  <c r="Q81" i="6"/>
  <c r="P81" i="6"/>
  <c r="Q224" i="6"/>
  <c r="P224" i="6"/>
  <c r="Q204" i="6"/>
  <c r="P204" i="6"/>
  <c r="Q103" i="6"/>
  <c r="P103" i="6"/>
  <c r="P206" i="6"/>
  <c r="Q206" i="6"/>
  <c r="P136" i="6"/>
  <c r="Q136" i="6"/>
  <c r="I34" i="6"/>
  <c r="H34" i="6"/>
  <c r="J34" i="6"/>
  <c r="H50" i="6"/>
  <c r="I50" i="6"/>
  <c r="J50" i="6"/>
  <c r="I11" i="6"/>
  <c r="H11" i="6"/>
  <c r="J11" i="6"/>
  <c r="I41" i="6"/>
  <c r="H41" i="6"/>
  <c r="J41" i="6"/>
  <c r="I26" i="6"/>
  <c r="H26" i="6"/>
  <c r="J26" i="6"/>
  <c r="H44" i="6"/>
  <c r="I44" i="6"/>
  <c r="J44" i="6"/>
  <c r="I31" i="6"/>
  <c r="H31" i="6"/>
  <c r="J31" i="6"/>
  <c r="H13" i="6"/>
  <c r="I13" i="6"/>
  <c r="J13" i="6"/>
  <c r="P109" i="6"/>
  <c r="Q109" i="6"/>
  <c r="P126" i="6"/>
  <c r="Q126" i="6"/>
  <c r="Q182" i="6"/>
  <c r="P182" i="6"/>
  <c r="Q217" i="6"/>
  <c r="P217" i="6"/>
  <c r="Q125" i="6"/>
  <c r="P125" i="6"/>
  <c r="P198" i="6"/>
  <c r="Q198" i="6"/>
  <c r="Q121" i="6"/>
  <c r="P121" i="6"/>
  <c r="Q131" i="6"/>
  <c r="P131" i="6"/>
  <c r="Q194" i="6"/>
  <c r="P194" i="6"/>
  <c r="P213" i="6"/>
  <c r="Q213" i="6"/>
  <c r="P85" i="6"/>
  <c r="Q85" i="6"/>
  <c r="P190" i="6"/>
  <c r="Q190" i="6"/>
  <c r="P112" i="6"/>
  <c r="Q112" i="6"/>
  <c r="Q209" i="6"/>
  <c r="P209" i="6"/>
  <c r="P128" i="6"/>
  <c r="Q128" i="6"/>
  <c r="C3" i="4"/>
  <c r="L11" i="6" l="1"/>
  <c r="K11" i="6"/>
  <c r="K36" i="6"/>
  <c r="L36" i="6"/>
  <c r="L29" i="6"/>
  <c r="K29" i="6"/>
  <c r="K61" i="6"/>
  <c r="L61" i="6"/>
  <c r="K33" i="6"/>
  <c r="L33" i="6"/>
  <c r="K39" i="6"/>
  <c r="L39" i="6"/>
  <c r="K14" i="6"/>
  <c r="L14" i="6"/>
  <c r="L10" i="6"/>
  <c r="K10" i="6"/>
  <c r="L13" i="6"/>
  <c r="K13" i="6"/>
  <c r="K58" i="6"/>
  <c r="L58" i="6"/>
  <c r="K16" i="6"/>
  <c r="L16" i="6"/>
  <c r="K48" i="6"/>
  <c r="L48" i="6"/>
  <c r="B147" i="2"/>
  <c r="B142" i="1" s="1"/>
  <c r="B140" i="1"/>
  <c r="K17" i="6"/>
  <c r="L17" i="6"/>
  <c r="L42" i="6"/>
  <c r="K42" i="6"/>
  <c r="K45" i="6"/>
  <c r="L45" i="6"/>
  <c r="K26" i="6"/>
  <c r="L26" i="6"/>
  <c r="L28" i="6"/>
  <c r="K28" i="6"/>
  <c r="L18" i="6"/>
  <c r="K18" i="6"/>
  <c r="K32" i="6"/>
  <c r="L32" i="6"/>
  <c r="L52" i="6"/>
  <c r="K52" i="6"/>
  <c r="K51" i="6"/>
  <c r="L51" i="6"/>
  <c r="L15" i="6"/>
  <c r="K15" i="6"/>
  <c r="L24" i="6"/>
  <c r="K24" i="6"/>
  <c r="K59" i="6"/>
  <c r="L59" i="6"/>
  <c r="K60" i="6"/>
  <c r="L60" i="6"/>
  <c r="K21" i="6"/>
  <c r="L21" i="6"/>
  <c r="K55" i="6"/>
  <c r="L55" i="6"/>
  <c r="K23" i="6"/>
  <c r="L23" i="6"/>
  <c r="K50" i="6"/>
  <c r="L50" i="6"/>
  <c r="K31" i="6"/>
  <c r="L31" i="6"/>
  <c r="L20" i="6"/>
  <c r="K20" i="6"/>
  <c r="K47" i="6"/>
  <c r="L47" i="6"/>
  <c r="K46" i="6"/>
  <c r="L46" i="6"/>
  <c r="K9" i="6"/>
  <c r="L9" i="6"/>
  <c r="L41" i="6"/>
  <c r="K41" i="6"/>
  <c r="L62" i="6"/>
  <c r="K62" i="6"/>
  <c r="K57" i="6"/>
  <c r="L57" i="6"/>
  <c r="K19" i="6"/>
  <c r="L19" i="6"/>
  <c r="L49" i="6"/>
  <c r="K49" i="6"/>
  <c r="K38" i="6"/>
  <c r="L38" i="6"/>
  <c r="L35" i="6"/>
  <c r="K35" i="6"/>
  <c r="L34" i="6"/>
  <c r="K34" i="6"/>
  <c r="K54" i="6"/>
  <c r="L54" i="6"/>
  <c r="L56" i="6"/>
  <c r="K56" i="6"/>
  <c r="K25" i="6"/>
  <c r="L25" i="6"/>
  <c r="K53" i="6"/>
  <c r="L53" i="6"/>
  <c r="K30" i="6"/>
  <c r="L30" i="6"/>
  <c r="K37" i="6"/>
  <c r="L37" i="6"/>
  <c r="K44" i="6"/>
  <c r="L44" i="6"/>
  <c r="L12" i="6"/>
  <c r="K12" i="6"/>
  <c r="K40" i="6"/>
  <c r="L40" i="6"/>
  <c r="L27" i="6"/>
  <c r="K27" i="6"/>
  <c r="K8" i="6"/>
  <c r="L8" i="6"/>
  <c r="K43" i="6"/>
  <c r="L43" i="6"/>
  <c r="K22" i="6"/>
  <c r="L22" i="6"/>
  <c r="D18" i="2"/>
  <c r="D17"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AJ52" i="2" l="1"/>
  <c r="AL52" i="2" s="1"/>
  <c r="AM52" i="2" s="1"/>
  <c r="AK52" i="2"/>
  <c r="Y52" i="2"/>
  <c r="X52" i="2"/>
  <c r="Z52" i="2" s="1"/>
  <c r="AA52" i="2" s="1"/>
  <c r="AJ44" i="2"/>
  <c r="AL44" i="2" s="1"/>
  <c r="AM44" i="2" s="1"/>
  <c r="AK44" i="2"/>
  <c r="X44" i="2"/>
  <c r="Z44" i="2" s="1"/>
  <c r="AA44" i="2" s="1"/>
  <c r="Y44" i="2"/>
  <c r="AJ36" i="2"/>
  <c r="AL36" i="2" s="1"/>
  <c r="AM36" i="2" s="1"/>
  <c r="AK36" i="2"/>
  <c r="Y36" i="2"/>
  <c r="X36" i="2"/>
  <c r="Z36" i="2" s="1"/>
  <c r="AA36" i="2" s="1"/>
  <c r="AJ28" i="2"/>
  <c r="AL28" i="2" s="1"/>
  <c r="AM28" i="2" s="1"/>
  <c r="AK28" i="2"/>
  <c r="Y28" i="2"/>
  <c r="X28" i="2"/>
  <c r="Z28" i="2" s="1"/>
  <c r="AA28" i="2" s="1"/>
  <c r="AJ20" i="2"/>
  <c r="AL20" i="2" s="1"/>
  <c r="AM20" i="2" s="1"/>
  <c r="AK20" i="2"/>
  <c r="Y20" i="2"/>
  <c r="X20" i="2"/>
  <c r="Z20" i="2" s="1"/>
  <c r="AA20" i="2" s="1"/>
  <c r="AK12" i="2"/>
  <c r="X12" i="2"/>
  <c r="Y12" i="2"/>
  <c r="AJ12" i="2"/>
  <c r="AL12" i="2" s="1"/>
  <c r="AK51" i="2"/>
  <c r="AJ51" i="2"/>
  <c r="AL51" i="2" s="1"/>
  <c r="AM51" i="2" s="1"/>
  <c r="X51" i="2"/>
  <c r="Z51" i="2" s="1"/>
  <c r="AA51" i="2" s="1"/>
  <c r="Y51" i="2"/>
  <c r="AJ43" i="2"/>
  <c r="AL43" i="2" s="1"/>
  <c r="AM43" i="2" s="1"/>
  <c r="Y43" i="2"/>
  <c r="AK43" i="2"/>
  <c r="X43" i="2"/>
  <c r="Z43" i="2" s="1"/>
  <c r="AA43" i="2" s="1"/>
  <c r="Y35" i="2"/>
  <c r="AK35" i="2"/>
  <c r="AJ35" i="2"/>
  <c r="AL35" i="2" s="1"/>
  <c r="AM35" i="2" s="1"/>
  <c r="X35" i="2"/>
  <c r="Z35" i="2" s="1"/>
  <c r="AA35" i="2" s="1"/>
  <c r="AK27" i="2"/>
  <c r="Y27" i="2"/>
  <c r="X27" i="2"/>
  <c r="Z27" i="2" s="1"/>
  <c r="AA27" i="2" s="1"/>
  <c r="AJ27" i="2"/>
  <c r="AL27" i="2" s="1"/>
  <c r="AM27" i="2" s="1"/>
  <c r="Y19" i="2"/>
  <c r="X19" i="2"/>
  <c r="Z19" i="2" s="1"/>
  <c r="AA19" i="2" s="1"/>
  <c r="AJ19" i="2"/>
  <c r="AL19" i="2" s="1"/>
  <c r="AM19" i="2" s="1"/>
  <c r="AK19" i="2"/>
  <c r="Y11" i="2"/>
  <c r="AJ11" i="2"/>
  <c r="AL11" i="2" s="1"/>
  <c r="AK11" i="2"/>
  <c r="X11" i="2"/>
  <c r="Y50" i="2"/>
  <c r="X50" i="2"/>
  <c r="Z50" i="2" s="1"/>
  <c r="AA50" i="2" s="1"/>
  <c r="AJ50" i="2"/>
  <c r="AL50" i="2" s="1"/>
  <c r="AM50" i="2" s="1"/>
  <c r="AK50" i="2"/>
  <c r="AK42" i="2"/>
  <c r="Y42" i="2"/>
  <c r="X42" i="2"/>
  <c r="Z42" i="2" s="1"/>
  <c r="AA42" i="2" s="1"/>
  <c r="AJ42" i="2"/>
  <c r="AL42" i="2" s="1"/>
  <c r="AM42" i="2" s="1"/>
  <c r="X34" i="2"/>
  <c r="Z34" i="2" s="1"/>
  <c r="AA34" i="2" s="1"/>
  <c r="AK34" i="2"/>
  <c r="AJ34" i="2"/>
  <c r="AL34" i="2" s="1"/>
  <c r="AM34" i="2" s="1"/>
  <c r="Y34" i="2"/>
  <c r="X26" i="2"/>
  <c r="Z26" i="2" s="1"/>
  <c r="AA26" i="2" s="1"/>
  <c r="AK26" i="2"/>
  <c r="AJ26" i="2"/>
  <c r="AL26" i="2" s="1"/>
  <c r="AM26" i="2" s="1"/>
  <c r="Y26" i="2"/>
  <c r="X18" i="2"/>
  <c r="Z18" i="2" s="1"/>
  <c r="AA18" i="2" s="1"/>
  <c r="AJ18" i="2"/>
  <c r="AL18" i="2" s="1"/>
  <c r="AK18" i="2"/>
  <c r="Y18" i="2"/>
  <c r="AJ10" i="2"/>
  <c r="AL10" i="2" s="1"/>
  <c r="Y10" i="2"/>
  <c r="AK10" i="2"/>
  <c r="X10" i="2"/>
  <c r="X49" i="2"/>
  <c r="Z49" i="2" s="1"/>
  <c r="AA49" i="2" s="1"/>
  <c r="AJ49" i="2"/>
  <c r="AL49" i="2" s="1"/>
  <c r="AM49" i="2" s="1"/>
  <c r="AK49" i="2"/>
  <c r="Y49" i="2"/>
  <c r="AJ41" i="2"/>
  <c r="AL41" i="2" s="1"/>
  <c r="AM41" i="2" s="1"/>
  <c r="AK41" i="2"/>
  <c r="Y41" i="2"/>
  <c r="X41" i="2"/>
  <c r="Z41" i="2" s="1"/>
  <c r="AA41" i="2" s="1"/>
  <c r="Y33" i="2"/>
  <c r="AJ33" i="2"/>
  <c r="AL33" i="2" s="1"/>
  <c r="AM33" i="2" s="1"/>
  <c r="X33" i="2"/>
  <c r="Z33" i="2" s="1"/>
  <c r="AA33" i="2" s="1"/>
  <c r="AK33" i="2"/>
  <c r="Y25" i="2"/>
  <c r="AJ25" i="2"/>
  <c r="AL25" i="2" s="1"/>
  <c r="AM25" i="2" s="1"/>
  <c r="X25" i="2"/>
  <c r="Z25" i="2" s="1"/>
  <c r="AA25" i="2" s="1"/>
  <c r="AK25" i="2"/>
  <c r="AJ17" i="2"/>
  <c r="AL17" i="2" s="1"/>
  <c r="AK17" i="2"/>
  <c r="Y17" i="2"/>
  <c r="X17" i="2"/>
  <c r="AJ9" i="2"/>
  <c r="AL9" i="2" s="1"/>
  <c r="Y9" i="2"/>
  <c r="AK9" i="2"/>
  <c r="X9" i="2"/>
  <c r="AJ56" i="2"/>
  <c r="AL56" i="2" s="1"/>
  <c r="AM56" i="2" s="1"/>
  <c r="AK56" i="2"/>
  <c r="Y56" i="2"/>
  <c r="X56" i="2"/>
  <c r="Z56" i="2" s="1"/>
  <c r="AA56" i="2" s="1"/>
  <c r="AJ48" i="2"/>
  <c r="AL48" i="2" s="1"/>
  <c r="AM48" i="2" s="1"/>
  <c r="AK48" i="2"/>
  <c r="Y48" i="2"/>
  <c r="X48" i="2"/>
  <c r="Z48" i="2" s="1"/>
  <c r="AA48" i="2" s="1"/>
  <c r="AJ40" i="2"/>
  <c r="AL40" i="2" s="1"/>
  <c r="AM40" i="2" s="1"/>
  <c r="X40" i="2"/>
  <c r="Z40" i="2" s="1"/>
  <c r="AA40" i="2" s="1"/>
  <c r="AK40" i="2"/>
  <c r="Y40" i="2"/>
  <c r="AJ32" i="2"/>
  <c r="AL32" i="2" s="1"/>
  <c r="AM32" i="2" s="1"/>
  <c r="AK32" i="2"/>
  <c r="X32" i="2"/>
  <c r="Z32" i="2" s="1"/>
  <c r="AA32" i="2" s="1"/>
  <c r="Y32" i="2"/>
  <c r="AJ24" i="2"/>
  <c r="AL24" i="2" s="1"/>
  <c r="AM24" i="2" s="1"/>
  <c r="AK24" i="2"/>
  <c r="X24" i="2"/>
  <c r="Z24" i="2" s="1"/>
  <c r="AA24" i="2" s="1"/>
  <c r="Y24" i="2"/>
  <c r="AK16" i="2"/>
  <c r="Y16" i="2"/>
  <c r="X16" i="2"/>
  <c r="AJ16" i="2"/>
  <c r="AL16" i="2" s="1"/>
  <c r="Y8" i="2"/>
  <c r="X8" i="2"/>
  <c r="AJ8" i="2"/>
  <c r="AL8" i="2" s="1"/>
  <c r="AK8" i="2"/>
  <c r="AJ55" i="2"/>
  <c r="AL55" i="2" s="1"/>
  <c r="AM55" i="2" s="1"/>
  <c r="Y55" i="2"/>
  <c r="X55" i="2"/>
  <c r="Z55" i="2" s="1"/>
  <c r="AA55" i="2" s="1"/>
  <c r="AK55" i="2"/>
  <c r="AK47" i="2"/>
  <c r="AJ47" i="2"/>
  <c r="AL47" i="2" s="1"/>
  <c r="AM47" i="2" s="1"/>
  <c r="Y47" i="2"/>
  <c r="X47" i="2"/>
  <c r="Z47" i="2" s="1"/>
  <c r="AA47" i="2" s="1"/>
  <c r="AK39" i="2"/>
  <c r="AJ39" i="2"/>
  <c r="AL39" i="2" s="1"/>
  <c r="AM39" i="2" s="1"/>
  <c r="Y39" i="2"/>
  <c r="X39" i="2"/>
  <c r="Z39" i="2" s="1"/>
  <c r="AA39" i="2" s="1"/>
  <c r="AJ31" i="2"/>
  <c r="AL31" i="2" s="1"/>
  <c r="AM31" i="2" s="1"/>
  <c r="AK31" i="2"/>
  <c r="X31" i="2"/>
  <c r="Z31" i="2" s="1"/>
  <c r="AA31" i="2" s="1"/>
  <c r="Y31" i="2"/>
  <c r="Y23" i="2"/>
  <c r="AJ23" i="2"/>
  <c r="AL23" i="2" s="1"/>
  <c r="AM23" i="2" s="1"/>
  <c r="X23" i="2"/>
  <c r="Z23" i="2" s="1"/>
  <c r="AA23" i="2" s="1"/>
  <c r="AK23" i="2"/>
  <c r="AJ15" i="2"/>
  <c r="AL15" i="2" s="1"/>
  <c r="AK15" i="2"/>
  <c r="Y15" i="2"/>
  <c r="X15" i="2"/>
  <c r="AJ7" i="2"/>
  <c r="AL7" i="2" s="1"/>
  <c r="AK7" i="2"/>
  <c r="Y7" i="2"/>
  <c r="X7" i="2"/>
  <c r="AA7" i="2" s="1"/>
  <c r="AK54" i="2"/>
  <c r="Y54" i="2"/>
  <c r="AJ54" i="2"/>
  <c r="AL54" i="2" s="1"/>
  <c r="AM54" i="2" s="1"/>
  <c r="X54" i="2"/>
  <c r="Z54" i="2" s="1"/>
  <c r="AA54" i="2" s="1"/>
  <c r="Y46" i="2"/>
  <c r="X46" i="2"/>
  <c r="Z46" i="2" s="1"/>
  <c r="AA46" i="2" s="1"/>
  <c r="AK46" i="2"/>
  <c r="AJ46" i="2"/>
  <c r="AL46" i="2" s="1"/>
  <c r="AM46" i="2" s="1"/>
  <c r="X38" i="2"/>
  <c r="Z38" i="2" s="1"/>
  <c r="AA38" i="2" s="1"/>
  <c r="Y38" i="2"/>
  <c r="AJ38" i="2"/>
  <c r="AL38" i="2" s="1"/>
  <c r="AM38" i="2" s="1"/>
  <c r="AK38" i="2"/>
  <c r="X30" i="2"/>
  <c r="Z30" i="2" s="1"/>
  <c r="AA30" i="2" s="1"/>
  <c r="AK30" i="2"/>
  <c r="AJ30" i="2"/>
  <c r="AL30" i="2" s="1"/>
  <c r="AM30" i="2" s="1"/>
  <c r="Y30" i="2"/>
  <c r="X22" i="2"/>
  <c r="Z22" i="2" s="1"/>
  <c r="AA22" i="2" s="1"/>
  <c r="AK22" i="2"/>
  <c r="AJ22" i="2"/>
  <c r="AL22" i="2" s="1"/>
  <c r="AM22" i="2" s="1"/>
  <c r="Y22" i="2"/>
  <c r="Y14" i="2"/>
  <c r="X14" i="2"/>
  <c r="AJ14" i="2"/>
  <c r="AL14" i="2" s="1"/>
  <c r="AK14" i="2"/>
  <c r="X53" i="2"/>
  <c r="Z53" i="2" s="1"/>
  <c r="AA53" i="2" s="1"/>
  <c r="AJ53" i="2"/>
  <c r="AL53" i="2" s="1"/>
  <c r="AM53" i="2" s="1"/>
  <c r="AK53" i="2"/>
  <c r="Y53" i="2"/>
  <c r="X45" i="2"/>
  <c r="Z45" i="2" s="1"/>
  <c r="AA45" i="2" s="1"/>
  <c r="AJ45" i="2"/>
  <c r="AL45" i="2" s="1"/>
  <c r="AM45" i="2" s="1"/>
  <c r="AK45" i="2"/>
  <c r="Y45" i="2"/>
  <c r="Y37" i="2"/>
  <c r="X37" i="2"/>
  <c r="Z37" i="2" s="1"/>
  <c r="AA37" i="2" s="1"/>
  <c r="AJ37" i="2"/>
  <c r="AL37" i="2" s="1"/>
  <c r="AM37" i="2" s="1"/>
  <c r="AK37" i="2"/>
  <c r="Y29" i="2"/>
  <c r="AJ29" i="2"/>
  <c r="AL29" i="2" s="1"/>
  <c r="AM29" i="2" s="1"/>
  <c r="X29" i="2"/>
  <c r="Z29" i="2" s="1"/>
  <c r="AA29" i="2" s="1"/>
  <c r="AK29" i="2"/>
  <c r="Y21" i="2"/>
  <c r="AJ21" i="2"/>
  <c r="AL21" i="2" s="1"/>
  <c r="AM21" i="2" s="1"/>
  <c r="X21" i="2"/>
  <c r="Z21" i="2" s="1"/>
  <c r="AA21" i="2" s="1"/>
  <c r="AK21" i="2"/>
  <c r="AK13" i="2"/>
  <c r="AJ13" i="2"/>
  <c r="AL13" i="2" s="1"/>
  <c r="Y13" i="2"/>
  <c r="X13" i="2"/>
  <c r="P50" i="2"/>
  <c r="R50" i="2" s="1"/>
  <c r="S50" i="2" s="1"/>
  <c r="Q50" i="2"/>
  <c r="AB50" i="2"/>
  <c r="AD50" i="2" s="1"/>
  <c r="AE50" i="2" s="1"/>
  <c r="AC50" i="2"/>
  <c r="T50" i="2"/>
  <c r="V50" i="2" s="1"/>
  <c r="W50" i="2" s="1"/>
  <c r="U50" i="2"/>
  <c r="AF50" i="2"/>
  <c r="AH50" i="2" s="1"/>
  <c r="AI50" i="2" s="1"/>
  <c r="AG50" i="2"/>
  <c r="U42" i="2"/>
  <c r="AG42" i="2"/>
  <c r="AB42" i="2"/>
  <c r="AD42" i="2" s="1"/>
  <c r="AE42" i="2" s="1"/>
  <c r="T42" i="2"/>
  <c r="V42" i="2" s="1"/>
  <c r="W42" i="2" s="1"/>
  <c r="Q42" i="2"/>
  <c r="AF42" i="2"/>
  <c r="AH42" i="2" s="1"/>
  <c r="AI42" i="2" s="1"/>
  <c r="P42" i="2"/>
  <c r="R42" i="2" s="1"/>
  <c r="S42" i="2" s="1"/>
  <c r="AC42" i="2"/>
  <c r="Q34" i="2"/>
  <c r="AF34" i="2"/>
  <c r="AH34" i="2" s="1"/>
  <c r="AI34" i="2" s="1"/>
  <c r="T34" i="2"/>
  <c r="V34" i="2" s="1"/>
  <c r="W34" i="2" s="1"/>
  <c r="AG34" i="2"/>
  <c r="AB34" i="2"/>
  <c r="AD34" i="2" s="1"/>
  <c r="AE34" i="2" s="1"/>
  <c r="U34" i="2"/>
  <c r="AC34" i="2"/>
  <c r="P34" i="2"/>
  <c r="R34" i="2" s="1"/>
  <c r="S34" i="2" s="1"/>
  <c r="AB26" i="2"/>
  <c r="AD26" i="2" s="1"/>
  <c r="AE26" i="2" s="1"/>
  <c r="P26" i="2"/>
  <c r="R26" i="2" s="1"/>
  <c r="S26" i="2" s="1"/>
  <c r="AC26" i="2"/>
  <c r="Q26" i="2"/>
  <c r="AF26" i="2"/>
  <c r="AH26" i="2" s="1"/>
  <c r="AI26" i="2" s="1"/>
  <c r="AG26" i="2"/>
  <c r="U26" i="2"/>
  <c r="T26" i="2"/>
  <c r="V26" i="2" s="1"/>
  <c r="W26" i="2" s="1"/>
  <c r="AC18" i="2"/>
  <c r="P18" i="2"/>
  <c r="R18" i="2" s="1"/>
  <c r="S18" i="2" s="1"/>
  <c r="Q18" i="2"/>
  <c r="AF18" i="2"/>
  <c r="AH18" i="2" s="1"/>
  <c r="AI18" i="2" s="1"/>
  <c r="AG18" i="2"/>
  <c r="U18" i="2"/>
  <c r="AB18" i="2"/>
  <c r="AD18" i="2" s="1"/>
  <c r="AE18" i="2" s="1"/>
  <c r="T18" i="2"/>
  <c r="V18" i="2" s="1"/>
  <c r="W18" i="2" s="1"/>
  <c r="AB10" i="2"/>
  <c r="AD10" i="2" s="1"/>
  <c r="AE10" i="2" s="1"/>
  <c r="P10" i="2"/>
  <c r="R10" i="2" s="1"/>
  <c r="AC10" i="2"/>
  <c r="U10" i="2"/>
  <c r="Q10" i="2"/>
  <c r="T10" i="2"/>
  <c r="V10" i="2" s="1"/>
  <c r="AG10" i="2"/>
  <c r="AF10" i="2"/>
  <c r="AH10" i="2" s="1"/>
  <c r="AG49" i="2"/>
  <c r="AC49" i="2"/>
  <c r="T49" i="2"/>
  <c r="V49" i="2" s="1"/>
  <c r="W49" i="2" s="1"/>
  <c r="U49" i="2"/>
  <c r="AF49" i="2"/>
  <c r="AH49" i="2" s="1"/>
  <c r="AI49" i="2" s="1"/>
  <c r="Q49" i="2"/>
  <c r="AB49" i="2"/>
  <c r="AD49" i="2" s="1"/>
  <c r="AE49" i="2" s="1"/>
  <c r="P49" i="2"/>
  <c r="R49" i="2" s="1"/>
  <c r="S49" i="2" s="1"/>
  <c r="U41" i="2"/>
  <c r="AF41" i="2"/>
  <c r="AH41" i="2" s="1"/>
  <c r="AI41" i="2" s="1"/>
  <c r="Q41" i="2"/>
  <c r="AG41" i="2"/>
  <c r="T41" i="2"/>
  <c r="V41" i="2" s="1"/>
  <c r="W41" i="2" s="1"/>
  <c r="AB41" i="2"/>
  <c r="AD41" i="2" s="1"/>
  <c r="AE41" i="2" s="1"/>
  <c r="P41" i="2"/>
  <c r="R41" i="2" s="1"/>
  <c r="S41" i="2" s="1"/>
  <c r="AC41" i="2"/>
  <c r="P33" i="2"/>
  <c r="R33" i="2" s="1"/>
  <c r="S33" i="2" s="1"/>
  <c r="Q33" i="2"/>
  <c r="AB33" i="2"/>
  <c r="AD33" i="2" s="1"/>
  <c r="AE33" i="2" s="1"/>
  <c r="AC33" i="2"/>
  <c r="T33" i="2"/>
  <c r="V33" i="2" s="1"/>
  <c r="W33" i="2" s="1"/>
  <c r="U33" i="2"/>
  <c r="AF33" i="2"/>
  <c r="AH33" i="2" s="1"/>
  <c r="AI33" i="2" s="1"/>
  <c r="AG33" i="2"/>
  <c r="P25" i="2"/>
  <c r="R25" i="2" s="1"/>
  <c r="S25" i="2" s="1"/>
  <c r="T25" i="2"/>
  <c r="V25" i="2" s="1"/>
  <c r="W25" i="2" s="1"/>
  <c r="AG25" i="2"/>
  <c r="AB25" i="2"/>
  <c r="AD25" i="2" s="1"/>
  <c r="AE25" i="2" s="1"/>
  <c r="AC25" i="2"/>
  <c r="AF25" i="2"/>
  <c r="AH25" i="2" s="1"/>
  <c r="AI25" i="2" s="1"/>
  <c r="U25" i="2"/>
  <c r="Q25" i="2"/>
  <c r="AB17" i="2"/>
  <c r="AD17" i="2" s="1"/>
  <c r="AE17" i="2" s="1"/>
  <c r="P17" i="2"/>
  <c r="R17" i="2" s="1"/>
  <c r="S17" i="2" s="1"/>
  <c r="AC17" i="2"/>
  <c r="AF17" i="2"/>
  <c r="AH17" i="2" s="1"/>
  <c r="AI17" i="2" s="1"/>
  <c r="AG17" i="2"/>
  <c r="U17" i="2"/>
  <c r="T17" i="2"/>
  <c r="V17" i="2" s="1"/>
  <c r="W17" i="2" s="1"/>
  <c r="Q17" i="2"/>
  <c r="P9" i="2"/>
  <c r="R9" i="2" s="1"/>
  <c r="AB9" i="2"/>
  <c r="AD9" i="2" s="1"/>
  <c r="AE9" i="2" s="1"/>
  <c r="U9" i="2"/>
  <c r="AG9" i="2"/>
  <c r="Q9" i="2"/>
  <c r="T9" i="2"/>
  <c r="V9" i="2" s="1"/>
  <c r="AF9" i="2"/>
  <c r="AH9" i="2" s="1"/>
  <c r="AC9" i="2"/>
  <c r="T56" i="2"/>
  <c r="V56" i="2" s="1"/>
  <c r="W56" i="2" s="1"/>
  <c r="AC56" i="2"/>
  <c r="AB56" i="2"/>
  <c r="AD56" i="2" s="1"/>
  <c r="AE56" i="2" s="1"/>
  <c r="U56" i="2"/>
  <c r="AF56" i="2"/>
  <c r="AH56" i="2" s="1"/>
  <c r="AI56" i="2" s="1"/>
  <c r="P56" i="2"/>
  <c r="R56" i="2" s="1"/>
  <c r="S56" i="2" s="1"/>
  <c r="Q56" i="2"/>
  <c r="AG56" i="2"/>
  <c r="AG48" i="2"/>
  <c r="T48" i="2"/>
  <c r="V48" i="2" s="1"/>
  <c r="W48" i="2" s="1"/>
  <c r="AC48" i="2"/>
  <c r="AF48" i="2"/>
  <c r="AH48" i="2" s="1"/>
  <c r="AI48" i="2" s="1"/>
  <c r="U48" i="2"/>
  <c r="Q48" i="2"/>
  <c r="AB48" i="2"/>
  <c r="AD48" i="2" s="1"/>
  <c r="AE48" i="2" s="1"/>
  <c r="P48" i="2"/>
  <c r="R48" i="2" s="1"/>
  <c r="S48" i="2" s="1"/>
  <c r="AG40" i="2"/>
  <c r="Q40" i="2"/>
  <c r="AB40" i="2"/>
  <c r="AD40" i="2" s="1"/>
  <c r="AE40" i="2" s="1"/>
  <c r="AF40" i="2"/>
  <c r="AH40" i="2" s="1"/>
  <c r="AI40" i="2" s="1"/>
  <c r="AC40" i="2"/>
  <c r="P40" i="2"/>
  <c r="R40" i="2" s="1"/>
  <c r="S40" i="2" s="1"/>
  <c r="U40" i="2"/>
  <c r="T40" i="2"/>
  <c r="V40" i="2" s="1"/>
  <c r="W40" i="2" s="1"/>
  <c r="P32" i="2"/>
  <c r="R32" i="2" s="1"/>
  <c r="S32" i="2" s="1"/>
  <c r="AB32" i="2"/>
  <c r="AD32" i="2" s="1"/>
  <c r="AE32" i="2" s="1"/>
  <c r="AC32" i="2"/>
  <c r="Q32" i="2"/>
  <c r="AF32" i="2"/>
  <c r="AH32" i="2" s="1"/>
  <c r="AI32" i="2" s="1"/>
  <c r="T32" i="2"/>
  <c r="V32" i="2" s="1"/>
  <c r="W32" i="2" s="1"/>
  <c r="U32" i="2"/>
  <c r="AG32" i="2"/>
  <c r="AB24" i="2"/>
  <c r="AD24" i="2" s="1"/>
  <c r="AE24" i="2" s="1"/>
  <c r="U24" i="2"/>
  <c r="AC24" i="2"/>
  <c r="AF24" i="2"/>
  <c r="AH24" i="2" s="1"/>
  <c r="AI24" i="2" s="1"/>
  <c r="AG24" i="2"/>
  <c r="T24" i="2"/>
  <c r="V24" i="2" s="1"/>
  <c r="W24" i="2" s="1"/>
  <c r="P24" i="2"/>
  <c r="R24" i="2" s="1"/>
  <c r="S24" i="2" s="1"/>
  <c r="Q24" i="2"/>
  <c r="T16" i="2"/>
  <c r="V16" i="2" s="1"/>
  <c r="AF16" i="2"/>
  <c r="AH16" i="2" s="1"/>
  <c r="AB16" i="2"/>
  <c r="AD16" i="2" s="1"/>
  <c r="AE16" i="2" s="1"/>
  <c r="AC16" i="2"/>
  <c r="AG16" i="2"/>
  <c r="Q16" i="2"/>
  <c r="U16" i="2"/>
  <c r="P16" i="2"/>
  <c r="R16" i="2" s="1"/>
  <c r="S16" i="2" s="1"/>
  <c r="Q8" i="2"/>
  <c r="U8" i="2"/>
  <c r="AG8" i="2"/>
  <c r="P8" i="2"/>
  <c r="R8" i="2" s="1"/>
  <c r="T8" i="2"/>
  <c r="V8" i="2" s="1"/>
  <c r="AF8" i="2"/>
  <c r="AC8" i="2"/>
  <c r="AB8" i="2"/>
  <c r="AD8" i="2" s="1"/>
  <c r="Q55" i="2"/>
  <c r="U55" i="2"/>
  <c r="AF55" i="2"/>
  <c r="AH55" i="2" s="1"/>
  <c r="AI55" i="2" s="1"/>
  <c r="AG55" i="2"/>
  <c r="AC55" i="2"/>
  <c r="T55" i="2"/>
  <c r="V55" i="2" s="1"/>
  <c r="W55" i="2" s="1"/>
  <c r="P55" i="2"/>
  <c r="R55" i="2" s="1"/>
  <c r="S55" i="2" s="1"/>
  <c r="AB55" i="2"/>
  <c r="AD55" i="2" s="1"/>
  <c r="AE55" i="2" s="1"/>
  <c r="T47" i="2"/>
  <c r="V47" i="2" s="1"/>
  <c r="W47" i="2" s="1"/>
  <c r="AC47" i="2"/>
  <c r="Q47" i="2"/>
  <c r="AF47" i="2"/>
  <c r="AH47" i="2" s="1"/>
  <c r="AI47" i="2" s="1"/>
  <c r="U47" i="2"/>
  <c r="AG47" i="2"/>
  <c r="P47" i="2"/>
  <c r="R47" i="2" s="1"/>
  <c r="S47" i="2" s="1"/>
  <c r="AB47" i="2"/>
  <c r="AD47" i="2" s="1"/>
  <c r="AE47" i="2" s="1"/>
  <c r="T39" i="2"/>
  <c r="V39" i="2" s="1"/>
  <c r="W39" i="2" s="1"/>
  <c r="AC39" i="2"/>
  <c r="U39" i="2"/>
  <c r="AF39" i="2"/>
  <c r="AH39" i="2" s="1"/>
  <c r="AI39" i="2" s="1"/>
  <c r="AG39" i="2"/>
  <c r="Q39" i="2"/>
  <c r="P39" i="2"/>
  <c r="R39" i="2" s="1"/>
  <c r="S39" i="2" s="1"/>
  <c r="AB39" i="2"/>
  <c r="AD39" i="2" s="1"/>
  <c r="AE39" i="2" s="1"/>
  <c r="P31" i="2"/>
  <c r="R31" i="2" s="1"/>
  <c r="S31" i="2" s="1"/>
  <c r="AB31" i="2"/>
  <c r="AD31" i="2" s="1"/>
  <c r="AE31" i="2" s="1"/>
  <c r="U31" i="2"/>
  <c r="AG31" i="2"/>
  <c r="Q31" i="2"/>
  <c r="T31" i="2"/>
  <c r="V31" i="2" s="1"/>
  <c r="W31" i="2" s="1"/>
  <c r="AF31" i="2"/>
  <c r="AH31" i="2" s="1"/>
  <c r="AI31" i="2" s="1"/>
  <c r="AC31" i="2"/>
  <c r="T23" i="2"/>
  <c r="V23" i="2" s="1"/>
  <c r="W23" i="2" s="1"/>
  <c r="AG23" i="2"/>
  <c r="U23" i="2"/>
  <c r="Q23" i="2"/>
  <c r="AC23" i="2"/>
  <c r="AF23" i="2"/>
  <c r="AH23" i="2" s="1"/>
  <c r="AI23" i="2" s="1"/>
  <c r="AB23" i="2"/>
  <c r="AD23" i="2" s="1"/>
  <c r="AE23" i="2" s="1"/>
  <c r="P23" i="2"/>
  <c r="R23" i="2" s="1"/>
  <c r="S23" i="2" s="1"/>
  <c r="T15" i="2"/>
  <c r="V15" i="2" s="1"/>
  <c r="AG15" i="2"/>
  <c r="U15" i="2"/>
  <c r="Q15" i="2"/>
  <c r="AC15" i="2"/>
  <c r="AF15" i="2"/>
  <c r="AH15" i="2" s="1"/>
  <c r="AB15" i="2"/>
  <c r="AD15" i="2" s="1"/>
  <c r="AE15" i="2" s="1"/>
  <c r="P15" i="2"/>
  <c r="R15" i="2" s="1"/>
  <c r="S15" i="2" s="1"/>
  <c r="AF7" i="2"/>
  <c r="AI7" i="2" s="1"/>
  <c r="P7" i="2"/>
  <c r="R7" i="2" s="1"/>
  <c r="Q7" i="2"/>
  <c r="AB7" i="2"/>
  <c r="AD7" i="2" s="1"/>
  <c r="T7" i="2"/>
  <c r="V7" i="2" s="1"/>
  <c r="U7" i="2"/>
  <c r="AG7" i="2"/>
  <c r="AC7" i="2"/>
  <c r="AF54" i="2"/>
  <c r="AH54" i="2" s="1"/>
  <c r="AI54" i="2" s="1"/>
  <c r="P54" i="2"/>
  <c r="R54" i="2" s="1"/>
  <c r="S54" i="2" s="1"/>
  <c r="Q54" i="2"/>
  <c r="U54" i="2"/>
  <c r="AG54" i="2"/>
  <c r="AC54" i="2"/>
  <c r="T54" i="2"/>
  <c r="V54" i="2" s="1"/>
  <c r="W54" i="2" s="1"/>
  <c r="AB54" i="2"/>
  <c r="AD54" i="2" s="1"/>
  <c r="AE54" i="2" s="1"/>
  <c r="Q46" i="2"/>
  <c r="AF46" i="2"/>
  <c r="AH46" i="2" s="1"/>
  <c r="AI46" i="2" s="1"/>
  <c r="T46" i="2"/>
  <c r="V46" i="2" s="1"/>
  <c r="W46" i="2" s="1"/>
  <c r="AG46" i="2"/>
  <c r="U46" i="2"/>
  <c r="P46" i="2"/>
  <c r="R46" i="2" s="1"/>
  <c r="S46" i="2" s="1"/>
  <c r="AB46" i="2"/>
  <c r="AD46" i="2" s="1"/>
  <c r="AE46" i="2" s="1"/>
  <c r="AC46" i="2"/>
  <c r="Q38" i="2"/>
  <c r="AG38" i="2"/>
  <c r="T38" i="2"/>
  <c r="V38" i="2" s="1"/>
  <c r="W38" i="2" s="1"/>
  <c r="P38" i="2"/>
  <c r="R38" i="2" s="1"/>
  <c r="S38" i="2" s="1"/>
  <c r="U38" i="2"/>
  <c r="AC38" i="2"/>
  <c r="AF38" i="2"/>
  <c r="AH38" i="2" s="1"/>
  <c r="AI38" i="2" s="1"/>
  <c r="AB38" i="2"/>
  <c r="AD38" i="2" s="1"/>
  <c r="AE38" i="2" s="1"/>
  <c r="AB30" i="2"/>
  <c r="AD30" i="2" s="1"/>
  <c r="AE30" i="2" s="1"/>
  <c r="T30" i="2"/>
  <c r="V30" i="2" s="1"/>
  <c r="W30" i="2" s="1"/>
  <c r="AF30" i="2"/>
  <c r="AH30" i="2" s="1"/>
  <c r="AI30" i="2" s="1"/>
  <c r="P30" i="2"/>
  <c r="R30" i="2" s="1"/>
  <c r="S30" i="2" s="1"/>
  <c r="Q30" i="2"/>
  <c r="U30" i="2"/>
  <c r="AC30" i="2"/>
  <c r="AG30" i="2"/>
  <c r="P22" i="2"/>
  <c r="R22" i="2" s="1"/>
  <c r="S22" i="2" s="1"/>
  <c r="Q22" i="2"/>
  <c r="AF22" i="2"/>
  <c r="AH22" i="2" s="1"/>
  <c r="AI22" i="2" s="1"/>
  <c r="AG22" i="2"/>
  <c r="AB22" i="2"/>
  <c r="AD22" i="2" s="1"/>
  <c r="AE22" i="2" s="1"/>
  <c r="T22" i="2"/>
  <c r="V22" i="2" s="1"/>
  <c r="W22" i="2" s="1"/>
  <c r="U22" i="2"/>
  <c r="AC22" i="2"/>
  <c r="P14" i="2"/>
  <c r="R14" i="2" s="1"/>
  <c r="AB14" i="2"/>
  <c r="AD14" i="2" s="1"/>
  <c r="AE14" i="2" s="1"/>
  <c r="AF14" i="2"/>
  <c r="AH14" i="2" s="1"/>
  <c r="T14" i="2"/>
  <c r="V14" i="2" s="1"/>
  <c r="AG14" i="2"/>
  <c r="U14" i="2"/>
  <c r="AC14" i="2"/>
  <c r="Q14" i="2"/>
  <c r="AB53" i="2"/>
  <c r="AD53" i="2" s="1"/>
  <c r="AE53" i="2" s="1"/>
  <c r="Q53" i="2"/>
  <c r="AC53" i="2"/>
  <c r="T53" i="2"/>
  <c r="V53" i="2" s="1"/>
  <c r="W53" i="2" s="1"/>
  <c r="P53" i="2"/>
  <c r="R53" i="2" s="1"/>
  <c r="S53" i="2" s="1"/>
  <c r="AF53" i="2"/>
  <c r="AH53" i="2" s="1"/>
  <c r="AI53" i="2" s="1"/>
  <c r="AG53" i="2"/>
  <c r="U53" i="2"/>
  <c r="AF45" i="2"/>
  <c r="AH45" i="2" s="1"/>
  <c r="AI45" i="2" s="1"/>
  <c r="AB45" i="2"/>
  <c r="AD45" i="2" s="1"/>
  <c r="AE45" i="2" s="1"/>
  <c r="T45" i="2"/>
  <c r="V45" i="2" s="1"/>
  <c r="W45" i="2" s="1"/>
  <c r="AG45" i="2"/>
  <c r="U45" i="2"/>
  <c r="P45" i="2"/>
  <c r="R45" i="2" s="1"/>
  <c r="S45" i="2" s="1"/>
  <c r="Q45" i="2"/>
  <c r="AC45" i="2"/>
  <c r="AF37" i="2"/>
  <c r="AH37" i="2" s="1"/>
  <c r="AI37" i="2" s="1"/>
  <c r="P37" i="2"/>
  <c r="R37" i="2" s="1"/>
  <c r="S37" i="2" s="1"/>
  <c r="Q37" i="2"/>
  <c r="AB37" i="2"/>
  <c r="AD37" i="2" s="1"/>
  <c r="AE37" i="2" s="1"/>
  <c r="T37" i="2"/>
  <c r="V37" i="2" s="1"/>
  <c r="W37" i="2" s="1"/>
  <c r="U37" i="2"/>
  <c r="AG37" i="2"/>
  <c r="AC37" i="2"/>
  <c r="T29" i="2"/>
  <c r="V29" i="2" s="1"/>
  <c r="W29" i="2" s="1"/>
  <c r="AF29" i="2"/>
  <c r="AH29" i="2" s="1"/>
  <c r="AI29" i="2" s="1"/>
  <c r="U29" i="2"/>
  <c r="P29" i="2"/>
  <c r="R29" i="2" s="1"/>
  <c r="S29" i="2" s="1"/>
  <c r="Q29" i="2"/>
  <c r="AC29" i="2"/>
  <c r="AG29" i="2"/>
  <c r="AB29" i="2"/>
  <c r="AD29" i="2" s="1"/>
  <c r="AE29" i="2" s="1"/>
  <c r="AB21" i="2"/>
  <c r="AD21" i="2" s="1"/>
  <c r="AE21" i="2" s="1"/>
  <c r="AC21" i="2"/>
  <c r="P21" i="2"/>
  <c r="R21" i="2" s="1"/>
  <c r="S21" i="2" s="1"/>
  <c r="Q21" i="2"/>
  <c r="T21" i="2"/>
  <c r="V21" i="2" s="1"/>
  <c r="W21" i="2" s="1"/>
  <c r="U21" i="2"/>
  <c r="AG21" i="2"/>
  <c r="AF21" i="2"/>
  <c r="AH21" i="2" s="1"/>
  <c r="AI21" i="2" s="1"/>
  <c r="AC13" i="2"/>
  <c r="Q13" i="2"/>
  <c r="T13" i="2"/>
  <c r="V13" i="2" s="1"/>
  <c r="AF13" i="2"/>
  <c r="AH13" i="2" s="1"/>
  <c r="U13" i="2"/>
  <c r="AG13" i="2"/>
  <c r="AB13" i="2"/>
  <c r="AD13" i="2" s="1"/>
  <c r="AE13" i="2" s="1"/>
  <c r="P13" i="2"/>
  <c r="R13" i="2" s="1"/>
  <c r="P52" i="2"/>
  <c r="R52" i="2" s="1"/>
  <c r="S52" i="2" s="1"/>
  <c r="T52" i="2"/>
  <c r="V52" i="2" s="1"/>
  <c r="W52" i="2" s="1"/>
  <c r="U52" i="2"/>
  <c r="AF52" i="2"/>
  <c r="AH52" i="2" s="1"/>
  <c r="AI52" i="2" s="1"/>
  <c r="AG52" i="2"/>
  <c r="AB52" i="2"/>
  <c r="AD52" i="2" s="1"/>
  <c r="AE52" i="2" s="1"/>
  <c r="AC52" i="2"/>
  <c r="Q52" i="2"/>
  <c r="AB44" i="2"/>
  <c r="AD44" i="2" s="1"/>
  <c r="AE44" i="2" s="1"/>
  <c r="P44" i="2"/>
  <c r="R44" i="2" s="1"/>
  <c r="S44" i="2" s="1"/>
  <c r="AG44" i="2"/>
  <c r="AC44" i="2"/>
  <c r="Q44" i="2"/>
  <c r="AF44" i="2"/>
  <c r="AH44" i="2" s="1"/>
  <c r="AI44" i="2" s="1"/>
  <c r="T44" i="2"/>
  <c r="V44" i="2" s="1"/>
  <c r="W44" i="2" s="1"/>
  <c r="U44" i="2"/>
  <c r="AB36" i="2"/>
  <c r="AD36" i="2" s="1"/>
  <c r="AE36" i="2" s="1"/>
  <c r="AC36" i="2"/>
  <c r="T36" i="2"/>
  <c r="V36" i="2" s="1"/>
  <c r="W36" i="2" s="1"/>
  <c r="U36" i="2"/>
  <c r="AF36" i="2"/>
  <c r="AH36" i="2" s="1"/>
  <c r="AI36" i="2" s="1"/>
  <c r="P36" i="2"/>
  <c r="R36" i="2" s="1"/>
  <c r="S36" i="2" s="1"/>
  <c r="Q36" i="2"/>
  <c r="AG36" i="2"/>
  <c r="AF28" i="2"/>
  <c r="AH28" i="2" s="1"/>
  <c r="AI28" i="2" s="1"/>
  <c r="Q28" i="2"/>
  <c r="AG28" i="2"/>
  <c r="T28" i="2"/>
  <c r="V28" i="2" s="1"/>
  <c r="W28" i="2" s="1"/>
  <c r="AB28" i="2"/>
  <c r="AD28" i="2" s="1"/>
  <c r="AE28" i="2" s="1"/>
  <c r="P28" i="2"/>
  <c r="R28" i="2" s="1"/>
  <c r="S28" i="2" s="1"/>
  <c r="AC28" i="2"/>
  <c r="U28" i="2"/>
  <c r="T20" i="2"/>
  <c r="V20" i="2" s="1"/>
  <c r="W20" i="2" s="1"/>
  <c r="AF20" i="2"/>
  <c r="AH20" i="2" s="1"/>
  <c r="AI20" i="2" s="1"/>
  <c r="P20" i="2"/>
  <c r="R20" i="2" s="1"/>
  <c r="S20" i="2" s="1"/>
  <c r="U20" i="2"/>
  <c r="Q20" i="2"/>
  <c r="AG20" i="2"/>
  <c r="AB20" i="2"/>
  <c r="AD20" i="2" s="1"/>
  <c r="AE20" i="2" s="1"/>
  <c r="AC20" i="2"/>
  <c r="T12" i="2"/>
  <c r="V12" i="2" s="1"/>
  <c r="P12" i="2"/>
  <c r="R12" i="2" s="1"/>
  <c r="AB12" i="2"/>
  <c r="AD12" i="2" s="1"/>
  <c r="AE12" i="2" s="1"/>
  <c r="Q12" i="2"/>
  <c r="AC12" i="2"/>
  <c r="AF12" i="2"/>
  <c r="AH12" i="2" s="1"/>
  <c r="U12" i="2"/>
  <c r="AG12" i="2"/>
  <c r="U51" i="2"/>
  <c r="P51" i="2"/>
  <c r="R51" i="2" s="1"/>
  <c r="S51" i="2" s="1"/>
  <c r="T51" i="2"/>
  <c r="V51" i="2" s="1"/>
  <c r="W51" i="2" s="1"/>
  <c r="AF51" i="2"/>
  <c r="AH51" i="2" s="1"/>
  <c r="AI51" i="2" s="1"/>
  <c r="AG51" i="2"/>
  <c r="AB51" i="2"/>
  <c r="AD51" i="2" s="1"/>
  <c r="AE51" i="2" s="1"/>
  <c r="Q51" i="2"/>
  <c r="AC51" i="2"/>
  <c r="P43" i="2"/>
  <c r="R43" i="2" s="1"/>
  <c r="S43" i="2" s="1"/>
  <c r="AC43" i="2"/>
  <c r="Q43" i="2"/>
  <c r="AB43" i="2"/>
  <c r="AD43" i="2" s="1"/>
  <c r="AE43" i="2" s="1"/>
  <c r="U43" i="2"/>
  <c r="T43" i="2"/>
  <c r="V43" i="2" s="1"/>
  <c r="W43" i="2" s="1"/>
  <c r="AG43" i="2"/>
  <c r="AF43" i="2"/>
  <c r="AH43" i="2" s="1"/>
  <c r="AI43" i="2" s="1"/>
  <c r="T35" i="2"/>
  <c r="V35" i="2" s="1"/>
  <c r="W35" i="2" s="1"/>
  <c r="AF35" i="2"/>
  <c r="AH35" i="2" s="1"/>
  <c r="AI35" i="2" s="1"/>
  <c r="U35" i="2"/>
  <c r="AG35" i="2"/>
  <c r="Q35" i="2"/>
  <c r="AC35" i="2"/>
  <c r="AB35" i="2"/>
  <c r="AD35" i="2" s="1"/>
  <c r="AE35" i="2" s="1"/>
  <c r="P35" i="2"/>
  <c r="R35" i="2" s="1"/>
  <c r="S35" i="2" s="1"/>
  <c r="AG27" i="2"/>
  <c r="Q27" i="2"/>
  <c r="AC27" i="2"/>
  <c r="T27" i="2"/>
  <c r="V27" i="2" s="1"/>
  <c r="W27" i="2" s="1"/>
  <c r="AF27" i="2"/>
  <c r="AH27" i="2" s="1"/>
  <c r="AI27" i="2" s="1"/>
  <c r="P27" i="2"/>
  <c r="R27" i="2" s="1"/>
  <c r="S27" i="2" s="1"/>
  <c r="AB27" i="2"/>
  <c r="AD27" i="2" s="1"/>
  <c r="AE27" i="2" s="1"/>
  <c r="U27" i="2"/>
  <c r="AF19" i="2"/>
  <c r="AH19" i="2" s="1"/>
  <c r="AI19" i="2" s="1"/>
  <c r="T19" i="2"/>
  <c r="V19" i="2" s="1"/>
  <c r="W19" i="2" s="1"/>
  <c r="AG19" i="2"/>
  <c r="U19" i="2"/>
  <c r="P19" i="2"/>
  <c r="R19" i="2" s="1"/>
  <c r="S19" i="2" s="1"/>
  <c r="AB19" i="2"/>
  <c r="AD19" i="2" s="1"/>
  <c r="AE19" i="2" s="1"/>
  <c r="Q19" i="2"/>
  <c r="AC19" i="2"/>
  <c r="U11" i="2"/>
  <c r="AG11" i="2"/>
  <c r="P11" i="2"/>
  <c r="R11" i="2" s="1"/>
  <c r="AB11" i="2"/>
  <c r="AD11" i="2" s="1"/>
  <c r="AE11" i="2" s="1"/>
  <c r="Q11" i="2"/>
  <c r="AC11" i="2"/>
  <c r="T11" i="2"/>
  <c r="V11" i="2" s="1"/>
  <c r="AF11" i="2"/>
  <c r="AH11" i="2" s="1"/>
  <c r="O6" i="2"/>
  <c r="Z15" i="2" l="1"/>
  <c r="AA15" i="2" s="1"/>
  <c r="AM15" i="2"/>
  <c r="AM17" i="2"/>
  <c r="W12" i="2"/>
  <c r="AM7" i="2"/>
  <c r="Z8" i="2"/>
  <c r="AA8" i="2" s="1"/>
  <c r="W16" i="2"/>
  <c r="S12" i="2"/>
  <c r="Z9" i="2"/>
  <c r="AA9" i="2" s="1"/>
  <c r="AM8" i="2"/>
  <c r="AM14" i="2"/>
  <c r="AM18" i="2"/>
  <c r="W8" i="2"/>
  <c r="AM13" i="2"/>
  <c r="AM10" i="2"/>
  <c r="Z11" i="2"/>
  <c r="AA11" i="2" s="1"/>
  <c r="Z13" i="2"/>
  <c r="AA13" i="2" s="1"/>
  <c r="Y6" i="2"/>
  <c r="X6" i="2"/>
  <c r="AA6" i="2" s="1"/>
  <c r="AK6" i="2"/>
  <c r="AJ6" i="2"/>
  <c r="AM6" i="2" s="1"/>
  <c r="AI12" i="2"/>
  <c r="AI15" i="2"/>
  <c r="AI9" i="2"/>
  <c r="Z14" i="2"/>
  <c r="AA14" i="2" s="1"/>
  <c r="AM9" i="2"/>
  <c r="AM11" i="2"/>
  <c r="AM12" i="2"/>
  <c r="Z16" i="2"/>
  <c r="AA16" i="2" s="1"/>
  <c r="Z12" i="2"/>
  <c r="AA12" i="2" s="1"/>
  <c r="AE7" i="2"/>
  <c r="AH8" i="2"/>
  <c r="AI8" i="2" s="1"/>
  <c r="Z7" i="2"/>
  <c r="AM16" i="2"/>
  <c r="Z17" i="2"/>
  <c r="AA17" i="2" s="1"/>
  <c r="Z10" i="2"/>
  <c r="AA10" i="2" s="1"/>
  <c r="AH7" i="2"/>
  <c r="W7" i="2"/>
  <c r="S14" i="2"/>
  <c r="W15" i="2"/>
  <c r="S7" i="2"/>
  <c r="S8" i="2"/>
  <c r="S9" i="2"/>
  <c r="S10" i="2"/>
  <c r="W14" i="2"/>
  <c r="W11" i="2"/>
  <c r="AI13" i="2"/>
  <c r="S13" i="2"/>
  <c r="AI14" i="2"/>
  <c r="AE8" i="2"/>
  <c r="AI16" i="2"/>
  <c r="S11" i="2"/>
  <c r="AI11" i="2"/>
  <c r="W10" i="2"/>
  <c r="AI10" i="2"/>
  <c r="U6" i="2"/>
  <c r="AC6" i="2"/>
  <c r="Q6" i="2"/>
  <c r="AB6" i="2"/>
  <c r="AE6" i="2" s="1"/>
  <c r="P6" i="2"/>
  <c r="R6" i="2" s="1"/>
  <c r="T6" i="2"/>
  <c r="W6" i="2" s="1"/>
  <c r="W9" i="2"/>
  <c r="W13" i="2"/>
  <c r="AF6" i="2"/>
  <c r="AH6" i="2" s="1"/>
  <c r="AG6" i="2"/>
  <c r="AL6" i="2" l="1"/>
  <c r="Z6" i="2"/>
  <c r="AD6" i="2"/>
  <c r="V6" i="2"/>
  <c r="S6" i="2"/>
  <c r="AI6" i="2"/>
  <c r="B25" i="2" l="1"/>
  <c r="D134" i="6" l="1"/>
  <c r="F134" i="6" s="1"/>
  <c r="D136" i="6"/>
  <c r="D226" i="6"/>
  <c r="G226" i="6" s="1"/>
  <c r="D135" i="6"/>
  <c r="D182" i="6"/>
  <c r="G182" i="6" s="1"/>
  <c r="D202" i="6"/>
  <c r="D174" i="6"/>
  <c r="G174" i="6" s="1"/>
  <c r="D218" i="6"/>
  <c r="G218" i="6" s="1"/>
  <c r="D215" i="6"/>
  <c r="G215" i="6" s="1"/>
  <c r="D193" i="6"/>
  <c r="D199" i="6"/>
  <c r="G199" i="6" s="1"/>
  <c r="D169" i="6"/>
  <c r="G169" i="6" s="1"/>
  <c r="D114" i="6"/>
  <c r="D102" i="6"/>
  <c r="D106" i="6"/>
  <c r="D94" i="6"/>
  <c r="D98" i="6"/>
  <c r="D90" i="6"/>
  <c r="D103" i="6"/>
  <c r="D185" i="6"/>
  <c r="G185" i="6" s="1"/>
  <c r="D192" i="6"/>
  <c r="G192" i="6" s="1"/>
  <c r="D105" i="6"/>
  <c r="D92" i="6"/>
  <c r="B185" i="2"/>
  <c r="D187" i="6"/>
  <c r="D206" i="6"/>
  <c r="G206" i="6" s="1"/>
  <c r="D208" i="6"/>
  <c r="D184" i="6"/>
  <c r="G184" i="6" s="1"/>
  <c r="D221" i="6"/>
  <c r="G221" i="6" s="1"/>
  <c r="D170" i="6"/>
  <c r="G170" i="6" s="1"/>
  <c r="D219" i="6"/>
  <c r="D194" i="6"/>
  <c r="D220" i="6"/>
  <c r="G220" i="6" s="1"/>
  <c r="D207" i="6"/>
  <c r="G207" i="6" s="1"/>
  <c r="D177" i="6"/>
  <c r="G177" i="6" s="1"/>
  <c r="D189" i="6"/>
  <c r="G189" i="6" s="1"/>
  <c r="D173" i="6"/>
  <c r="G173" i="6" s="1"/>
  <c r="D129" i="6"/>
  <c r="D117" i="6"/>
  <c r="D120" i="6"/>
  <c r="D116" i="6"/>
  <c r="D113" i="6"/>
  <c r="D131" i="6"/>
  <c r="D118" i="6"/>
  <c r="D224" i="6"/>
  <c r="G224" i="6" s="1"/>
  <c r="G202" i="6"/>
  <c r="D209" i="6"/>
  <c r="G209" i="6" s="1"/>
  <c r="D104" i="6"/>
  <c r="D133" i="6"/>
  <c r="D216" i="6"/>
  <c r="G216" i="6" s="1"/>
  <c r="D186" i="6"/>
  <c r="G186" i="6" s="1"/>
  <c r="D203" i="6"/>
  <c r="G203" i="6" s="1"/>
  <c r="D211" i="6"/>
  <c r="G211" i="6" s="1"/>
  <c r="D204" i="6"/>
  <c r="G204" i="6" s="1"/>
  <c r="D176" i="6"/>
  <c r="G176" i="6" s="1"/>
  <c r="D223" i="6"/>
  <c r="G223" i="6" s="1"/>
  <c r="D132" i="6"/>
  <c r="D85" i="6"/>
  <c r="D88" i="6"/>
  <c r="D84" i="6"/>
  <c r="D124" i="6"/>
  <c r="D128" i="6"/>
  <c r="D86" i="6"/>
  <c r="B37" i="2"/>
  <c r="B36" i="1" s="1"/>
  <c r="D222" i="6"/>
  <c r="D188" i="6"/>
  <c r="D183" i="6"/>
  <c r="B161" i="2"/>
  <c r="B162" i="2" s="1"/>
  <c r="D100" i="6"/>
  <c r="D99" i="6"/>
  <c r="D122" i="6"/>
  <c r="D178" i="6"/>
  <c r="G178" i="6" s="1"/>
  <c r="D217" i="6"/>
  <c r="G217" i="6" s="1"/>
  <c r="D175" i="6"/>
  <c r="G175" i="6" s="1"/>
  <c r="D171" i="6"/>
  <c r="D190" i="6"/>
  <c r="D179" i="6"/>
  <c r="G179" i="6" s="1"/>
  <c r="D200" i="6"/>
  <c r="D213" i="6"/>
  <c r="D191" i="6"/>
  <c r="D181" i="6"/>
  <c r="G181" i="6" s="1"/>
  <c r="D201" i="6"/>
  <c r="D119" i="6"/>
  <c r="D91" i="6"/>
  <c r="D79" i="6"/>
  <c r="D125" i="6"/>
  <c r="D109" i="6"/>
  <c r="D123" i="6"/>
  <c r="D127" i="6"/>
  <c r="D214" i="6"/>
  <c r="G214" i="6" s="1"/>
  <c r="D210" i="6"/>
  <c r="G210" i="6" s="1"/>
  <c r="D198" i="6"/>
  <c r="G198" i="6" s="1"/>
  <c r="D197" i="6"/>
  <c r="G197" i="6" s="1"/>
  <c r="D87" i="6"/>
  <c r="D121" i="6"/>
  <c r="D126" i="6"/>
  <c r="D93" i="6"/>
  <c r="D89" i="6"/>
  <c r="D96" i="6"/>
  <c r="D97" i="6"/>
  <c r="D108" i="6"/>
  <c r="D112" i="6"/>
  <c r="D82" i="6"/>
  <c r="D195" i="6"/>
  <c r="D95" i="6"/>
  <c r="D107" i="6"/>
  <c r="D180" i="6"/>
  <c r="D172" i="6"/>
  <c r="G172" i="6" s="1"/>
  <c r="D212" i="6"/>
  <c r="G212" i="6" s="1"/>
  <c r="D80" i="6"/>
  <c r="D81" i="6"/>
  <c r="D196" i="6"/>
  <c r="D205" i="6"/>
  <c r="G205" i="6" s="1"/>
  <c r="D115" i="6"/>
  <c r="D83" i="6"/>
  <c r="D111" i="6"/>
  <c r="D110" i="6"/>
  <c r="B186" i="2"/>
  <c r="B227" i="6" s="1"/>
  <c r="C227" i="6" s="1"/>
  <c r="D130" i="6"/>
  <c r="D101" i="6"/>
  <c r="B27" i="2"/>
  <c r="B27" i="1" s="1"/>
  <c r="B26" i="2"/>
  <c r="B65" i="2"/>
  <c r="AI90" i="2"/>
  <c r="AK90" i="2" s="1"/>
  <c r="AL90" i="2" s="1"/>
  <c r="AE109" i="2"/>
  <c r="AG109" i="2" s="1"/>
  <c r="AH109" i="2" s="1"/>
  <c r="AE105" i="2"/>
  <c r="AG105" i="2" s="1"/>
  <c r="AJ109" i="2"/>
  <c r="AE63" i="2"/>
  <c r="AG63" i="2" s="1"/>
  <c r="AH63" i="2" s="1"/>
  <c r="AE94" i="2"/>
  <c r="AG94" i="2" s="1"/>
  <c r="AH94" i="2" s="1"/>
  <c r="AF75" i="2"/>
  <c r="AI77" i="2"/>
  <c r="AK77" i="2" s="1"/>
  <c r="AL77" i="2" s="1"/>
  <c r="AF67" i="2"/>
  <c r="X102" i="2"/>
  <c r="Z102" i="2" s="1"/>
  <c r="AA102" i="2" s="1"/>
  <c r="AJ72" i="2"/>
  <c r="AI73" i="2"/>
  <c r="AK73" i="2" s="1"/>
  <c r="AL73" i="2" s="1"/>
  <c r="AE99" i="2"/>
  <c r="AG99" i="2" s="1"/>
  <c r="AH99" i="2" s="1"/>
  <c r="AJ103" i="2"/>
  <c r="Y79" i="2"/>
  <c r="U97" i="2"/>
  <c r="Y106" i="2"/>
  <c r="AI108" i="2"/>
  <c r="AK108" i="2" s="1"/>
  <c r="AL108" i="2" s="1"/>
  <c r="AE78" i="2"/>
  <c r="AG78" i="2" s="1"/>
  <c r="AH78" i="2" s="1"/>
  <c r="AI105" i="2"/>
  <c r="AK105" i="2" s="1"/>
  <c r="AL105" i="2" s="1"/>
  <c r="Q111" i="2"/>
  <c r="U87" i="2"/>
  <c r="P106" i="2"/>
  <c r="R106" i="2" s="1"/>
  <c r="S106" i="2" s="1"/>
  <c r="AF91" i="2"/>
  <c r="AI109" i="2"/>
  <c r="AK109" i="2" s="1"/>
  <c r="AE71" i="2"/>
  <c r="AG71" i="2" s="1"/>
  <c r="AH71" i="2" s="1"/>
  <c r="Q93" i="2"/>
  <c r="Y67" i="2"/>
  <c r="AJ62" i="2"/>
  <c r="AJ85" i="2"/>
  <c r="AE88" i="2"/>
  <c r="AG88" i="2" s="1"/>
  <c r="AE106" i="2"/>
  <c r="AG106" i="2" s="1"/>
  <c r="AH106" i="2" s="1"/>
  <c r="P76" i="2"/>
  <c r="R76" i="2" s="1"/>
  <c r="S76" i="2" s="1"/>
  <c r="P87" i="2"/>
  <c r="R87" i="2" s="1"/>
  <c r="S87" i="2" s="1"/>
  <c r="P63" i="2"/>
  <c r="R63" i="2" s="1"/>
  <c r="S63" i="2" s="1"/>
  <c r="T93" i="2"/>
  <c r="V93" i="2" s="1"/>
  <c r="W93" i="2" s="1"/>
  <c r="AJ81" i="2"/>
  <c r="AE70" i="2"/>
  <c r="X111" i="2"/>
  <c r="Z111" i="2" s="1"/>
  <c r="AA111" i="2" s="1"/>
  <c r="Y98" i="2"/>
  <c r="Q63" i="2"/>
  <c r="T82" i="2"/>
  <c r="V82" i="2" s="1"/>
  <c r="W82" i="2" s="1"/>
  <c r="AF82" i="2"/>
  <c r="AI97" i="2"/>
  <c r="AK97" i="2" s="1"/>
  <c r="AL97" i="2" s="1"/>
  <c r="AF73" i="2"/>
  <c r="AJ94" i="2"/>
  <c r="AJ106" i="2"/>
  <c r="AI96" i="2"/>
  <c r="AK96" i="2" s="1"/>
  <c r="AL96" i="2" s="1"/>
  <c r="AE111" i="2"/>
  <c r="AG111" i="2" s="1"/>
  <c r="AH111" i="2" s="1"/>
  <c r="AF111" i="2"/>
  <c r="AE96" i="2"/>
  <c r="AG96" i="2" s="1"/>
  <c r="U106" i="2"/>
  <c r="AF105" i="2"/>
  <c r="AE68" i="2"/>
  <c r="AG68" i="2" s="1"/>
  <c r="AH68" i="2" s="1"/>
  <c r="AE108" i="2"/>
  <c r="AG108" i="2" s="1"/>
  <c r="AH108" i="2" s="1"/>
  <c r="AI103" i="2"/>
  <c r="AK103" i="2" s="1"/>
  <c r="AL103" i="2" s="1"/>
  <c r="AF83" i="2"/>
  <c r="X76" i="2"/>
  <c r="Z76" i="2" s="1"/>
  <c r="AA76" i="2" s="1"/>
  <c r="Y62" i="2"/>
  <c r="AE101" i="2"/>
  <c r="AG101" i="2" s="1"/>
  <c r="AH101" i="2" s="1"/>
  <c r="P75" i="2"/>
  <c r="Q109" i="2"/>
  <c r="Q97" i="2"/>
  <c r="AE104" i="2"/>
  <c r="AG104" i="2" s="1"/>
  <c r="AH104" i="2" s="1"/>
  <c r="Q92" i="2"/>
  <c r="AJ96" i="2"/>
  <c r="AF71" i="2"/>
  <c r="AJ102" i="2"/>
  <c r="Q67" i="2"/>
  <c r="Y70" i="2"/>
  <c r="X81" i="2"/>
  <c r="Z81" i="2" s="1"/>
  <c r="AA81" i="2" s="1"/>
  <c r="AE69" i="2"/>
  <c r="AG69" i="2" s="1"/>
  <c r="AH69" i="2" s="1"/>
  <c r="AF107" i="2"/>
  <c r="Y63" i="2"/>
  <c r="Q65" i="2"/>
  <c r="AI74" i="2"/>
  <c r="AK74" i="2" s="1"/>
  <c r="AJ101" i="2"/>
  <c r="AJ107" i="2"/>
  <c r="AI81" i="2"/>
  <c r="AK81" i="2" s="1"/>
  <c r="AL81" i="2" s="1"/>
  <c r="AF99" i="2"/>
  <c r="X64" i="2"/>
  <c r="Z64" i="2" s="1"/>
  <c r="AA64" i="2" s="1"/>
  <c r="AE81" i="2"/>
  <c r="AG81" i="2" s="1"/>
  <c r="AE100" i="2"/>
  <c r="T71" i="2"/>
  <c r="V71" i="2" s="1"/>
  <c r="W71" i="2" s="1"/>
  <c r="Y99" i="2"/>
  <c r="P82" i="2"/>
  <c r="R82" i="2" s="1"/>
  <c r="S82" i="2" s="1"/>
  <c r="Q85" i="2"/>
  <c r="P65" i="2"/>
  <c r="R65" i="2" s="1"/>
  <c r="S65" i="2" s="1"/>
  <c r="Y88" i="2"/>
  <c r="Y91" i="2"/>
  <c r="T75" i="2"/>
  <c r="V75" i="2" s="1"/>
  <c r="W75" i="2" s="1"/>
  <c r="AI100" i="2"/>
  <c r="AK100" i="2" s="1"/>
  <c r="AL100" i="2" s="1"/>
  <c r="P100" i="2"/>
  <c r="R100" i="2" s="1"/>
  <c r="S100" i="2" s="1"/>
  <c r="AI76" i="2"/>
  <c r="AK76" i="2" s="1"/>
  <c r="AL76" i="2" s="1"/>
  <c r="AI65" i="2"/>
  <c r="AK65" i="2" s="1"/>
  <c r="AL65" i="2" s="1"/>
  <c r="X90" i="2"/>
  <c r="Z90" i="2" s="1"/>
  <c r="AA90" i="2" s="1"/>
  <c r="T106" i="2"/>
  <c r="V106" i="2" s="1"/>
  <c r="W106" i="2" s="1"/>
  <c r="Q80" i="2"/>
  <c r="AI80" i="2"/>
  <c r="AK80" i="2" s="1"/>
  <c r="AL80" i="2" s="1"/>
  <c r="X92" i="2"/>
  <c r="Z92" i="2" s="1"/>
  <c r="AA92" i="2" s="1"/>
  <c r="Y111" i="2"/>
  <c r="P94" i="2"/>
  <c r="R94" i="2" s="1"/>
  <c r="S94" i="2" s="1"/>
  <c r="Q83" i="2"/>
  <c r="AF110" i="2"/>
  <c r="AE87" i="2"/>
  <c r="AG87" i="2" s="1"/>
  <c r="AH87" i="2" s="1"/>
  <c r="AI94" i="2"/>
  <c r="AK94" i="2" s="1"/>
  <c r="AJ88" i="2"/>
  <c r="AI79" i="2"/>
  <c r="AK79" i="2" s="1"/>
  <c r="AL79" i="2" s="1"/>
  <c r="P64" i="2"/>
  <c r="R64" i="2" s="1"/>
  <c r="S64" i="2" s="1"/>
  <c r="AJ95" i="2"/>
  <c r="AF66" i="2"/>
  <c r="AE85" i="2"/>
  <c r="AG85" i="2" s="1"/>
  <c r="AH85" i="2" s="1"/>
  <c r="AE82" i="2"/>
  <c r="AG82" i="2" s="1"/>
  <c r="X91" i="2"/>
  <c r="Z91" i="2" s="1"/>
  <c r="AA91" i="2" s="1"/>
  <c r="X77" i="2"/>
  <c r="Z77" i="2" s="1"/>
  <c r="AA77" i="2" s="1"/>
  <c r="U79" i="2"/>
  <c r="U75" i="2"/>
  <c r="P103" i="2"/>
  <c r="R103" i="2" s="1"/>
  <c r="S103" i="2" s="1"/>
  <c r="X68" i="2"/>
  <c r="Z68" i="2" s="1"/>
  <c r="AA68" i="2" s="1"/>
  <c r="AF86" i="2"/>
  <c r="P102" i="2"/>
  <c r="R102" i="2" s="1"/>
  <c r="S102" i="2" s="1"/>
  <c r="T68" i="2"/>
  <c r="V68" i="2" s="1"/>
  <c r="W68" i="2" s="1"/>
  <c r="Y83" i="2"/>
  <c r="AI83" i="2"/>
  <c r="AK83" i="2" s="1"/>
  <c r="AL83" i="2" s="1"/>
  <c r="AI69" i="2"/>
  <c r="AK69" i="2" s="1"/>
  <c r="AL69" i="2" s="1"/>
  <c r="AF61" i="2"/>
  <c r="AE83" i="2"/>
  <c r="AG83" i="2" s="1"/>
  <c r="AH83" i="2" s="1"/>
  <c r="Q72" i="2"/>
  <c r="AF108" i="2"/>
  <c r="X78" i="2"/>
  <c r="Z78" i="2" s="1"/>
  <c r="AA78" i="2" s="1"/>
  <c r="P83" i="2"/>
  <c r="R83" i="2" s="1"/>
  <c r="S83" i="2" s="1"/>
  <c r="X98" i="2"/>
  <c r="Z98" i="2" s="1"/>
  <c r="AA98" i="2" s="1"/>
  <c r="T86" i="2"/>
  <c r="V86" i="2" s="1"/>
  <c r="W86" i="2" s="1"/>
  <c r="AE67" i="2"/>
  <c r="AG67" i="2" s="1"/>
  <c r="AH67" i="2" s="1"/>
  <c r="T78" i="2"/>
  <c r="V78" i="2" s="1"/>
  <c r="W78" i="2" s="1"/>
  <c r="Q100" i="2"/>
  <c r="Y84" i="2"/>
  <c r="Y82" i="2"/>
  <c r="AE80" i="2"/>
  <c r="AG80" i="2" s="1"/>
  <c r="AH80" i="2" s="1"/>
  <c r="AE79" i="2"/>
  <c r="AG79" i="2" s="1"/>
  <c r="AH79" i="2" s="1"/>
  <c r="AF96" i="2"/>
  <c r="AI93" i="2"/>
  <c r="AK93" i="2" s="1"/>
  <c r="AL93" i="2" s="1"/>
  <c r="X95" i="2"/>
  <c r="AF101" i="2"/>
  <c r="AF94" i="2"/>
  <c r="P89" i="2"/>
  <c r="R89" i="2" s="1"/>
  <c r="S89" i="2" s="1"/>
  <c r="Y77" i="2"/>
  <c r="P67" i="2"/>
  <c r="R67" i="2" s="1"/>
  <c r="S67" i="2" s="1"/>
  <c r="P105" i="2"/>
  <c r="R105" i="2" s="1"/>
  <c r="S105" i="2" s="1"/>
  <c r="AJ70" i="2"/>
  <c r="AF88" i="2"/>
  <c r="X100" i="2"/>
  <c r="Z100" i="2" s="1"/>
  <c r="AA100" i="2" s="1"/>
  <c r="AJ74" i="2"/>
  <c r="X99" i="2"/>
  <c r="Z99" i="2" s="1"/>
  <c r="AA99" i="2" s="1"/>
  <c r="AJ83" i="2"/>
  <c r="AI106" i="2"/>
  <c r="AK106" i="2" s="1"/>
  <c r="AL106" i="2" s="1"/>
  <c r="U74" i="2"/>
  <c r="U103" i="2"/>
  <c r="U101" i="2"/>
  <c r="P95" i="2"/>
  <c r="R95" i="2" s="1"/>
  <c r="S95" i="2" s="1"/>
  <c r="P96" i="2"/>
  <c r="R96" i="2" s="1"/>
  <c r="S96" i="2" s="1"/>
  <c r="Q75" i="2"/>
  <c r="AJ61" i="2"/>
  <c r="Y94" i="2"/>
  <c r="Q87" i="2"/>
  <c r="AJ73" i="2"/>
  <c r="AJ97" i="2"/>
  <c r="Y100" i="2"/>
  <c r="T95" i="2"/>
  <c r="V95" i="2" s="1"/>
  <c r="AJ89" i="2"/>
  <c r="U110" i="2"/>
  <c r="X85" i="2"/>
  <c r="Z85" i="2" s="1"/>
  <c r="AA85" i="2" s="1"/>
  <c r="P72" i="2"/>
  <c r="R72" i="2" s="1"/>
  <c r="S72" i="2" s="1"/>
  <c r="AE72" i="2"/>
  <c r="AI70" i="2"/>
  <c r="AK70" i="2" s="1"/>
  <c r="AL70" i="2" s="1"/>
  <c r="AJ99" i="2"/>
  <c r="AF85" i="2"/>
  <c r="T63" i="2"/>
  <c r="V63" i="2" s="1"/>
  <c r="W63" i="2" s="1"/>
  <c r="AF95" i="2"/>
  <c r="Y102" i="2"/>
  <c r="P97" i="2"/>
  <c r="R97" i="2" s="1"/>
  <c r="S97" i="2" s="1"/>
  <c r="Q86" i="2"/>
  <c r="U62" i="2"/>
  <c r="AJ78" i="2"/>
  <c r="U67" i="2"/>
  <c r="AI82" i="2"/>
  <c r="AK82" i="2" s="1"/>
  <c r="AL82" i="2" s="1"/>
  <c r="AJ86" i="2"/>
  <c r="AJ105" i="2"/>
  <c r="AJ84" i="2"/>
  <c r="X94" i="2"/>
  <c r="Z94" i="2" s="1"/>
  <c r="AA94" i="2" s="1"/>
  <c r="X96" i="2"/>
  <c r="Z96" i="2" s="1"/>
  <c r="AA96" i="2" s="1"/>
  <c r="Q99" i="2"/>
  <c r="X82" i="2"/>
  <c r="Z82" i="2" s="1"/>
  <c r="AA82" i="2" s="1"/>
  <c r="T99" i="2"/>
  <c r="V99" i="2" s="1"/>
  <c r="W99" i="2" s="1"/>
  <c r="AF93" i="2"/>
  <c r="AI102" i="2"/>
  <c r="AK102" i="2" s="1"/>
  <c r="AL102" i="2" s="1"/>
  <c r="T73" i="2"/>
  <c r="V73" i="2" s="1"/>
  <c r="W73" i="2" s="1"/>
  <c r="T66" i="2"/>
  <c r="V66" i="2" s="1"/>
  <c r="W66" i="2" s="1"/>
  <c r="AI67" i="2"/>
  <c r="AK67" i="2" s="1"/>
  <c r="AL67" i="2" s="1"/>
  <c r="X72" i="2"/>
  <c r="Q61" i="2"/>
  <c r="Y76" i="2"/>
  <c r="U108" i="2"/>
  <c r="X86" i="2"/>
  <c r="Z86" i="2" s="1"/>
  <c r="AA86" i="2" s="1"/>
  <c r="AI104" i="2"/>
  <c r="AE65" i="2"/>
  <c r="AG65" i="2" s="1"/>
  <c r="AH65" i="2" s="1"/>
  <c r="AJ63" i="2"/>
  <c r="Q102" i="2"/>
  <c r="X80" i="2"/>
  <c r="Z80" i="2" s="1"/>
  <c r="AA80" i="2" s="1"/>
  <c r="Y71" i="2"/>
  <c r="AE76" i="2"/>
  <c r="AG76" i="2" s="1"/>
  <c r="AH76" i="2" s="1"/>
  <c r="AJ80" i="2"/>
  <c r="AF106" i="2"/>
  <c r="AJ82" i="2"/>
  <c r="T72" i="2"/>
  <c r="V72" i="2" s="1"/>
  <c r="W72" i="2" s="1"/>
  <c r="AI107" i="2"/>
  <c r="AK107" i="2" s="1"/>
  <c r="AL107" i="2" s="1"/>
  <c r="AJ108" i="2"/>
  <c r="P85" i="2"/>
  <c r="R85" i="2" s="1"/>
  <c r="S85" i="2" s="1"/>
  <c r="Y64" i="2"/>
  <c r="AJ79" i="2"/>
  <c r="T62" i="2"/>
  <c r="V62" i="2" s="1"/>
  <c r="W62" i="2" s="1"/>
  <c r="U93" i="2"/>
  <c r="AF65" i="2"/>
  <c r="U99" i="2"/>
  <c r="Y90" i="2"/>
  <c r="T67" i="2"/>
  <c r="V67" i="2" s="1"/>
  <c r="W67" i="2" s="1"/>
  <c r="U96" i="2"/>
  <c r="Q106" i="2"/>
  <c r="U76" i="2"/>
  <c r="AE75" i="2"/>
  <c r="AG75" i="2" s="1"/>
  <c r="AH75" i="2" s="1"/>
  <c r="P92" i="2"/>
  <c r="R92" i="2" s="1"/>
  <c r="S92" i="2" s="1"/>
  <c r="T102" i="2"/>
  <c r="V102" i="2" s="1"/>
  <c r="W102" i="2" s="1"/>
  <c r="AI78" i="2"/>
  <c r="AK78" i="2" s="1"/>
  <c r="AL78" i="2" s="1"/>
  <c r="U70" i="2"/>
  <c r="AI62" i="2"/>
  <c r="AK62" i="2" s="1"/>
  <c r="AL62" i="2" s="1"/>
  <c r="AI84" i="2"/>
  <c r="AK84" i="2" s="1"/>
  <c r="AL84" i="2" s="1"/>
  <c r="AJ71" i="2"/>
  <c r="X110" i="2"/>
  <c r="Z110" i="2" s="1"/>
  <c r="AA110" i="2" s="1"/>
  <c r="Q78" i="2"/>
  <c r="X69" i="2"/>
  <c r="Z69" i="2" s="1"/>
  <c r="AA69" i="2" s="1"/>
  <c r="Q88" i="2"/>
  <c r="AJ64" i="2"/>
  <c r="U80" i="2"/>
  <c r="T84" i="2"/>
  <c r="V84" i="2" s="1"/>
  <c r="W84" i="2" s="1"/>
  <c r="AE103" i="2"/>
  <c r="AG103" i="2" s="1"/>
  <c r="AH103" i="2" s="1"/>
  <c r="AJ77" i="2"/>
  <c r="Y81" i="2"/>
  <c r="U90" i="2"/>
  <c r="U94" i="2"/>
  <c r="X105" i="2"/>
  <c r="Z105" i="2" s="1"/>
  <c r="AA105" i="2" s="1"/>
  <c r="T89" i="2"/>
  <c r="V89" i="2" s="1"/>
  <c r="W89" i="2" s="1"/>
  <c r="T111" i="2"/>
  <c r="V111" i="2" s="1"/>
  <c r="W111" i="2" s="1"/>
  <c r="AE97" i="2"/>
  <c r="AG97" i="2" s="1"/>
  <c r="AH97" i="2" s="1"/>
  <c r="Y110" i="2"/>
  <c r="U92" i="2"/>
  <c r="Q108" i="2"/>
  <c r="P98" i="2"/>
  <c r="R98" i="2" s="1"/>
  <c r="S98" i="2" s="1"/>
  <c r="U61" i="2"/>
  <c r="X62" i="2"/>
  <c r="T104" i="2"/>
  <c r="V104" i="2" s="1"/>
  <c r="W104" i="2" s="1"/>
  <c r="T88" i="2"/>
  <c r="V88" i="2" s="1"/>
  <c r="W88" i="2" s="1"/>
  <c r="P78" i="2"/>
  <c r="R78" i="2" s="1"/>
  <c r="S78" i="2" s="1"/>
  <c r="T109" i="2"/>
  <c r="V109" i="2" s="1"/>
  <c r="W109" i="2" s="1"/>
  <c r="X66" i="2"/>
  <c r="Z66" i="2" s="1"/>
  <c r="AA66" i="2" s="1"/>
  <c r="AF64" i="2"/>
  <c r="X109" i="2"/>
  <c r="Z109" i="2" s="1"/>
  <c r="AA109" i="2" s="1"/>
  <c r="Y101" i="2"/>
  <c r="Y97" i="2"/>
  <c r="U71" i="2"/>
  <c r="P90" i="2"/>
  <c r="R90" i="2" s="1"/>
  <c r="S90" i="2" s="1"/>
  <c r="P81" i="2"/>
  <c r="R81" i="2" s="1"/>
  <c r="S81" i="2" s="1"/>
  <c r="Y108" i="2"/>
  <c r="T94" i="2"/>
  <c r="V94" i="2" s="1"/>
  <c r="W94" i="2" s="1"/>
  <c r="P70" i="2"/>
  <c r="R70" i="2" s="1"/>
  <c r="S70" i="2" s="1"/>
  <c r="AE90" i="2"/>
  <c r="AG90" i="2" s="1"/>
  <c r="AH90" i="2" s="1"/>
  <c r="AI99" i="2"/>
  <c r="AK99" i="2" s="1"/>
  <c r="AL99" i="2" s="1"/>
  <c r="AE64" i="2"/>
  <c r="AG64" i="2" s="1"/>
  <c r="AH64" i="2" s="1"/>
  <c r="AF80" i="2"/>
  <c r="AI91" i="2"/>
  <c r="AK91" i="2" s="1"/>
  <c r="AL91" i="2" s="1"/>
  <c r="X65" i="2"/>
  <c r="Z65" i="2" s="1"/>
  <c r="AA65" i="2" s="1"/>
  <c r="AI75" i="2"/>
  <c r="AK75" i="2" s="1"/>
  <c r="AL75" i="2" s="1"/>
  <c r="Y61" i="2"/>
  <c r="AF70" i="2"/>
  <c r="P77" i="2"/>
  <c r="R77" i="2" s="1"/>
  <c r="S77" i="2" s="1"/>
  <c r="T91" i="2"/>
  <c r="V91" i="2" s="1"/>
  <c r="W91" i="2" s="1"/>
  <c r="AJ69" i="2"/>
  <c r="X61" i="2"/>
  <c r="Z61" i="2" s="1"/>
  <c r="AA61" i="2" s="1"/>
  <c r="U91" i="2"/>
  <c r="T97" i="2"/>
  <c r="V97" i="2" s="1"/>
  <c r="W97" i="2" s="1"/>
  <c r="X63" i="2"/>
  <c r="Z63" i="2" s="1"/>
  <c r="AA63" i="2" s="1"/>
  <c r="AE95" i="2"/>
  <c r="AG95" i="2" s="1"/>
  <c r="AH95" i="2" s="1"/>
  <c r="X103" i="2"/>
  <c r="Z103" i="2" s="1"/>
  <c r="AA103" i="2" s="1"/>
  <c r="T81" i="2"/>
  <c r="V81" i="2" s="1"/>
  <c r="W81" i="2" s="1"/>
  <c r="T107" i="2"/>
  <c r="V107" i="2" s="1"/>
  <c r="W107" i="2" s="1"/>
  <c r="AI85" i="2"/>
  <c r="AK85" i="2" s="1"/>
  <c r="AL85" i="2" s="1"/>
  <c r="Q101" i="2"/>
  <c r="Q107" i="2"/>
  <c r="Y78" i="2"/>
  <c r="U78" i="2"/>
  <c r="X83" i="2"/>
  <c r="Z83" i="2" s="1"/>
  <c r="AA83" i="2" s="1"/>
  <c r="Y103" i="2"/>
  <c r="AE89" i="2"/>
  <c r="AG89" i="2" s="1"/>
  <c r="AH89" i="2" s="1"/>
  <c r="P86" i="2"/>
  <c r="R86" i="2" s="1"/>
  <c r="S86" i="2" s="1"/>
  <c r="Y85" i="2"/>
  <c r="Q64" i="2"/>
  <c r="AJ87" i="2"/>
  <c r="AI87" i="2"/>
  <c r="AK87" i="2" s="1"/>
  <c r="AL87" i="2" s="1"/>
  <c r="AE74" i="2"/>
  <c r="AG74" i="2" s="1"/>
  <c r="AH74" i="2" s="1"/>
  <c r="X88" i="2"/>
  <c r="Z88" i="2" s="1"/>
  <c r="AA88" i="2" s="1"/>
  <c r="AF72" i="2"/>
  <c r="AF90" i="2"/>
  <c r="AF79" i="2"/>
  <c r="AF100" i="2"/>
  <c r="AJ110" i="2"/>
  <c r="Q71" i="2"/>
  <c r="AE62" i="2"/>
  <c r="AG62" i="2" s="1"/>
  <c r="AH62" i="2" s="1"/>
  <c r="Y72" i="2"/>
  <c r="AE92" i="2"/>
  <c r="AG92" i="2" s="1"/>
  <c r="AH92" i="2" s="1"/>
  <c r="P101" i="2"/>
  <c r="R101" i="2" s="1"/>
  <c r="S101" i="2" s="1"/>
  <c r="X106" i="2"/>
  <c r="Z106" i="2" s="1"/>
  <c r="AA106" i="2" s="1"/>
  <c r="U66" i="2"/>
  <c r="Q90" i="2"/>
  <c r="AI64" i="2"/>
  <c r="AK64" i="2" s="1"/>
  <c r="AL64" i="2" s="1"/>
  <c r="Q68" i="2"/>
  <c r="T100" i="2"/>
  <c r="V100" i="2" s="1"/>
  <c r="W100" i="2" s="1"/>
  <c r="AF104" i="2"/>
  <c r="U88" i="2"/>
  <c r="T105" i="2"/>
  <c r="V105" i="2" s="1"/>
  <c r="W105" i="2" s="1"/>
  <c r="Y69" i="2"/>
  <c r="AI101" i="2"/>
  <c r="AK101" i="2" s="1"/>
  <c r="AL101" i="2" s="1"/>
  <c r="P88" i="2"/>
  <c r="R88" i="2" s="1"/>
  <c r="S88" i="2" s="1"/>
  <c r="X97" i="2"/>
  <c r="Z97" i="2" s="1"/>
  <c r="AA97" i="2" s="1"/>
  <c r="U63" i="2"/>
  <c r="Y96" i="2"/>
  <c r="U104" i="2"/>
  <c r="Q89" i="2"/>
  <c r="Y74" i="2"/>
  <c r="AI110" i="2"/>
  <c r="AK110" i="2" s="1"/>
  <c r="AL110" i="2" s="1"/>
  <c r="AE91" i="2"/>
  <c r="AG91" i="2" s="1"/>
  <c r="AH91" i="2" s="1"/>
  <c r="AJ68" i="2"/>
  <c r="U65" i="2"/>
  <c r="Q104" i="2"/>
  <c r="AF77" i="2"/>
  <c r="AI63" i="2"/>
  <c r="AK63" i="2" s="1"/>
  <c r="AL63" i="2" s="1"/>
  <c r="AF68" i="2"/>
  <c r="T69" i="2"/>
  <c r="V69" i="2" s="1"/>
  <c r="W69" i="2" s="1"/>
  <c r="U81" i="2"/>
  <c r="T96" i="2"/>
  <c r="V96" i="2" s="1"/>
  <c r="W96" i="2" s="1"/>
  <c r="Q62" i="2"/>
  <c r="T98" i="2"/>
  <c r="V98" i="2" s="1"/>
  <c r="W98" i="2" s="1"/>
  <c r="P71" i="2"/>
  <c r="R71" i="2" s="1"/>
  <c r="S71" i="2" s="1"/>
  <c r="U111" i="2"/>
  <c r="AE107" i="2"/>
  <c r="AG107" i="2" s="1"/>
  <c r="AH107" i="2" s="1"/>
  <c r="T103" i="2"/>
  <c r="V103" i="2" s="1"/>
  <c r="W103" i="2" s="1"/>
  <c r="P68" i="2"/>
  <c r="R68" i="2" s="1"/>
  <c r="S68" i="2" s="1"/>
  <c r="AI86" i="2"/>
  <c r="AK86" i="2" s="1"/>
  <c r="AL86" i="2" s="1"/>
  <c r="T76" i="2"/>
  <c r="V76" i="2" s="1"/>
  <c r="W76" i="2" s="1"/>
  <c r="X101" i="2"/>
  <c r="Z101" i="2" s="1"/>
  <c r="AA101" i="2" s="1"/>
  <c r="Y93" i="2"/>
  <c r="X75" i="2"/>
  <c r="Z75" i="2" s="1"/>
  <c r="AA75" i="2" s="1"/>
  <c r="AJ111" i="2"/>
  <c r="T80" i="2"/>
  <c r="V80" i="2" s="1"/>
  <c r="W80" i="2" s="1"/>
  <c r="U68" i="2"/>
  <c r="U84" i="2"/>
  <c r="AI71" i="2"/>
  <c r="AK71" i="2" s="1"/>
  <c r="AL71" i="2" s="1"/>
  <c r="AI66" i="2"/>
  <c r="AK66" i="2" s="1"/>
  <c r="AL66" i="2" s="1"/>
  <c r="AF97" i="2"/>
  <c r="X79" i="2"/>
  <c r="Z79" i="2" s="1"/>
  <c r="AA79" i="2" s="1"/>
  <c r="AE66" i="2"/>
  <c r="AG66" i="2" s="1"/>
  <c r="AH66" i="2" s="1"/>
  <c r="X108" i="2"/>
  <c r="Z108" i="2" s="1"/>
  <c r="Y66" i="2"/>
  <c r="AI95" i="2"/>
  <c r="AK95" i="2" s="1"/>
  <c r="AL95" i="2" s="1"/>
  <c r="T79" i="2"/>
  <c r="V79" i="2" s="1"/>
  <c r="W79" i="2" s="1"/>
  <c r="AE86" i="2"/>
  <c r="AG86" i="2" s="1"/>
  <c r="AH86" i="2" s="1"/>
  <c r="AI98" i="2"/>
  <c r="AK98" i="2" s="1"/>
  <c r="AL98" i="2" s="1"/>
  <c r="P69" i="2"/>
  <c r="R69" i="2" s="1"/>
  <c r="S69" i="2" s="1"/>
  <c r="Q69" i="2"/>
  <c r="AF62" i="2"/>
  <c r="P66" i="2"/>
  <c r="R66" i="2" s="1"/>
  <c r="S66" i="2" s="1"/>
  <c r="U89" i="2"/>
  <c r="U109" i="2"/>
  <c r="X70" i="2"/>
  <c r="Z70" i="2" s="1"/>
  <c r="AA70" i="2" s="1"/>
  <c r="Q84" i="2"/>
  <c r="T77" i="2"/>
  <c r="V77" i="2" s="1"/>
  <c r="P111" i="2"/>
  <c r="R111" i="2" s="1"/>
  <c r="S111" i="2" s="1"/>
  <c r="AI61" i="2"/>
  <c r="AK61" i="2" s="1"/>
  <c r="AL61" i="2" s="1"/>
  <c r="AJ104" i="2"/>
  <c r="Y104" i="2"/>
  <c r="Q105" i="2"/>
  <c r="T108" i="2"/>
  <c r="V108" i="2" s="1"/>
  <c r="W108" i="2" s="1"/>
  <c r="Y65" i="2"/>
  <c r="Q70" i="2"/>
  <c r="AF102" i="2"/>
  <c r="Y105" i="2"/>
  <c r="AJ67" i="2"/>
  <c r="Q73" i="2"/>
  <c r="U95" i="2"/>
  <c r="AE98" i="2"/>
  <c r="AG98" i="2" s="1"/>
  <c r="AH98" i="2" s="1"/>
  <c r="U82" i="2"/>
  <c r="AJ75" i="2"/>
  <c r="AJ65" i="2"/>
  <c r="P62" i="2"/>
  <c r="R62" i="2" s="1"/>
  <c r="S62" i="2" s="1"/>
  <c r="AE102" i="2"/>
  <c r="AG102" i="2" s="1"/>
  <c r="AH102" i="2" s="1"/>
  <c r="P74" i="2"/>
  <c r="R74" i="2" s="1"/>
  <c r="S74" i="2" s="1"/>
  <c r="AI72" i="2"/>
  <c r="AK72" i="2" s="1"/>
  <c r="AL72" i="2" s="1"/>
  <c r="P110" i="2"/>
  <c r="R110" i="2" s="1"/>
  <c r="S110" i="2" s="1"/>
  <c r="Q96" i="2"/>
  <c r="Y95" i="2"/>
  <c r="X93" i="2"/>
  <c r="Z93" i="2" s="1"/>
  <c r="AA93" i="2" s="1"/>
  <c r="T110" i="2"/>
  <c r="V110" i="2" s="1"/>
  <c r="W110" i="2" s="1"/>
  <c r="T65" i="2"/>
  <c r="V65" i="2" s="1"/>
  <c r="W65" i="2" s="1"/>
  <c r="T90" i="2"/>
  <c r="V90" i="2" s="1"/>
  <c r="W90" i="2" s="1"/>
  <c r="Q98" i="2"/>
  <c r="AJ92" i="2"/>
  <c r="X71" i="2"/>
  <c r="Z71" i="2" s="1"/>
  <c r="AA71" i="2" s="1"/>
  <c r="P109" i="2"/>
  <c r="R109" i="2" s="1"/>
  <c r="S109" i="2" s="1"/>
  <c r="AF84" i="2"/>
  <c r="P79" i="2"/>
  <c r="R79" i="2" s="1"/>
  <c r="S79" i="2" s="1"/>
  <c r="AI89" i="2"/>
  <c r="AK89" i="2" s="1"/>
  <c r="AL89" i="2" s="1"/>
  <c r="P84" i="2"/>
  <c r="R84" i="2" s="1"/>
  <c r="S84" i="2" s="1"/>
  <c r="X107" i="2"/>
  <c r="Z107" i="2" s="1"/>
  <c r="AA107" i="2" s="1"/>
  <c r="U83" i="2"/>
  <c r="P93" i="2"/>
  <c r="R93" i="2" s="1"/>
  <c r="S93" i="2" s="1"/>
  <c r="P61" i="2"/>
  <c r="R61" i="2" s="1"/>
  <c r="S61" i="2" s="1"/>
  <c r="AJ98" i="2"/>
  <c r="U73" i="2"/>
  <c r="AF74" i="2"/>
  <c r="T83" i="2"/>
  <c r="V83" i="2" s="1"/>
  <c r="W83" i="2" s="1"/>
  <c r="AF98" i="2"/>
  <c r="P73" i="2"/>
  <c r="R73" i="2" s="1"/>
  <c r="S73" i="2" s="1"/>
  <c r="Y86" i="2"/>
  <c r="U64" i="2"/>
  <c r="AF63" i="2"/>
  <c r="Y80" i="2"/>
  <c r="T101" i="2"/>
  <c r="V101" i="2" s="1"/>
  <c r="W101" i="2" s="1"/>
  <c r="AJ90" i="2"/>
  <c r="U98" i="2"/>
  <c r="U69" i="2"/>
  <c r="AF81" i="2"/>
  <c r="T87" i="2"/>
  <c r="V87" i="2" s="1"/>
  <c r="W87" i="2" s="1"/>
  <c r="T85" i="2"/>
  <c r="V85" i="2" s="1"/>
  <c r="W85" i="2" s="1"/>
  <c r="AF76" i="2"/>
  <c r="Q81" i="2"/>
  <c r="U100" i="2"/>
  <c r="Y73" i="2"/>
  <c r="T64" i="2"/>
  <c r="V64" i="2" s="1"/>
  <c r="W64" i="2" s="1"/>
  <c r="Q103" i="2"/>
  <c r="X87" i="2"/>
  <c r="Z87" i="2" s="1"/>
  <c r="AA87" i="2" s="1"/>
  <c r="AF89" i="2"/>
  <c r="X84" i="2"/>
  <c r="Z84" i="2" s="1"/>
  <c r="AA84" i="2" s="1"/>
  <c r="U107" i="2"/>
  <c r="P91" i="2"/>
  <c r="R91" i="2" s="1"/>
  <c r="S91" i="2" s="1"/>
  <c r="P80" i="2"/>
  <c r="R80" i="2" s="1"/>
  <c r="AI68" i="2"/>
  <c r="AK68" i="2" s="1"/>
  <c r="AL68" i="2" s="1"/>
  <c r="AJ66" i="2"/>
  <c r="Y109" i="2"/>
  <c r="AE110" i="2"/>
  <c r="AG110" i="2" s="1"/>
  <c r="AH110" i="2" s="1"/>
  <c r="AF69" i="2"/>
  <c r="P107" i="2"/>
  <c r="AF103" i="2"/>
  <c r="AJ100" i="2"/>
  <c r="Q94" i="2"/>
  <c r="U77" i="2"/>
  <c r="AF87" i="2"/>
  <c r="Q110" i="2"/>
  <c r="U102" i="2"/>
  <c r="Q82" i="2"/>
  <c r="Q77" i="2"/>
  <c r="Y68" i="2"/>
  <c r="AE73" i="2"/>
  <c r="AG73" i="2" s="1"/>
  <c r="AH73" i="2" s="1"/>
  <c r="X73" i="2"/>
  <c r="Z73" i="2" s="1"/>
  <c r="AA73" i="2" s="1"/>
  <c r="T70" i="2"/>
  <c r="V70" i="2" s="1"/>
  <c r="W70" i="2" s="1"/>
  <c r="AE77" i="2"/>
  <c r="AG77" i="2" s="1"/>
  <c r="AH77" i="2" s="1"/>
  <c r="Q95" i="2"/>
  <c r="AE84" i="2"/>
  <c r="AG84" i="2" s="1"/>
  <c r="AH84" i="2" s="1"/>
  <c r="T74" i="2"/>
  <c r="V74" i="2" s="1"/>
  <c r="W74" i="2" s="1"/>
  <c r="Y87" i="2"/>
  <c r="P99" i="2"/>
  <c r="R99" i="2" s="1"/>
  <c r="S99" i="2" s="1"/>
  <c r="T61" i="2"/>
  <c r="V61" i="2" s="1"/>
  <c r="W61" i="2" s="1"/>
  <c r="Y92" i="2"/>
  <c r="Y89" i="2"/>
  <c r="AJ91" i="2"/>
  <c r="Y75" i="2"/>
  <c r="P108" i="2"/>
  <c r="R108" i="2" s="1"/>
  <c r="S108" i="2" s="1"/>
  <c r="U86" i="2"/>
  <c r="X89" i="2"/>
  <c r="Z89" i="2" s="1"/>
  <c r="AA89" i="2" s="1"/>
  <c r="AJ93" i="2"/>
  <c r="AF109" i="2"/>
  <c r="AE93" i="2"/>
  <c r="AG93" i="2" s="1"/>
  <c r="AH93" i="2" s="1"/>
  <c r="AE61" i="2"/>
  <c r="AG61" i="2" s="1"/>
  <c r="AH61" i="2" s="1"/>
  <c r="Q79" i="2"/>
  <c r="U85" i="2"/>
  <c r="Y107" i="2"/>
  <c r="AI111" i="2"/>
  <c r="AK111" i="2" s="1"/>
  <c r="AL111" i="2" s="1"/>
  <c r="U105" i="2"/>
  <c r="Q66" i="2"/>
  <c r="U72" i="2"/>
  <c r="AJ76" i="2"/>
  <c r="T92" i="2"/>
  <c r="V92" i="2" s="1"/>
  <c r="W92" i="2" s="1"/>
  <c r="AF92" i="2"/>
  <c r="P104" i="2"/>
  <c r="R104" i="2" s="1"/>
  <c r="S104" i="2" s="1"/>
  <c r="Q74" i="2"/>
  <c r="Q91" i="2"/>
  <c r="X74" i="2"/>
  <c r="Z74" i="2" s="1"/>
  <c r="AA74" i="2" s="1"/>
  <c r="AI88" i="2"/>
  <c r="AK88" i="2" s="1"/>
  <c r="AL88" i="2" s="1"/>
  <c r="X67" i="2"/>
  <c r="Z67" i="2" s="1"/>
  <c r="AA67" i="2" s="1"/>
  <c r="AF78" i="2"/>
  <c r="AI92" i="2"/>
  <c r="AK92" i="2" s="1"/>
  <c r="AL92" i="2" s="1"/>
  <c r="X104" i="2"/>
  <c r="Z104" i="2" s="1"/>
  <c r="AA104" i="2" s="1"/>
  <c r="Q76" i="2"/>
  <c r="J134" i="6" l="1"/>
  <c r="K134" i="6" s="1"/>
  <c r="E134" i="6"/>
  <c r="I226" i="6"/>
  <c r="H226" i="6"/>
  <c r="B168" i="2"/>
  <c r="B137" i="6"/>
  <c r="C137" i="6" s="1"/>
  <c r="G134" i="6"/>
  <c r="E135" i="6"/>
  <c r="F135" i="6"/>
  <c r="J135" i="6"/>
  <c r="G135" i="6"/>
  <c r="E226" i="6"/>
  <c r="F226" i="6"/>
  <c r="J226" i="6"/>
  <c r="E136" i="6"/>
  <c r="F136" i="6"/>
  <c r="J136" i="6"/>
  <c r="G136" i="6"/>
  <c r="O227" i="6"/>
  <c r="D227" i="6"/>
  <c r="B187" i="2"/>
  <c r="B192" i="2"/>
  <c r="H210" i="6"/>
  <c r="I210" i="6"/>
  <c r="I204" i="6"/>
  <c r="H204" i="6"/>
  <c r="I214" i="6"/>
  <c r="H214" i="6"/>
  <c r="I203" i="6"/>
  <c r="H203" i="6"/>
  <c r="H170" i="6"/>
  <c r="I170" i="6"/>
  <c r="H212" i="6"/>
  <c r="I212" i="6"/>
  <c r="I223" i="6"/>
  <c r="H223" i="6"/>
  <c r="H181" i="6"/>
  <c r="I181" i="6"/>
  <c r="H217" i="6"/>
  <c r="I217" i="6"/>
  <c r="H207" i="6"/>
  <c r="I207" i="6"/>
  <c r="E93" i="6"/>
  <c r="F93" i="6"/>
  <c r="J93" i="6"/>
  <c r="G93" i="6"/>
  <c r="I176" i="6"/>
  <c r="H176" i="6"/>
  <c r="H177" i="6"/>
  <c r="I177" i="6"/>
  <c r="J196" i="6"/>
  <c r="E196" i="6"/>
  <c r="F196" i="6"/>
  <c r="J195" i="6"/>
  <c r="E195" i="6"/>
  <c r="F195" i="6"/>
  <c r="E96" i="6"/>
  <c r="F96" i="6"/>
  <c r="G96" i="6"/>
  <c r="J96" i="6"/>
  <c r="I221" i="6"/>
  <c r="H221" i="6"/>
  <c r="I211" i="6"/>
  <c r="H211" i="6"/>
  <c r="E125" i="6"/>
  <c r="F125" i="6"/>
  <c r="J125" i="6"/>
  <c r="G125" i="6"/>
  <c r="J201" i="6"/>
  <c r="E201" i="6"/>
  <c r="F201" i="6"/>
  <c r="J190" i="6"/>
  <c r="E190" i="6"/>
  <c r="F190" i="6"/>
  <c r="E122" i="6"/>
  <c r="F122" i="6"/>
  <c r="G122" i="6"/>
  <c r="J122" i="6"/>
  <c r="J222" i="6"/>
  <c r="E222" i="6"/>
  <c r="F222" i="6"/>
  <c r="E132" i="6"/>
  <c r="F132" i="6"/>
  <c r="J132" i="6"/>
  <c r="G132" i="6"/>
  <c r="I186" i="6"/>
  <c r="H186" i="6"/>
  <c r="J216" i="6"/>
  <c r="E216" i="6"/>
  <c r="F216" i="6"/>
  <c r="E131" i="6"/>
  <c r="F131" i="6"/>
  <c r="G131" i="6"/>
  <c r="J131" i="6"/>
  <c r="G196" i="6"/>
  <c r="J208" i="6"/>
  <c r="E208" i="6"/>
  <c r="F208" i="6"/>
  <c r="J192" i="6"/>
  <c r="F192" i="6"/>
  <c r="E192" i="6"/>
  <c r="F114" i="6"/>
  <c r="E114" i="6"/>
  <c r="G114" i="6"/>
  <c r="J114" i="6"/>
  <c r="J193" i="6"/>
  <c r="E193" i="6"/>
  <c r="F193" i="6"/>
  <c r="F110" i="6"/>
  <c r="E110" i="6"/>
  <c r="J110" i="6"/>
  <c r="G110" i="6"/>
  <c r="E81" i="6"/>
  <c r="F81" i="6"/>
  <c r="G81" i="6"/>
  <c r="J81" i="6"/>
  <c r="E82" i="6"/>
  <c r="F82" i="6"/>
  <c r="J82" i="6"/>
  <c r="G82" i="6"/>
  <c r="F89" i="6"/>
  <c r="E89" i="6"/>
  <c r="J89" i="6"/>
  <c r="G89" i="6"/>
  <c r="I185" i="6"/>
  <c r="H185" i="6"/>
  <c r="J198" i="6"/>
  <c r="E198" i="6"/>
  <c r="F198" i="6"/>
  <c r="G79" i="6"/>
  <c r="J79" i="6"/>
  <c r="F79" i="6"/>
  <c r="E79" i="6"/>
  <c r="J171" i="6"/>
  <c r="F171" i="6"/>
  <c r="E171" i="6"/>
  <c r="F99" i="6"/>
  <c r="E99" i="6"/>
  <c r="G99" i="6"/>
  <c r="J99" i="6"/>
  <c r="E133" i="6"/>
  <c r="F133" i="6"/>
  <c r="G133" i="6"/>
  <c r="J133" i="6"/>
  <c r="F113" i="6"/>
  <c r="E113" i="6"/>
  <c r="J113" i="6"/>
  <c r="G113" i="6"/>
  <c r="J220" i="6"/>
  <c r="F220" i="6"/>
  <c r="E220" i="6"/>
  <c r="J206" i="6"/>
  <c r="F206" i="6"/>
  <c r="E206" i="6"/>
  <c r="J185" i="6"/>
  <c r="E185" i="6"/>
  <c r="F185" i="6"/>
  <c r="J215" i="6"/>
  <c r="E215" i="6"/>
  <c r="F215" i="6"/>
  <c r="F112" i="6"/>
  <c r="E112" i="6"/>
  <c r="J112" i="6"/>
  <c r="G112" i="6"/>
  <c r="F91" i="6"/>
  <c r="E91" i="6"/>
  <c r="J91" i="6"/>
  <c r="G91" i="6"/>
  <c r="I182" i="6"/>
  <c r="H182" i="6"/>
  <c r="F116" i="6"/>
  <c r="E116" i="6"/>
  <c r="G116" i="6"/>
  <c r="J116" i="6"/>
  <c r="I199" i="6"/>
  <c r="H199" i="6"/>
  <c r="H179" i="6"/>
  <c r="I179" i="6"/>
  <c r="E126" i="6"/>
  <c r="F126" i="6"/>
  <c r="J126" i="6"/>
  <c r="G126" i="6"/>
  <c r="F119" i="6"/>
  <c r="E119" i="6"/>
  <c r="G119" i="6"/>
  <c r="J119" i="6"/>
  <c r="J191" i="6"/>
  <c r="F191" i="6"/>
  <c r="E191" i="6"/>
  <c r="E128" i="6"/>
  <c r="F128" i="6"/>
  <c r="J128" i="6"/>
  <c r="G128" i="6"/>
  <c r="J204" i="6"/>
  <c r="E204" i="6"/>
  <c r="F204" i="6"/>
  <c r="E120" i="6"/>
  <c r="F120" i="6"/>
  <c r="J120" i="6"/>
  <c r="G120" i="6"/>
  <c r="F90" i="6"/>
  <c r="E90" i="6"/>
  <c r="G90" i="6"/>
  <c r="J90" i="6"/>
  <c r="I197" i="6"/>
  <c r="H197" i="6"/>
  <c r="H215" i="6"/>
  <c r="I215" i="6"/>
  <c r="J213" i="6"/>
  <c r="E213" i="6"/>
  <c r="F213" i="6"/>
  <c r="E124" i="6"/>
  <c r="F124" i="6"/>
  <c r="J124" i="6"/>
  <c r="G124" i="6"/>
  <c r="J211" i="6"/>
  <c r="F211" i="6"/>
  <c r="E211" i="6"/>
  <c r="J173" i="6"/>
  <c r="F173" i="6"/>
  <c r="E173" i="6"/>
  <c r="E92" i="6"/>
  <c r="F92" i="6"/>
  <c r="G92" i="6"/>
  <c r="J92" i="6"/>
  <c r="J218" i="6"/>
  <c r="E218" i="6"/>
  <c r="F218" i="6"/>
  <c r="F130" i="6"/>
  <c r="E130" i="6"/>
  <c r="J130" i="6"/>
  <c r="G130" i="6"/>
  <c r="F83" i="6"/>
  <c r="E83" i="6"/>
  <c r="G83" i="6"/>
  <c r="J83" i="6"/>
  <c r="J180" i="6"/>
  <c r="F180" i="6"/>
  <c r="E180" i="6"/>
  <c r="E108" i="6"/>
  <c r="F108" i="6"/>
  <c r="J108" i="6"/>
  <c r="G108" i="6"/>
  <c r="E87" i="6"/>
  <c r="F87" i="6"/>
  <c r="G87" i="6"/>
  <c r="J87" i="6"/>
  <c r="G222" i="6"/>
  <c r="E127" i="6"/>
  <c r="F127" i="6"/>
  <c r="J127" i="6"/>
  <c r="G127" i="6"/>
  <c r="G213" i="6"/>
  <c r="J200" i="6"/>
  <c r="E200" i="6"/>
  <c r="F200" i="6"/>
  <c r="J175" i="6"/>
  <c r="F175" i="6"/>
  <c r="E175" i="6"/>
  <c r="G190" i="6"/>
  <c r="E84" i="6"/>
  <c r="F84" i="6"/>
  <c r="J84" i="6"/>
  <c r="G84" i="6"/>
  <c r="J203" i="6"/>
  <c r="E203" i="6"/>
  <c r="F203" i="6"/>
  <c r="I202" i="6"/>
  <c r="H202" i="6"/>
  <c r="E129" i="6"/>
  <c r="F129" i="6"/>
  <c r="G129" i="6"/>
  <c r="J129" i="6"/>
  <c r="J189" i="6"/>
  <c r="E189" i="6"/>
  <c r="F189" i="6"/>
  <c r="H169" i="6"/>
  <c r="I169" i="6"/>
  <c r="E105" i="6"/>
  <c r="F105" i="6"/>
  <c r="J105" i="6"/>
  <c r="G105" i="6"/>
  <c r="F94" i="6"/>
  <c r="E94" i="6"/>
  <c r="J94" i="6"/>
  <c r="G94" i="6"/>
  <c r="J169" i="6"/>
  <c r="E169" i="6"/>
  <c r="F169" i="6"/>
  <c r="J174" i="6"/>
  <c r="E174" i="6"/>
  <c r="F174" i="6"/>
  <c r="H175" i="6"/>
  <c r="I175" i="6"/>
  <c r="J210" i="6"/>
  <c r="F210" i="6"/>
  <c r="E210" i="6"/>
  <c r="E86" i="6"/>
  <c r="F86" i="6"/>
  <c r="J86" i="6"/>
  <c r="G86" i="6"/>
  <c r="E104" i="6"/>
  <c r="F104" i="6"/>
  <c r="G104" i="6"/>
  <c r="J104" i="6"/>
  <c r="J194" i="6"/>
  <c r="F194" i="6"/>
  <c r="E194" i="6"/>
  <c r="H220" i="6"/>
  <c r="I220" i="6"/>
  <c r="J212" i="6"/>
  <c r="E212" i="6"/>
  <c r="F212" i="6"/>
  <c r="H224" i="6"/>
  <c r="I224" i="6"/>
  <c r="H216" i="6"/>
  <c r="I216" i="6"/>
  <c r="I198" i="6"/>
  <c r="H198" i="6"/>
  <c r="E101" i="6"/>
  <c r="F101" i="6"/>
  <c r="J101" i="6"/>
  <c r="G101" i="6"/>
  <c r="J172" i="6"/>
  <c r="F172" i="6"/>
  <c r="E172" i="6"/>
  <c r="E121" i="6"/>
  <c r="F121" i="6"/>
  <c r="G121" i="6"/>
  <c r="J121" i="6"/>
  <c r="J214" i="6"/>
  <c r="F214" i="6"/>
  <c r="E214" i="6"/>
  <c r="I192" i="6"/>
  <c r="H192" i="6"/>
  <c r="J209" i="6"/>
  <c r="E209" i="6"/>
  <c r="F209" i="6"/>
  <c r="J170" i="6"/>
  <c r="F170" i="6"/>
  <c r="E170" i="6"/>
  <c r="G208" i="6"/>
  <c r="F115" i="6"/>
  <c r="E115" i="6"/>
  <c r="G115" i="6"/>
  <c r="J115" i="6"/>
  <c r="E107" i="6"/>
  <c r="F107" i="6"/>
  <c r="J107" i="6"/>
  <c r="G107" i="6"/>
  <c r="F97" i="6"/>
  <c r="E97" i="6"/>
  <c r="J97" i="6"/>
  <c r="G97" i="6"/>
  <c r="I184" i="6"/>
  <c r="H184" i="6"/>
  <c r="J197" i="6"/>
  <c r="E197" i="6"/>
  <c r="F197" i="6"/>
  <c r="F123" i="6"/>
  <c r="E123" i="6"/>
  <c r="G123" i="6"/>
  <c r="J123" i="6"/>
  <c r="G195" i="6"/>
  <c r="J217" i="6"/>
  <c r="E217" i="6"/>
  <c r="F217" i="6"/>
  <c r="J183" i="6"/>
  <c r="F183" i="6"/>
  <c r="E183" i="6"/>
  <c r="F88" i="6"/>
  <c r="E88" i="6"/>
  <c r="J88" i="6"/>
  <c r="G88" i="6"/>
  <c r="J176" i="6"/>
  <c r="F176" i="6"/>
  <c r="E176" i="6"/>
  <c r="J186" i="6"/>
  <c r="F186" i="6"/>
  <c r="E186" i="6"/>
  <c r="E224" i="6"/>
  <c r="F224" i="6"/>
  <c r="J224" i="6"/>
  <c r="G191" i="6"/>
  <c r="J177" i="6"/>
  <c r="E177" i="6"/>
  <c r="F177" i="6"/>
  <c r="J221" i="6"/>
  <c r="F221" i="6"/>
  <c r="E221" i="6"/>
  <c r="G193" i="6"/>
  <c r="E106" i="6"/>
  <c r="F106" i="6"/>
  <c r="G106" i="6"/>
  <c r="J106" i="6"/>
  <c r="J199" i="6"/>
  <c r="F199" i="6"/>
  <c r="E199" i="6"/>
  <c r="J202" i="6"/>
  <c r="F202" i="6"/>
  <c r="E202" i="6"/>
  <c r="E80" i="6"/>
  <c r="F80" i="6"/>
  <c r="J80" i="6"/>
  <c r="G80" i="6"/>
  <c r="J181" i="6"/>
  <c r="E181" i="6"/>
  <c r="F181" i="6"/>
  <c r="E100" i="6"/>
  <c r="F100" i="6"/>
  <c r="J100" i="6"/>
  <c r="G100" i="6"/>
  <c r="I218" i="6"/>
  <c r="H218" i="6"/>
  <c r="J187" i="6"/>
  <c r="F187" i="6"/>
  <c r="E187" i="6"/>
  <c r="F103" i="6"/>
  <c r="E103" i="6"/>
  <c r="J103" i="6"/>
  <c r="G103" i="6"/>
  <c r="H209" i="6"/>
  <c r="I209" i="6"/>
  <c r="H172" i="6"/>
  <c r="I172" i="6"/>
  <c r="I189" i="6"/>
  <c r="H189" i="6"/>
  <c r="H173" i="6"/>
  <c r="I173" i="6"/>
  <c r="J219" i="6"/>
  <c r="F219" i="6"/>
  <c r="E219" i="6"/>
  <c r="G219" i="6"/>
  <c r="F111" i="6"/>
  <c r="E111" i="6"/>
  <c r="J111" i="6"/>
  <c r="G111" i="6"/>
  <c r="I206" i="6"/>
  <c r="H206" i="6"/>
  <c r="I205" i="6"/>
  <c r="H205" i="6"/>
  <c r="J223" i="6"/>
  <c r="E223" i="6"/>
  <c r="F223" i="6"/>
  <c r="F117" i="6"/>
  <c r="E117" i="6"/>
  <c r="G117" i="6"/>
  <c r="J117" i="6"/>
  <c r="F98" i="6"/>
  <c r="E98" i="6"/>
  <c r="J98" i="6"/>
  <c r="G98" i="6"/>
  <c r="G194" i="6"/>
  <c r="J205" i="6"/>
  <c r="E205" i="6"/>
  <c r="F205" i="6"/>
  <c r="F95" i="6"/>
  <c r="E95" i="6"/>
  <c r="G95" i="6"/>
  <c r="J95" i="6"/>
  <c r="G187" i="6"/>
  <c r="G180" i="6"/>
  <c r="I178" i="6"/>
  <c r="H178" i="6"/>
  <c r="E109" i="6"/>
  <c r="F109" i="6"/>
  <c r="G109" i="6"/>
  <c r="J109" i="6"/>
  <c r="G200" i="6"/>
  <c r="J179" i="6"/>
  <c r="E179" i="6"/>
  <c r="F179" i="6"/>
  <c r="J178" i="6"/>
  <c r="E178" i="6"/>
  <c r="F178" i="6"/>
  <c r="J188" i="6"/>
  <c r="E188" i="6"/>
  <c r="F188" i="6"/>
  <c r="E85" i="6"/>
  <c r="F85" i="6"/>
  <c r="J85" i="6"/>
  <c r="G85" i="6"/>
  <c r="I174" i="6"/>
  <c r="H174" i="6"/>
  <c r="G201" i="6"/>
  <c r="F118" i="6"/>
  <c r="E118" i="6"/>
  <c r="J118" i="6"/>
  <c r="G118" i="6"/>
  <c r="G183" i="6"/>
  <c r="J207" i="6"/>
  <c r="F207" i="6"/>
  <c r="E207" i="6"/>
  <c r="J184" i="6"/>
  <c r="F184" i="6"/>
  <c r="E184" i="6"/>
  <c r="G171" i="6"/>
  <c r="F102" i="6"/>
  <c r="E102" i="6"/>
  <c r="J102" i="6"/>
  <c r="G102" i="6"/>
  <c r="G188" i="6"/>
  <c r="J182" i="6"/>
  <c r="F182" i="6"/>
  <c r="E182" i="6"/>
  <c r="B39" i="1"/>
  <c r="B67" i="2"/>
  <c r="B45" i="1" s="1"/>
  <c r="D70" i="2"/>
  <c r="AH82" i="2"/>
  <c r="AH105" i="2"/>
  <c r="AL109" i="2"/>
  <c r="AH81" i="2"/>
  <c r="AK104" i="2"/>
  <c r="AL104" i="2" s="1"/>
  <c r="W95" i="2"/>
  <c r="Z95" i="2"/>
  <c r="AA95" i="2" s="1"/>
  <c r="AH88" i="2"/>
  <c r="AL94" i="2"/>
  <c r="AG100" i="2"/>
  <c r="AH100" i="2" s="1"/>
  <c r="Z62" i="2"/>
  <c r="AA62" i="2" s="1"/>
  <c r="AL74" i="2"/>
  <c r="AH96" i="2"/>
  <c r="AG72" i="2"/>
  <c r="AH72" i="2" s="1"/>
  <c r="W77" i="2"/>
  <c r="AA108" i="2"/>
  <c r="Z72" i="2"/>
  <c r="AA72" i="2" s="1"/>
  <c r="R75" i="2"/>
  <c r="S75" i="2" s="1"/>
  <c r="S80" i="2"/>
  <c r="AG70" i="2"/>
  <c r="AH70" i="2" s="1"/>
  <c r="R107" i="2"/>
  <c r="S107" i="2" s="1"/>
  <c r="R134" i="6" l="1"/>
  <c r="X134" i="6" s="1"/>
  <c r="Z134" i="6" s="1"/>
  <c r="L134" i="6"/>
  <c r="I136" i="6"/>
  <c r="H136" i="6"/>
  <c r="K136" i="6"/>
  <c r="L136" i="6"/>
  <c r="R136" i="6"/>
  <c r="E227" i="6"/>
  <c r="F227" i="6"/>
  <c r="G227" i="6"/>
  <c r="L135" i="6"/>
  <c r="K135" i="6"/>
  <c r="R135" i="6"/>
  <c r="H134" i="6"/>
  <c r="I134" i="6"/>
  <c r="Q227" i="6"/>
  <c r="P227" i="6"/>
  <c r="L226" i="6"/>
  <c r="K226" i="6"/>
  <c r="R226" i="6"/>
  <c r="D137" i="6"/>
  <c r="U137" i="6"/>
  <c r="O137" i="6"/>
  <c r="B188" i="2"/>
  <c r="B175" i="1" s="1"/>
  <c r="B228" i="6"/>
  <c r="C228" i="6" s="1"/>
  <c r="J227" i="6"/>
  <c r="I135" i="6"/>
  <c r="H135" i="6"/>
  <c r="I171" i="6"/>
  <c r="H171" i="6"/>
  <c r="H219" i="6"/>
  <c r="I219" i="6"/>
  <c r="I115" i="6"/>
  <c r="H115" i="6"/>
  <c r="L104" i="6"/>
  <c r="K104" i="6"/>
  <c r="R104" i="6"/>
  <c r="X104" i="6" s="1"/>
  <c r="K218" i="6"/>
  <c r="L218" i="6"/>
  <c r="R218" i="6"/>
  <c r="H112" i="6"/>
  <c r="I112" i="6"/>
  <c r="I89" i="6"/>
  <c r="H89" i="6"/>
  <c r="I125" i="6"/>
  <c r="H125" i="6"/>
  <c r="R209" i="6"/>
  <c r="K209" i="6"/>
  <c r="L209" i="6"/>
  <c r="I104" i="6"/>
  <c r="H104" i="6"/>
  <c r="L129" i="6"/>
  <c r="K129" i="6"/>
  <c r="R129" i="6"/>
  <c r="X129" i="6" s="1"/>
  <c r="K204" i="6"/>
  <c r="L204" i="6"/>
  <c r="R204" i="6"/>
  <c r="R207" i="6"/>
  <c r="K207" i="6"/>
  <c r="L207" i="6"/>
  <c r="H109" i="6"/>
  <c r="I109" i="6"/>
  <c r="H95" i="6"/>
  <c r="I95" i="6"/>
  <c r="L98" i="6"/>
  <c r="K98" i="6"/>
  <c r="R98" i="6"/>
  <c r="X98" i="6" s="1"/>
  <c r="K100" i="6"/>
  <c r="L100" i="6"/>
  <c r="R100" i="6"/>
  <c r="X100" i="6" s="1"/>
  <c r="L106" i="6"/>
  <c r="K106" i="6"/>
  <c r="R106" i="6"/>
  <c r="X106" i="6" s="1"/>
  <c r="K123" i="6"/>
  <c r="L123" i="6"/>
  <c r="R123" i="6"/>
  <c r="X123" i="6" s="1"/>
  <c r="K170" i="6"/>
  <c r="L170" i="6"/>
  <c r="R170" i="6"/>
  <c r="L214" i="6"/>
  <c r="K214" i="6"/>
  <c r="R214" i="6"/>
  <c r="I101" i="6"/>
  <c r="H101" i="6"/>
  <c r="I190" i="6"/>
  <c r="H190" i="6"/>
  <c r="I127" i="6"/>
  <c r="H127" i="6"/>
  <c r="K83" i="6"/>
  <c r="L83" i="6"/>
  <c r="R83" i="6"/>
  <c r="X83" i="6" s="1"/>
  <c r="L126" i="6"/>
  <c r="K126" i="6"/>
  <c r="R126" i="6"/>
  <c r="X126" i="6" s="1"/>
  <c r="L116" i="6"/>
  <c r="K116" i="6"/>
  <c r="R116" i="6"/>
  <c r="X116" i="6" s="1"/>
  <c r="K215" i="6"/>
  <c r="L215" i="6"/>
  <c r="L171" i="6"/>
  <c r="K171" i="6"/>
  <c r="R171" i="6"/>
  <c r="L131" i="6"/>
  <c r="K131" i="6"/>
  <c r="R131" i="6"/>
  <c r="X131" i="6" s="1"/>
  <c r="K122" i="6"/>
  <c r="L122" i="6"/>
  <c r="R122" i="6"/>
  <c r="X122" i="6" s="1"/>
  <c r="K195" i="6"/>
  <c r="L195" i="6"/>
  <c r="R195" i="6"/>
  <c r="I93" i="6"/>
  <c r="H93" i="6"/>
  <c r="H183" i="6"/>
  <c r="I183" i="6"/>
  <c r="H85" i="6"/>
  <c r="I85" i="6"/>
  <c r="R223" i="6"/>
  <c r="K223" i="6"/>
  <c r="L223" i="6"/>
  <c r="I106" i="6"/>
  <c r="H106" i="6"/>
  <c r="K186" i="6"/>
  <c r="L186" i="6"/>
  <c r="R186" i="6"/>
  <c r="I123" i="6"/>
  <c r="H123" i="6"/>
  <c r="I97" i="6"/>
  <c r="H97" i="6"/>
  <c r="K115" i="6"/>
  <c r="L115" i="6"/>
  <c r="R115" i="6"/>
  <c r="X115" i="6" s="1"/>
  <c r="L121" i="6"/>
  <c r="K121" i="6"/>
  <c r="R121" i="6"/>
  <c r="X121" i="6" s="1"/>
  <c r="K101" i="6"/>
  <c r="L101" i="6"/>
  <c r="R101" i="6"/>
  <c r="X101" i="6" s="1"/>
  <c r="K194" i="6"/>
  <c r="L194" i="6"/>
  <c r="R194" i="6"/>
  <c r="L127" i="6"/>
  <c r="K127" i="6"/>
  <c r="R127" i="6"/>
  <c r="X127" i="6" s="1"/>
  <c r="I108" i="6"/>
  <c r="H108" i="6"/>
  <c r="I83" i="6"/>
  <c r="H83" i="6"/>
  <c r="R173" i="6"/>
  <c r="K173" i="6"/>
  <c r="L173" i="6"/>
  <c r="L90" i="6"/>
  <c r="K90" i="6"/>
  <c r="R90" i="6"/>
  <c r="X90" i="6" s="1"/>
  <c r="I116" i="6"/>
  <c r="H116" i="6"/>
  <c r="K220" i="6"/>
  <c r="L220" i="6"/>
  <c r="R220" i="6"/>
  <c r="I131" i="6"/>
  <c r="H131" i="6"/>
  <c r="H132" i="6"/>
  <c r="I132" i="6"/>
  <c r="I122" i="6"/>
  <c r="H122" i="6"/>
  <c r="L201" i="6"/>
  <c r="K201" i="6"/>
  <c r="L93" i="6"/>
  <c r="K93" i="6"/>
  <c r="R93" i="6"/>
  <c r="X93" i="6" s="1"/>
  <c r="K177" i="6"/>
  <c r="L177" i="6"/>
  <c r="R177" i="6"/>
  <c r="L189" i="6"/>
  <c r="K189" i="6"/>
  <c r="R189" i="6"/>
  <c r="H90" i="6"/>
  <c r="I90" i="6"/>
  <c r="K99" i="6"/>
  <c r="L99" i="6"/>
  <c r="R99" i="6"/>
  <c r="X99" i="6" s="1"/>
  <c r="L96" i="6"/>
  <c r="K96" i="6"/>
  <c r="R96" i="6"/>
  <c r="X96" i="6" s="1"/>
  <c r="I191" i="6"/>
  <c r="H191" i="6"/>
  <c r="L175" i="6"/>
  <c r="K175" i="6"/>
  <c r="K92" i="6"/>
  <c r="L92" i="6"/>
  <c r="R92" i="6"/>
  <c r="X92" i="6" s="1"/>
  <c r="L119" i="6"/>
  <c r="K119" i="6"/>
  <c r="R119" i="6"/>
  <c r="X119" i="6" s="1"/>
  <c r="K113" i="6"/>
  <c r="L113" i="6"/>
  <c r="R113" i="6"/>
  <c r="X113" i="6" s="1"/>
  <c r="L182" i="6"/>
  <c r="K182" i="6"/>
  <c r="R182" i="6"/>
  <c r="K202" i="6"/>
  <c r="L202" i="6"/>
  <c r="R202" i="6"/>
  <c r="R176" i="6"/>
  <c r="L176" i="6"/>
  <c r="K176" i="6"/>
  <c r="I129" i="6"/>
  <c r="H129" i="6"/>
  <c r="H84" i="6"/>
  <c r="I84" i="6"/>
  <c r="I130" i="6"/>
  <c r="H130" i="6"/>
  <c r="R193" i="6"/>
  <c r="K193" i="6"/>
  <c r="L193" i="6"/>
  <c r="I188" i="6"/>
  <c r="H188" i="6"/>
  <c r="K184" i="6"/>
  <c r="L184" i="6"/>
  <c r="R184" i="6"/>
  <c r="K179" i="6"/>
  <c r="L179" i="6"/>
  <c r="R179" i="6"/>
  <c r="H180" i="6"/>
  <c r="I180" i="6"/>
  <c r="K205" i="6"/>
  <c r="L205" i="6"/>
  <c r="R205" i="6"/>
  <c r="K219" i="6"/>
  <c r="L219" i="6"/>
  <c r="R219" i="6"/>
  <c r="K181" i="6"/>
  <c r="L181" i="6"/>
  <c r="R181" i="6"/>
  <c r="H88" i="6"/>
  <c r="I88" i="6"/>
  <c r="I107" i="6"/>
  <c r="H107" i="6"/>
  <c r="H208" i="6"/>
  <c r="I208" i="6"/>
  <c r="R169" i="6"/>
  <c r="K169" i="6"/>
  <c r="L169" i="6"/>
  <c r="L84" i="6"/>
  <c r="K84" i="6"/>
  <c r="R84" i="6"/>
  <c r="X84" i="6" s="1"/>
  <c r="K87" i="6"/>
  <c r="L87" i="6"/>
  <c r="R87" i="6"/>
  <c r="X87" i="6" s="1"/>
  <c r="L130" i="6"/>
  <c r="K130" i="6"/>
  <c r="R130" i="6"/>
  <c r="X130" i="6" s="1"/>
  <c r="I124" i="6"/>
  <c r="H124" i="6"/>
  <c r="H120" i="6"/>
  <c r="I120" i="6"/>
  <c r="L128" i="6"/>
  <c r="K128" i="6"/>
  <c r="R128" i="6"/>
  <c r="X128" i="6" s="1"/>
  <c r="L114" i="6"/>
  <c r="K114" i="6"/>
  <c r="R114" i="6"/>
  <c r="X114" i="6" s="1"/>
  <c r="H118" i="6"/>
  <c r="I118" i="6"/>
  <c r="K85" i="6"/>
  <c r="L85" i="6"/>
  <c r="R85" i="6"/>
  <c r="X85" i="6" s="1"/>
  <c r="L97" i="6"/>
  <c r="K97" i="6"/>
  <c r="R97" i="6"/>
  <c r="X97" i="6" s="1"/>
  <c r="H121" i="6"/>
  <c r="I121" i="6"/>
  <c r="R191" i="6"/>
  <c r="K191" i="6"/>
  <c r="L191" i="6"/>
  <c r="K81" i="6"/>
  <c r="L81" i="6"/>
  <c r="R81" i="6"/>
  <c r="X81" i="6" s="1"/>
  <c r="K183" i="6"/>
  <c r="L183" i="6"/>
  <c r="R183" i="6"/>
  <c r="K105" i="6"/>
  <c r="L105" i="6"/>
  <c r="R105" i="6"/>
  <c r="X105" i="6" s="1"/>
  <c r="L213" i="6"/>
  <c r="K213" i="6"/>
  <c r="R213" i="6"/>
  <c r="K112" i="6"/>
  <c r="L112" i="6"/>
  <c r="R112" i="6"/>
  <c r="X112" i="6" s="1"/>
  <c r="K79" i="6"/>
  <c r="L79" i="6"/>
  <c r="R79" i="6"/>
  <c r="X79" i="6" s="1"/>
  <c r="L89" i="6"/>
  <c r="K89" i="6"/>
  <c r="R89" i="6"/>
  <c r="X89" i="6" s="1"/>
  <c r="I81" i="6"/>
  <c r="H81" i="6"/>
  <c r="R196" i="6"/>
  <c r="L196" i="6"/>
  <c r="K196" i="6"/>
  <c r="K187" i="6"/>
  <c r="L187" i="6"/>
  <c r="R187" i="6"/>
  <c r="I193" i="6"/>
  <c r="H193" i="6"/>
  <c r="K212" i="6"/>
  <c r="L212" i="6"/>
  <c r="R212" i="6"/>
  <c r="I222" i="6"/>
  <c r="H222" i="6"/>
  <c r="H92" i="6"/>
  <c r="I92" i="6"/>
  <c r="I119" i="6"/>
  <c r="H119" i="6"/>
  <c r="R201" i="6"/>
  <c r="I201" i="6"/>
  <c r="H201" i="6"/>
  <c r="H200" i="6"/>
  <c r="I200" i="6"/>
  <c r="I187" i="6"/>
  <c r="H187" i="6"/>
  <c r="H194" i="6"/>
  <c r="I194" i="6"/>
  <c r="I111" i="6"/>
  <c r="H111" i="6"/>
  <c r="H103" i="6"/>
  <c r="I103" i="6"/>
  <c r="H80" i="6"/>
  <c r="I80" i="6"/>
  <c r="L88" i="6"/>
  <c r="K88" i="6"/>
  <c r="R88" i="6"/>
  <c r="X88" i="6" s="1"/>
  <c r="K217" i="6"/>
  <c r="L217" i="6"/>
  <c r="R217" i="6"/>
  <c r="R197" i="6"/>
  <c r="K197" i="6"/>
  <c r="L197" i="6"/>
  <c r="K107" i="6"/>
  <c r="L107" i="6"/>
  <c r="R107" i="6"/>
  <c r="X107" i="6" s="1"/>
  <c r="H86" i="6"/>
  <c r="I86" i="6"/>
  <c r="H94" i="6"/>
  <c r="I94" i="6"/>
  <c r="K200" i="6"/>
  <c r="L200" i="6"/>
  <c r="R200" i="6"/>
  <c r="I87" i="6"/>
  <c r="H87" i="6"/>
  <c r="L124" i="6"/>
  <c r="K124" i="6"/>
  <c r="R124" i="6"/>
  <c r="X124" i="6" s="1"/>
  <c r="R215" i="6"/>
  <c r="L120" i="6"/>
  <c r="K120" i="6"/>
  <c r="R120" i="6"/>
  <c r="X120" i="6" s="1"/>
  <c r="I91" i="6"/>
  <c r="H91" i="6"/>
  <c r="L206" i="6"/>
  <c r="K206" i="6"/>
  <c r="R206" i="6"/>
  <c r="K133" i="6"/>
  <c r="L133" i="6"/>
  <c r="R133" i="6"/>
  <c r="X133" i="6" s="1"/>
  <c r="H82" i="6"/>
  <c r="I82" i="6"/>
  <c r="H110" i="6"/>
  <c r="I110" i="6"/>
  <c r="H114" i="6"/>
  <c r="I114" i="6"/>
  <c r="R208" i="6"/>
  <c r="L208" i="6"/>
  <c r="K208" i="6"/>
  <c r="L216" i="6"/>
  <c r="K216" i="6"/>
  <c r="R216" i="6"/>
  <c r="L190" i="6"/>
  <c r="K190" i="6"/>
  <c r="R190" i="6"/>
  <c r="L178" i="6"/>
  <c r="K178" i="6"/>
  <c r="R178" i="6"/>
  <c r="L174" i="6"/>
  <c r="K174" i="6"/>
  <c r="R174" i="6"/>
  <c r="I105" i="6"/>
  <c r="H105" i="6"/>
  <c r="L108" i="6"/>
  <c r="K108" i="6"/>
  <c r="R108" i="6"/>
  <c r="X108" i="6" s="1"/>
  <c r="I113" i="6"/>
  <c r="H113" i="6"/>
  <c r="L132" i="6"/>
  <c r="K132" i="6"/>
  <c r="R132" i="6"/>
  <c r="X132" i="6" s="1"/>
  <c r="L118" i="6"/>
  <c r="K118" i="6"/>
  <c r="R118" i="6"/>
  <c r="X118" i="6" s="1"/>
  <c r="K117" i="6"/>
  <c r="L117" i="6"/>
  <c r="R117" i="6"/>
  <c r="X117" i="6" s="1"/>
  <c r="K203" i="6"/>
  <c r="L203" i="6"/>
  <c r="R203" i="6"/>
  <c r="R185" i="6"/>
  <c r="K185" i="6"/>
  <c r="L185" i="6"/>
  <c r="I99" i="6"/>
  <c r="H99" i="6"/>
  <c r="K192" i="6"/>
  <c r="L192" i="6"/>
  <c r="R192" i="6"/>
  <c r="K125" i="6"/>
  <c r="L125" i="6"/>
  <c r="R125" i="6"/>
  <c r="X125" i="6" s="1"/>
  <c r="I96" i="6"/>
  <c r="H96" i="6"/>
  <c r="I117" i="6"/>
  <c r="H117" i="6"/>
  <c r="K224" i="6"/>
  <c r="L224" i="6"/>
  <c r="R224" i="6"/>
  <c r="L210" i="6"/>
  <c r="K210" i="6"/>
  <c r="R210" i="6"/>
  <c r="L211" i="6"/>
  <c r="K211" i="6"/>
  <c r="R211" i="6"/>
  <c r="I128" i="6"/>
  <c r="H128" i="6"/>
  <c r="H79" i="6"/>
  <c r="I79" i="6"/>
  <c r="I102" i="6"/>
  <c r="H102" i="6"/>
  <c r="L102" i="6"/>
  <c r="K102" i="6"/>
  <c r="R102" i="6"/>
  <c r="X102" i="6" s="1"/>
  <c r="K188" i="6"/>
  <c r="L188" i="6"/>
  <c r="R188" i="6"/>
  <c r="K109" i="6"/>
  <c r="L109" i="6"/>
  <c r="R109" i="6"/>
  <c r="X109" i="6" s="1"/>
  <c r="K95" i="6"/>
  <c r="L95" i="6"/>
  <c r="R95" i="6"/>
  <c r="X95" i="6" s="1"/>
  <c r="I98" i="6"/>
  <c r="H98" i="6"/>
  <c r="K111" i="6"/>
  <c r="L111" i="6"/>
  <c r="R111" i="6"/>
  <c r="X111" i="6" s="1"/>
  <c r="K103" i="6"/>
  <c r="L103" i="6"/>
  <c r="R103" i="6"/>
  <c r="X103" i="6" s="1"/>
  <c r="I100" i="6"/>
  <c r="H100" i="6"/>
  <c r="K80" i="6"/>
  <c r="L80" i="6"/>
  <c r="R80" i="6"/>
  <c r="X80" i="6" s="1"/>
  <c r="K199" i="6"/>
  <c r="L199" i="6"/>
  <c r="K221" i="6"/>
  <c r="L221" i="6"/>
  <c r="R221" i="6"/>
  <c r="I195" i="6"/>
  <c r="H195" i="6"/>
  <c r="L172" i="6"/>
  <c r="K172" i="6"/>
  <c r="R172" i="6"/>
  <c r="L86" i="6"/>
  <c r="K86" i="6"/>
  <c r="R86" i="6"/>
  <c r="X86" i="6" s="1"/>
  <c r="R175" i="6"/>
  <c r="K94" i="6"/>
  <c r="L94" i="6"/>
  <c r="R94" i="6"/>
  <c r="X94" i="6" s="1"/>
  <c r="H213" i="6"/>
  <c r="I213" i="6"/>
  <c r="R180" i="6"/>
  <c r="K180" i="6"/>
  <c r="L180" i="6"/>
  <c r="I126" i="6"/>
  <c r="H126" i="6"/>
  <c r="R199" i="6"/>
  <c r="L91" i="6"/>
  <c r="K91" i="6"/>
  <c r="R91" i="6"/>
  <c r="X91" i="6" s="1"/>
  <c r="H133" i="6"/>
  <c r="I133" i="6"/>
  <c r="K198" i="6"/>
  <c r="L198" i="6"/>
  <c r="R198" i="6"/>
  <c r="K82" i="6"/>
  <c r="L82" i="6"/>
  <c r="R82" i="6"/>
  <c r="X82" i="6" s="1"/>
  <c r="K110" i="6"/>
  <c r="L110" i="6"/>
  <c r="R110" i="6"/>
  <c r="X110" i="6" s="1"/>
  <c r="I196" i="6"/>
  <c r="H196" i="6"/>
  <c r="K222" i="6"/>
  <c r="L222" i="6"/>
  <c r="R222" i="6"/>
  <c r="B68" i="2"/>
  <c r="B46" i="1" s="1"/>
  <c r="S134" i="6" l="1"/>
  <c r="B167" i="2" s="1"/>
  <c r="B170" i="2" s="1"/>
  <c r="B158" i="1" s="1"/>
  <c r="Y134" i="6"/>
  <c r="T134" i="6"/>
  <c r="Z121" i="6"/>
  <c r="Y121" i="6"/>
  <c r="Y120" i="6"/>
  <c r="Z120" i="6"/>
  <c r="K227" i="6"/>
  <c r="L227" i="6"/>
  <c r="Y109" i="6"/>
  <c r="Z109" i="6"/>
  <c r="Y112" i="6"/>
  <c r="Z112" i="6"/>
  <c r="Y119" i="6"/>
  <c r="Z119" i="6"/>
  <c r="Z90" i="6"/>
  <c r="Y90" i="6"/>
  <c r="Z82" i="6"/>
  <c r="Y82" i="6"/>
  <c r="Y91" i="6"/>
  <c r="Z91" i="6"/>
  <c r="Y125" i="6"/>
  <c r="Z125" i="6"/>
  <c r="Y87" i="6"/>
  <c r="Z87" i="6"/>
  <c r="Y131" i="6"/>
  <c r="Z131" i="6"/>
  <c r="Y116" i="6"/>
  <c r="Z116" i="6"/>
  <c r="Z106" i="6"/>
  <c r="Y106" i="6"/>
  <c r="V137" i="6"/>
  <c r="W137" i="6"/>
  <c r="X136" i="6"/>
  <c r="T136" i="6"/>
  <c r="S136" i="6"/>
  <c r="X135" i="6"/>
  <c r="S135" i="6"/>
  <c r="T135" i="6"/>
  <c r="Z107" i="6"/>
  <c r="Y107" i="6"/>
  <c r="Z84" i="6"/>
  <c r="Y84" i="6"/>
  <c r="Z129" i="6"/>
  <c r="Y129" i="6"/>
  <c r="Y111" i="6"/>
  <c r="Z111" i="6"/>
  <c r="Y86" i="6"/>
  <c r="Z86" i="6"/>
  <c r="Z124" i="6"/>
  <c r="Y124" i="6"/>
  <c r="Y93" i="6"/>
  <c r="Z93" i="6"/>
  <c r="Y101" i="6"/>
  <c r="Z101" i="6"/>
  <c r="Q137" i="6"/>
  <c r="P137" i="6"/>
  <c r="Y103" i="6"/>
  <c r="Z103" i="6"/>
  <c r="Y95" i="6"/>
  <c r="Z95" i="6"/>
  <c r="Y118" i="6"/>
  <c r="Z118" i="6"/>
  <c r="Z108" i="6"/>
  <c r="Y108" i="6"/>
  <c r="Z89" i="6"/>
  <c r="Y89" i="6"/>
  <c r="Y96" i="6"/>
  <c r="Z96" i="6"/>
  <c r="Y127" i="6"/>
  <c r="Z127" i="6"/>
  <c r="E137" i="6"/>
  <c r="F137" i="6"/>
  <c r="J137" i="6"/>
  <c r="Y102" i="6"/>
  <c r="Z102" i="6"/>
  <c r="Y92" i="6"/>
  <c r="Z92" i="6"/>
  <c r="Z94" i="6"/>
  <c r="Y94" i="6"/>
  <c r="Z81" i="6"/>
  <c r="Y81" i="6"/>
  <c r="Y126" i="6"/>
  <c r="Z126" i="6"/>
  <c r="Y80" i="6"/>
  <c r="Z80" i="6"/>
  <c r="Z88" i="6"/>
  <c r="Y88" i="6"/>
  <c r="Y79" i="6"/>
  <c r="Z79" i="6"/>
  <c r="Z113" i="6"/>
  <c r="Y113" i="6"/>
  <c r="Y99" i="6"/>
  <c r="Z99" i="6"/>
  <c r="Y104" i="6"/>
  <c r="Z104" i="6"/>
  <c r="O228" i="6"/>
  <c r="D228" i="6"/>
  <c r="J228" i="6" s="1"/>
  <c r="T226" i="6"/>
  <c r="S226" i="6"/>
  <c r="Z97" i="6"/>
  <c r="Y97" i="6"/>
  <c r="Z110" i="6"/>
  <c r="Y110" i="6"/>
  <c r="Z105" i="6"/>
  <c r="Y105" i="6"/>
  <c r="Y130" i="6"/>
  <c r="Z130" i="6"/>
  <c r="Y115" i="6"/>
  <c r="Z115" i="6"/>
  <c r="Z122" i="6"/>
  <c r="Y122" i="6"/>
  <c r="Y123" i="6"/>
  <c r="Z123" i="6"/>
  <c r="R227" i="6"/>
  <c r="I227" i="6"/>
  <c r="H227" i="6"/>
  <c r="Y133" i="6"/>
  <c r="Z133" i="6"/>
  <c r="Z114" i="6"/>
  <c r="Y114" i="6"/>
  <c r="Z100" i="6"/>
  <c r="Y100" i="6"/>
  <c r="Y132" i="6"/>
  <c r="Z132" i="6"/>
  <c r="Y117" i="6"/>
  <c r="Z117" i="6"/>
  <c r="Y85" i="6"/>
  <c r="Z85" i="6"/>
  <c r="Y128" i="6"/>
  <c r="Z128" i="6"/>
  <c r="Y83" i="6"/>
  <c r="Z83" i="6"/>
  <c r="Z98" i="6"/>
  <c r="Y98" i="6"/>
  <c r="G137" i="6"/>
  <c r="S205" i="6"/>
  <c r="T205" i="6"/>
  <c r="T175" i="6"/>
  <c r="S175" i="6"/>
  <c r="S215" i="6"/>
  <c r="T215" i="6"/>
  <c r="T85" i="6"/>
  <c r="S85" i="6"/>
  <c r="T83" i="6"/>
  <c r="S83" i="6"/>
  <c r="T216" i="6"/>
  <c r="S216" i="6"/>
  <c r="T93" i="6"/>
  <c r="S93" i="6"/>
  <c r="T90" i="6"/>
  <c r="S90" i="6"/>
  <c r="S101" i="6"/>
  <c r="T101" i="6"/>
  <c r="S214" i="6"/>
  <c r="T214" i="6"/>
  <c r="S207" i="6"/>
  <c r="T207" i="6"/>
  <c r="S222" i="6"/>
  <c r="T222" i="6"/>
  <c r="S82" i="6"/>
  <c r="T82" i="6"/>
  <c r="T91" i="6"/>
  <c r="S91" i="6"/>
  <c r="T180" i="6"/>
  <c r="S180" i="6"/>
  <c r="T125" i="6"/>
  <c r="S125" i="6"/>
  <c r="S197" i="6"/>
  <c r="T197" i="6"/>
  <c r="T183" i="6"/>
  <c r="S183" i="6"/>
  <c r="S191" i="6"/>
  <c r="T191" i="6"/>
  <c r="S87" i="6"/>
  <c r="T87" i="6"/>
  <c r="T169" i="6"/>
  <c r="S169" i="6"/>
  <c r="S131" i="6"/>
  <c r="T131" i="6"/>
  <c r="S116" i="6"/>
  <c r="T116" i="6"/>
  <c r="T106" i="6"/>
  <c r="S106" i="6"/>
  <c r="S204" i="6"/>
  <c r="T204" i="6"/>
  <c r="S110" i="6"/>
  <c r="T110" i="6"/>
  <c r="T201" i="6"/>
  <c r="S201" i="6"/>
  <c r="T176" i="6"/>
  <c r="S176" i="6"/>
  <c r="S123" i="6"/>
  <c r="T123" i="6"/>
  <c r="T117" i="6"/>
  <c r="S117" i="6"/>
  <c r="T128" i="6"/>
  <c r="S128" i="6"/>
  <c r="T98" i="6"/>
  <c r="S98" i="6"/>
  <c r="S188" i="6"/>
  <c r="T188" i="6"/>
  <c r="S181" i="6"/>
  <c r="T181" i="6"/>
  <c r="T103" i="6"/>
  <c r="S103" i="6"/>
  <c r="T108" i="6"/>
  <c r="S108" i="6"/>
  <c r="S89" i="6"/>
  <c r="T89" i="6"/>
  <c r="T182" i="6"/>
  <c r="S182" i="6"/>
  <c r="T96" i="6"/>
  <c r="S96" i="6"/>
  <c r="T189" i="6"/>
  <c r="S189" i="6"/>
  <c r="T127" i="6"/>
  <c r="S127" i="6"/>
  <c r="S218" i="6"/>
  <c r="T218" i="6"/>
  <c r="S172" i="6"/>
  <c r="T172" i="6"/>
  <c r="T102" i="6"/>
  <c r="S102" i="6"/>
  <c r="T185" i="6"/>
  <c r="S185" i="6"/>
  <c r="S213" i="6"/>
  <c r="T213" i="6"/>
  <c r="S219" i="6"/>
  <c r="T219" i="6"/>
  <c r="S179" i="6"/>
  <c r="T179" i="6"/>
  <c r="S92" i="6"/>
  <c r="T92" i="6"/>
  <c r="S220" i="6"/>
  <c r="T220" i="6"/>
  <c r="T121" i="6"/>
  <c r="S121" i="6"/>
  <c r="S195" i="6"/>
  <c r="T195" i="6"/>
  <c r="S170" i="6"/>
  <c r="T170" i="6"/>
  <c r="S209" i="6"/>
  <c r="T209" i="6"/>
  <c r="T130" i="6"/>
  <c r="S130" i="6"/>
  <c r="T115" i="6"/>
  <c r="S115" i="6"/>
  <c r="S210" i="6"/>
  <c r="T210" i="6"/>
  <c r="T206" i="6"/>
  <c r="S206" i="6"/>
  <c r="S202" i="6"/>
  <c r="T202" i="6"/>
  <c r="T221" i="6"/>
  <c r="S221" i="6"/>
  <c r="T112" i="6"/>
  <c r="S112" i="6"/>
  <c r="T95" i="6"/>
  <c r="S95" i="6"/>
  <c r="S118" i="6"/>
  <c r="T118" i="6"/>
  <c r="T217" i="6"/>
  <c r="S217" i="6"/>
  <c r="S199" i="6"/>
  <c r="T199" i="6"/>
  <c r="T94" i="6"/>
  <c r="S94" i="6"/>
  <c r="T211" i="6"/>
  <c r="S211" i="6"/>
  <c r="T192" i="6"/>
  <c r="S192" i="6"/>
  <c r="S203" i="6"/>
  <c r="T203" i="6"/>
  <c r="S133" i="6"/>
  <c r="T133" i="6"/>
  <c r="T120" i="6"/>
  <c r="S120" i="6"/>
  <c r="S107" i="6"/>
  <c r="T107" i="6"/>
  <c r="T81" i="6"/>
  <c r="S81" i="6"/>
  <c r="S97" i="6"/>
  <c r="T97" i="6"/>
  <c r="T114" i="6"/>
  <c r="S114" i="6"/>
  <c r="S84" i="6"/>
  <c r="T84" i="6"/>
  <c r="T223" i="6"/>
  <c r="S223" i="6"/>
  <c r="T171" i="6"/>
  <c r="S171" i="6"/>
  <c r="T126" i="6"/>
  <c r="S126" i="6"/>
  <c r="S100" i="6"/>
  <c r="T100" i="6"/>
  <c r="T129" i="6"/>
  <c r="S129" i="6"/>
  <c r="S105" i="6"/>
  <c r="T105" i="6"/>
  <c r="T184" i="6"/>
  <c r="S184" i="6"/>
  <c r="S122" i="6"/>
  <c r="T122" i="6"/>
  <c r="T174" i="6"/>
  <c r="S174" i="6"/>
  <c r="T196" i="6"/>
  <c r="S196" i="6"/>
  <c r="S86" i="6"/>
  <c r="T86" i="6"/>
  <c r="S124" i="6"/>
  <c r="T124" i="6"/>
  <c r="T119" i="6"/>
  <c r="S119" i="6"/>
  <c r="S224" i="6"/>
  <c r="B191" i="2" s="1"/>
  <c r="B194" i="2" s="1"/>
  <c r="T224" i="6"/>
  <c r="T178" i="6"/>
  <c r="S178" i="6"/>
  <c r="S187" i="6"/>
  <c r="T187" i="6"/>
  <c r="S198" i="6"/>
  <c r="T198" i="6"/>
  <c r="S80" i="6"/>
  <c r="T80" i="6"/>
  <c r="S111" i="6"/>
  <c r="T111" i="6"/>
  <c r="T109" i="6"/>
  <c r="S109" i="6"/>
  <c r="T132" i="6"/>
  <c r="S132" i="6"/>
  <c r="T190" i="6"/>
  <c r="S190" i="6"/>
  <c r="T208" i="6"/>
  <c r="S208" i="6"/>
  <c r="T200" i="6"/>
  <c r="S200" i="6"/>
  <c r="S88" i="6"/>
  <c r="T88" i="6"/>
  <c r="S212" i="6"/>
  <c r="T212" i="6"/>
  <c r="T79" i="6"/>
  <c r="S79" i="6"/>
  <c r="T193" i="6"/>
  <c r="S193" i="6"/>
  <c r="S113" i="6"/>
  <c r="T113" i="6"/>
  <c r="T99" i="6"/>
  <c r="S99" i="6"/>
  <c r="S177" i="6"/>
  <c r="T177" i="6"/>
  <c r="S173" i="6"/>
  <c r="T173" i="6"/>
  <c r="S194" i="6"/>
  <c r="T194" i="6"/>
  <c r="S186" i="6"/>
  <c r="T186" i="6"/>
  <c r="T104" i="6"/>
  <c r="S104" i="6"/>
  <c r="B174" i="2" l="1"/>
  <c r="B162" i="1" s="1"/>
  <c r="B172" i="2"/>
  <c r="B160" i="1" s="1"/>
  <c r="K228" i="6"/>
  <c r="L228" i="6"/>
  <c r="L137" i="6"/>
  <c r="K137" i="6"/>
  <c r="R137" i="6"/>
  <c r="Y136" i="6"/>
  <c r="Z136" i="6"/>
  <c r="S227" i="6"/>
  <c r="T227" i="6"/>
  <c r="Y135" i="6"/>
  <c r="Z135" i="6"/>
  <c r="E228" i="6"/>
  <c r="F228" i="6"/>
  <c r="G228" i="6"/>
  <c r="I137" i="6"/>
  <c r="H137" i="6"/>
  <c r="Q228" i="6"/>
  <c r="P228" i="6"/>
  <c r="B177" i="1"/>
  <c r="B196" i="2"/>
  <c r="B179" i="1" s="1"/>
  <c r="B198" i="2"/>
  <c r="B181" i="1" s="1"/>
  <c r="I228" i="6" l="1"/>
  <c r="H228" i="6"/>
  <c r="B200" i="2"/>
  <c r="U186" i="6"/>
  <c r="U210" i="6"/>
  <c r="U202" i="6"/>
  <c r="U178" i="6"/>
  <c r="U176" i="6"/>
  <c r="U194" i="6"/>
  <c r="U218" i="6"/>
  <c r="U170" i="6"/>
  <c r="U216" i="6"/>
  <c r="U184" i="6"/>
  <c r="U175" i="6"/>
  <c r="U223" i="6"/>
  <c r="U214" i="6"/>
  <c r="U209" i="6"/>
  <c r="U205" i="6"/>
  <c r="U171" i="6"/>
  <c r="U219" i="6"/>
  <c r="U213" i="6"/>
  <c r="U181" i="6"/>
  <c r="U215" i="6"/>
  <c r="U206" i="6"/>
  <c r="U204" i="6"/>
  <c r="U207" i="6"/>
  <c r="U201" i="6"/>
  <c r="U199" i="6"/>
  <c r="U211" i="6"/>
  <c r="U208" i="6"/>
  <c r="U198" i="6"/>
  <c r="U203" i="6"/>
  <c r="U190" i="6"/>
  <c r="U196" i="6"/>
  <c r="U195" i="6"/>
  <c r="U200" i="6"/>
  <c r="U191" i="6"/>
  <c r="U182" i="6"/>
  <c r="U193" i="6"/>
  <c r="U187" i="6"/>
  <c r="U197" i="6"/>
  <c r="U183" i="6"/>
  <c r="U177" i="6"/>
  <c r="U220" i="6"/>
  <c r="U188" i="6"/>
  <c r="U179" i="6"/>
  <c r="U224" i="6"/>
  <c r="U192" i="6"/>
  <c r="U174" i="6"/>
  <c r="U169" i="6"/>
  <c r="U217" i="6"/>
  <c r="U185" i="6"/>
  <c r="U173" i="6"/>
  <c r="U221" i="6"/>
  <c r="U189" i="6"/>
  <c r="U172" i="6"/>
  <c r="U222" i="6"/>
  <c r="U212" i="6"/>
  <c r="U180" i="6"/>
  <c r="U226" i="6"/>
  <c r="U227" i="6"/>
  <c r="U228" i="6"/>
  <c r="S137" i="6"/>
  <c r="T137" i="6"/>
  <c r="X137" i="6"/>
  <c r="R228" i="6"/>
  <c r="V221" i="6" l="1"/>
  <c r="W221" i="6"/>
  <c r="X221" i="6"/>
  <c r="V181" i="6"/>
  <c r="W181" i="6"/>
  <c r="X181" i="6"/>
  <c r="V188" i="6"/>
  <c r="W188" i="6"/>
  <c r="X188" i="6"/>
  <c r="W211" i="6"/>
  <c r="V211" i="6"/>
  <c r="X211" i="6"/>
  <c r="X172" i="6"/>
  <c r="V172" i="6"/>
  <c r="W172" i="6"/>
  <c r="V192" i="6"/>
  <c r="W192" i="6"/>
  <c r="X192" i="6"/>
  <c r="W187" i="6"/>
  <c r="V187" i="6"/>
  <c r="X187" i="6"/>
  <c r="W203" i="6"/>
  <c r="V203" i="6"/>
  <c r="X203" i="6"/>
  <c r="V206" i="6"/>
  <c r="W206" i="6"/>
  <c r="X206" i="6"/>
  <c r="V214" i="6"/>
  <c r="W214" i="6"/>
  <c r="X214" i="6"/>
  <c r="X176" i="6"/>
  <c r="V176" i="6"/>
  <c r="W176" i="6"/>
  <c r="V189" i="6"/>
  <c r="W189" i="6"/>
  <c r="X189" i="6"/>
  <c r="V224" i="6"/>
  <c r="W224" i="6"/>
  <c r="X224" i="6"/>
  <c r="V193" i="6"/>
  <c r="W193" i="6"/>
  <c r="X193" i="6"/>
  <c r="V198" i="6"/>
  <c r="X198" i="6"/>
  <c r="W198" i="6"/>
  <c r="W215" i="6"/>
  <c r="V215" i="6"/>
  <c r="X215" i="6"/>
  <c r="W223" i="6"/>
  <c r="V223" i="6"/>
  <c r="X223" i="6"/>
  <c r="V178" i="6"/>
  <c r="X178" i="6"/>
  <c r="W178" i="6"/>
  <c r="V228" i="6"/>
  <c r="W228" i="6"/>
  <c r="X228" i="6"/>
  <c r="V202" i="6"/>
  <c r="W202" i="6"/>
  <c r="X202" i="6"/>
  <c r="V213" i="6"/>
  <c r="W213" i="6"/>
  <c r="X213" i="6"/>
  <c r="W226" i="6"/>
  <c r="V226" i="6"/>
  <c r="X226" i="6"/>
  <c r="V185" i="6"/>
  <c r="W185" i="6"/>
  <c r="X185" i="6"/>
  <c r="V220" i="6"/>
  <c r="W220" i="6"/>
  <c r="X220" i="6"/>
  <c r="V200" i="6"/>
  <c r="W200" i="6"/>
  <c r="X200" i="6"/>
  <c r="W199" i="6"/>
  <c r="V199" i="6"/>
  <c r="X199" i="6"/>
  <c r="W219" i="6"/>
  <c r="V219" i="6"/>
  <c r="X219" i="6"/>
  <c r="V216" i="6"/>
  <c r="W216" i="6"/>
  <c r="X216" i="6"/>
  <c r="V186" i="6"/>
  <c r="X186" i="6"/>
  <c r="W186" i="6"/>
  <c r="V182" i="6"/>
  <c r="X182" i="6"/>
  <c r="W182" i="6"/>
  <c r="W227" i="6"/>
  <c r="V227" i="6"/>
  <c r="X227" i="6"/>
  <c r="V210" i="6"/>
  <c r="W210" i="6"/>
  <c r="X210" i="6"/>
  <c r="V217" i="6"/>
  <c r="W217" i="6"/>
  <c r="X217" i="6"/>
  <c r="V177" i="6"/>
  <c r="X177" i="6"/>
  <c r="W177" i="6"/>
  <c r="W195" i="6"/>
  <c r="V195" i="6"/>
  <c r="X195" i="6"/>
  <c r="V201" i="6"/>
  <c r="W201" i="6"/>
  <c r="X201" i="6"/>
  <c r="W171" i="6"/>
  <c r="V171" i="6"/>
  <c r="X171" i="6"/>
  <c r="V170" i="6"/>
  <c r="X170" i="6"/>
  <c r="W170" i="6"/>
  <c r="B183" i="1"/>
  <c r="B225" i="6"/>
  <c r="C225" i="6" s="1"/>
  <c r="W179" i="6"/>
  <c r="V179" i="6"/>
  <c r="X179" i="6"/>
  <c r="V173" i="6"/>
  <c r="X173" i="6"/>
  <c r="W173" i="6"/>
  <c r="V184" i="6"/>
  <c r="W184" i="6"/>
  <c r="X184" i="6"/>
  <c r="V212" i="6"/>
  <c r="W212" i="6"/>
  <c r="X212" i="6"/>
  <c r="W183" i="6"/>
  <c r="V183" i="6"/>
  <c r="X183" i="6"/>
  <c r="V196" i="6"/>
  <c r="W196" i="6"/>
  <c r="X196" i="6"/>
  <c r="W207" i="6"/>
  <c r="V207" i="6"/>
  <c r="X207" i="6"/>
  <c r="V205" i="6"/>
  <c r="W205" i="6"/>
  <c r="X205" i="6"/>
  <c r="V218" i="6"/>
  <c r="W218" i="6"/>
  <c r="X218" i="6"/>
  <c r="V208" i="6"/>
  <c r="W208" i="6"/>
  <c r="X208" i="6"/>
  <c r="W175" i="6"/>
  <c r="V175" i="6"/>
  <c r="X175" i="6"/>
  <c r="W191" i="6"/>
  <c r="V191" i="6"/>
  <c r="X191" i="6"/>
  <c r="V180" i="6"/>
  <c r="W180" i="6"/>
  <c r="X180" i="6"/>
  <c r="T228" i="6"/>
  <c r="S228" i="6"/>
  <c r="X169" i="6"/>
  <c r="W169" i="6"/>
  <c r="V169" i="6"/>
  <c r="Y137" i="6"/>
  <c r="Z137" i="6"/>
  <c r="V222" i="6"/>
  <c r="W222" i="6"/>
  <c r="X222" i="6"/>
  <c r="V174" i="6"/>
  <c r="W174" i="6"/>
  <c r="X174" i="6"/>
  <c r="V197" i="6"/>
  <c r="W197" i="6"/>
  <c r="X197" i="6"/>
  <c r="V190" i="6"/>
  <c r="X190" i="6"/>
  <c r="W190" i="6"/>
  <c r="V204" i="6"/>
  <c r="W204" i="6"/>
  <c r="X204" i="6"/>
  <c r="V209" i="6"/>
  <c r="W209" i="6"/>
  <c r="X209" i="6"/>
  <c r="V194" i="6"/>
  <c r="W194" i="6"/>
  <c r="X194" i="6"/>
  <c r="Z181" i="6" l="1"/>
  <c r="Y181" i="6"/>
  <c r="Y175" i="6"/>
  <c r="Z175" i="6"/>
  <c r="Y185" i="6"/>
  <c r="Z185" i="6"/>
  <c r="Z174" i="6"/>
  <c r="Y174" i="6"/>
  <c r="Y191" i="6"/>
  <c r="Z191" i="6"/>
  <c r="Y212" i="6"/>
  <c r="Z212" i="6"/>
  <c r="Z210" i="6"/>
  <c r="Y210" i="6"/>
  <c r="Y220" i="6"/>
  <c r="Z220" i="6"/>
  <c r="Y215" i="6"/>
  <c r="Z215" i="6"/>
  <c r="Y203" i="6"/>
  <c r="Z203" i="6"/>
  <c r="Y194" i="6"/>
  <c r="Z194" i="6"/>
  <c r="Z218" i="6"/>
  <c r="Y218" i="6"/>
  <c r="Y179" i="6"/>
  <c r="Z179" i="6"/>
  <c r="Z171" i="6"/>
  <c r="Y171" i="6"/>
  <c r="Z213" i="6"/>
  <c r="Y213" i="6"/>
  <c r="Y224" i="6"/>
  <c r="Z224" i="6"/>
  <c r="Y176" i="6"/>
  <c r="Z176" i="6"/>
  <c r="Z186" i="6"/>
  <c r="Y186" i="6"/>
  <c r="Y184" i="6"/>
  <c r="Z184" i="6"/>
  <c r="Z187" i="6"/>
  <c r="Y187" i="6"/>
  <c r="Y172" i="6"/>
  <c r="Z172" i="6"/>
  <c r="Y209" i="6"/>
  <c r="Z209" i="6"/>
  <c r="Z205" i="6"/>
  <c r="Y205" i="6"/>
  <c r="U225" i="6"/>
  <c r="O225" i="6"/>
  <c r="D225" i="6"/>
  <c r="J225" i="6" s="1"/>
  <c r="Y201" i="6"/>
  <c r="Z201" i="6"/>
  <c r="Y216" i="6"/>
  <c r="Z216" i="6"/>
  <c r="Z202" i="6"/>
  <c r="Y202" i="6"/>
  <c r="Z198" i="6"/>
  <c r="Y198" i="6"/>
  <c r="Z189" i="6"/>
  <c r="Y189" i="6"/>
  <c r="Y211" i="6"/>
  <c r="Z211" i="6"/>
  <c r="Y196" i="6"/>
  <c r="Z196" i="6"/>
  <c r="Y222" i="6"/>
  <c r="Z222" i="6"/>
  <c r="Y227" i="6"/>
  <c r="Z227" i="6"/>
  <c r="Y183" i="6"/>
  <c r="Z183" i="6"/>
  <c r="Y217" i="6"/>
  <c r="Z217" i="6"/>
  <c r="Y200" i="6"/>
  <c r="Z200" i="6"/>
  <c r="Z223" i="6"/>
  <c r="Y223" i="6"/>
  <c r="Z206" i="6"/>
  <c r="Y206" i="6"/>
  <c r="Z221" i="6"/>
  <c r="Y221" i="6"/>
  <c r="Z169" i="6"/>
  <c r="Y169" i="6"/>
  <c r="Z190" i="6"/>
  <c r="Y190" i="6"/>
  <c r="Z197" i="6"/>
  <c r="Y197" i="6"/>
  <c r="Y208" i="6"/>
  <c r="Z208" i="6"/>
  <c r="Y226" i="6"/>
  <c r="Z226" i="6"/>
  <c r="Y193" i="6"/>
  <c r="Z193" i="6"/>
  <c r="Y192" i="6"/>
  <c r="Z192" i="6"/>
  <c r="Z199" i="6"/>
  <c r="Y199" i="6"/>
  <c r="Y214" i="6"/>
  <c r="Z214" i="6"/>
  <c r="Y177" i="6"/>
  <c r="Z177" i="6"/>
  <c r="Z178" i="6"/>
  <c r="Y178" i="6"/>
  <c r="Y180" i="6"/>
  <c r="Z180" i="6"/>
  <c r="Y204" i="6"/>
  <c r="Z204" i="6"/>
  <c r="Y207" i="6"/>
  <c r="Z207" i="6"/>
  <c r="Y173" i="6"/>
  <c r="Z173" i="6"/>
  <c r="Z170" i="6"/>
  <c r="Y170" i="6"/>
  <c r="Y195" i="6"/>
  <c r="Z195" i="6"/>
  <c r="Z182" i="6"/>
  <c r="Y182" i="6"/>
  <c r="Z219" i="6"/>
  <c r="Y219" i="6"/>
  <c r="Y228" i="6"/>
  <c r="Z228" i="6"/>
  <c r="Y188" i="6"/>
  <c r="Z188" i="6"/>
  <c r="K225" i="6" l="1"/>
  <c r="L225" i="6"/>
  <c r="V225" i="6"/>
  <c r="W225" i="6"/>
  <c r="E225" i="6"/>
  <c r="F225" i="6"/>
  <c r="G225" i="6"/>
  <c r="R225" i="6" s="1"/>
  <c r="Q225" i="6"/>
  <c r="P225" i="6"/>
  <c r="I225" i="6" l="1"/>
  <c r="H225" i="6"/>
  <c r="S225" i="6"/>
  <c r="T225" i="6"/>
  <c r="X225" i="6"/>
  <c r="Y225" i="6" l="1"/>
  <c r="Z2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PPD-NPS</author>
  </authors>
  <commentList>
    <comment ref="G5" authorId="0" shapeId="0" xr:uid="{00000000-0006-0000-0000-000001000000}">
      <text>
        <r>
          <rPr>
            <b/>
            <sz val="9"/>
            <color indexed="81"/>
            <rFont val="Tahoma"/>
            <family val="2"/>
          </rPr>
          <t xml:space="preserve">Welcome to the LM5170 Quickstart Design Tool
</t>
        </r>
        <r>
          <rPr>
            <sz val="9"/>
            <color indexed="81"/>
            <rFont val="Tahoma"/>
            <family val="2"/>
          </rPr>
          <t>This stand-alone tool facilitates and assists the power supply engineer with design of a DC/DC bi-directional buck/boost converter based on the LM5170 controller.</t>
        </r>
        <r>
          <rPr>
            <b/>
            <sz val="9"/>
            <color indexed="81"/>
            <rFont val="Tahoma"/>
            <family val="2"/>
          </rPr>
          <t xml:space="preserve">
U.S. English notation is used throughout.
http://www.ti.com/widevin/
Rev 1.0, Texas Instruments, Inc.</t>
        </r>
        <r>
          <rPr>
            <sz val="9"/>
            <color indexed="81"/>
            <rFont val="Tahoma"/>
            <family val="2"/>
          </rPr>
          <t xml:space="preserve">
</t>
        </r>
      </text>
    </comment>
    <comment ref="R5" authorId="0" shapeId="0" xr:uid="{00000000-0006-0000-0000-000002000000}">
      <text>
        <r>
          <rPr>
            <sz val="9"/>
            <color indexed="81"/>
            <rFont val="Tahoma"/>
            <family val="2"/>
          </rPr>
          <t xml:space="preserve">Texas Instruments:
Limited Use Policy
You must treat this software and documentation like any other copyrighted material.
You may not: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LM5170 product datasheet and EVM user guides for more details.
</t>
        </r>
      </text>
    </comment>
    <comment ref="B11" authorId="0" shapeId="0" xr:uid="{00000000-0006-0000-0000-000003000000}">
      <text>
        <r>
          <rPr>
            <b/>
            <sz val="9"/>
            <color indexed="81"/>
            <rFont val="Tahoma"/>
            <family val="2"/>
          </rPr>
          <t>HV Port Minimum Voltage:</t>
        </r>
        <r>
          <rPr>
            <sz val="9"/>
            <color indexed="81"/>
            <rFont val="Tahoma"/>
            <family val="2"/>
          </rPr>
          <t xml:space="preserve">
Datasheet Operating </t>
        </r>
        <r>
          <rPr>
            <b/>
            <sz val="9"/>
            <color indexed="81"/>
            <rFont val="Tahoma"/>
            <family val="2"/>
          </rPr>
          <t>Minimum: 6V</t>
        </r>
      </text>
    </comment>
    <comment ref="B12" authorId="0" shapeId="0" xr:uid="{00000000-0006-0000-0000-000004000000}">
      <text>
        <r>
          <rPr>
            <b/>
            <sz val="9"/>
            <color indexed="81"/>
            <rFont val="Tahoma"/>
            <family val="2"/>
          </rPr>
          <t xml:space="preserve">HV Port Nominal Voltage:
</t>
        </r>
        <r>
          <rPr>
            <sz val="9"/>
            <color indexed="81"/>
            <rFont val="Tahoma"/>
            <family val="2"/>
          </rPr>
          <t>This is the nominal INPUT voltage in BUCK MODE. 
It is also the set output voltage in BOOST MODE.</t>
        </r>
      </text>
    </comment>
    <comment ref="B13" authorId="0" shapeId="0" xr:uid="{00000000-0006-0000-0000-000005000000}">
      <text>
        <r>
          <rPr>
            <b/>
            <sz val="9"/>
            <color indexed="81"/>
            <rFont val="Tahoma"/>
            <family val="2"/>
          </rPr>
          <t xml:space="preserve">HV Port Maximum Voltage:
</t>
        </r>
        <r>
          <rPr>
            <sz val="9"/>
            <color indexed="81"/>
            <rFont val="Tahoma"/>
            <family val="2"/>
          </rPr>
          <t xml:space="preserve">Enter the expected Maximum voltage at the HV-Port
Datasheet Operating </t>
        </r>
        <r>
          <rPr>
            <b/>
            <u/>
            <sz val="9"/>
            <color indexed="81"/>
            <rFont val="Tahoma"/>
            <family val="2"/>
          </rPr>
          <t>Maximum</t>
        </r>
        <r>
          <rPr>
            <sz val="9"/>
            <color indexed="81"/>
            <rFont val="Tahoma"/>
            <family val="2"/>
          </rPr>
          <t xml:space="preserve">: 85V
(Do not go below the Datasheet Operating Minimum Voltages)
</t>
        </r>
      </text>
    </comment>
    <comment ref="B16" authorId="0" shapeId="0" xr:uid="{00000000-0006-0000-0000-000006000000}">
      <text>
        <r>
          <rPr>
            <b/>
            <sz val="9"/>
            <color indexed="81"/>
            <rFont val="Tahoma"/>
            <family val="2"/>
          </rPr>
          <t>LV Port Minimum Voltage:</t>
        </r>
        <r>
          <rPr>
            <sz val="9"/>
            <color indexed="81"/>
            <rFont val="Tahoma"/>
            <family val="2"/>
          </rPr>
          <t xml:space="preserve">
Enter the expected minimum voltage at the LV-Port
Datasheet Operating </t>
        </r>
        <r>
          <rPr>
            <b/>
            <u/>
            <sz val="9"/>
            <color indexed="81"/>
            <rFont val="Tahoma"/>
            <family val="2"/>
          </rPr>
          <t>Minimum</t>
        </r>
        <r>
          <rPr>
            <b/>
            <sz val="9"/>
            <color indexed="81"/>
            <rFont val="Tahoma"/>
            <family val="2"/>
          </rPr>
          <t xml:space="preserve"> (BOOST MODE): 3V</t>
        </r>
        <r>
          <rPr>
            <sz val="9"/>
            <color indexed="81"/>
            <rFont val="Tahoma"/>
            <family val="2"/>
          </rPr>
          <t xml:space="preserve">
Datasheet Operating </t>
        </r>
        <r>
          <rPr>
            <b/>
            <u/>
            <sz val="9"/>
            <color indexed="81"/>
            <rFont val="Tahoma"/>
            <family val="2"/>
          </rPr>
          <t>Minimum</t>
        </r>
        <r>
          <rPr>
            <b/>
            <sz val="9"/>
            <color indexed="81"/>
            <rFont val="Tahoma"/>
            <family val="2"/>
          </rPr>
          <t xml:space="preserve"> (BUCK MODE): 0V</t>
        </r>
        <r>
          <rPr>
            <sz val="9"/>
            <color indexed="81"/>
            <rFont val="Tahoma"/>
            <family val="2"/>
          </rPr>
          <t xml:space="preserve">
(Do not go below the Datasheet Operating Minimum Voltages)</t>
        </r>
      </text>
    </comment>
    <comment ref="B17" authorId="0" shapeId="0" xr:uid="{00000000-0006-0000-0000-000007000000}">
      <text>
        <r>
          <rPr>
            <b/>
            <sz val="9"/>
            <color indexed="81"/>
            <rFont val="Tahoma"/>
            <family val="2"/>
          </rPr>
          <t xml:space="preserve">LV Port Nominal Voltage:
</t>
        </r>
        <r>
          <rPr>
            <sz val="9"/>
            <color indexed="81"/>
            <rFont val="Tahoma"/>
            <family val="2"/>
          </rPr>
          <t xml:space="preserve">
This is the nominal input voltage in BOOST MODE. 
It is also the set output voltage in BUCK MODE.</t>
        </r>
      </text>
    </comment>
    <comment ref="B18" authorId="0" shapeId="0" xr:uid="{00000000-0006-0000-0000-000008000000}">
      <text>
        <r>
          <rPr>
            <b/>
            <sz val="9"/>
            <color indexed="81"/>
            <rFont val="Tahoma"/>
            <family val="2"/>
          </rPr>
          <t xml:space="preserve">LV Port Maximum Voltage:
</t>
        </r>
        <r>
          <rPr>
            <sz val="9"/>
            <color indexed="81"/>
            <rFont val="Tahoma"/>
            <family val="2"/>
          </rPr>
          <t>Enter the expected maximum voltage at the LV-Port</t>
        </r>
        <r>
          <rPr>
            <b/>
            <sz val="9"/>
            <color indexed="81"/>
            <rFont val="Tahoma"/>
            <family val="2"/>
          </rPr>
          <t xml:space="preserve">
</t>
        </r>
        <r>
          <rPr>
            <sz val="9"/>
            <color indexed="81"/>
            <rFont val="Tahoma"/>
            <family val="2"/>
          </rPr>
          <t>Datasheet Operating Maximum: 60V
(Do not surpass 60V)</t>
        </r>
      </text>
    </comment>
    <comment ref="B21" authorId="0" shapeId="0" xr:uid="{00000000-0006-0000-0000-000009000000}">
      <text>
        <r>
          <rPr>
            <b/>
            <sz val="9"/>
            <color indexed="81"/>
            <rFont val="Tahoma"/>
            <family val="2"/>
          </rPr>
          <t xml:space="preserve">Selected Switching Frequency:
</t>
        </r>
        <r>
          <rPr>
            <sz val="9"/>
            <color indexed="81"/>
            <rFont val="Tahoma"/>
            <family val="2"/>
          </rPr>
          <t>Recommended Operating</t>
        </r>
        <r>
          <rPr>
            <b/>
            <sz val="9"/>
            <color indexed="81"/>
            <rFont val="Tahoma"/>
            <family val="2"/>
          </rPr>
          <t xml:space="preserve"> </t>
        </r>
        <r>
          <rPr>
            <b/>
            <u/>
            <sz val="9"/>
            <color indexed="81"/>
            <rFont val="Tahoma"/>
            <family val="2"/>
          </rPr>
          <t>Minimum</t>
        </r>
        <r>
          <rPr>
            <sz val="9"/>
            <color indexed="81"/>
            <rFont val="Tahoma"/>
            <family val="2"/>
          </rPr>
          <t xml:space="preserve"> Switching Frequency: </t>
        </r>
        <r>
          <rPr>
            <b/>
            <sz val="9"/>
            <color indexed="81"/>
            <rFont val="Tahoma"/>
            <family val="2"/>
          </rPr>
          <t>50Khz</t>
        </r>
        <r>
          <rPr>
            <sz val="9"/>
            <color indexed="81"/>
            <rFont val="Tahoma"/>
            <family val="2"/>
          </rPr>
          <t xml:space="preserve">
Recommended Operating </t>
        </r>
        <r>
          <rPr>
            <b/>
            <u/>
            <sz val="9"/>
            <color indexed="81"/>
            <rFont val="Tahoma"/>
            <family val="2"/>
          </rPr>
          <t>Maximum</t>
        </r>
        <r>
          <rPr>
            <b/>
            <sz val="9"/>
            <color indexed="81"/>
            <rFont val="Tahoma"/>
            <family val="2"/>
          </rPr>
          <t xml:space="preserve"> </t>
        </r>
        <r>
          <rPr>
            <sz val="9"/>
            <color indexed="81"/>
            <rFont val="Tahoma"/>
            <family val="2"/>
          </rPr>
          <t xml:space="preserve">Switching Frequency: </t>
        </r>
        <r>
          <rPr>
            <b/>
            <sz val="9"/>
            <color indexed="81"/>
            <rFont val="Tahoma"/>
            <family val="2"/>
          </rPr>
          <t>500kHz</t>
        </r>
        <r>
          <rPr>
            <sz val="9"/>
            <color indexed="81"/>
            <rFont val="Tahoma"/>
            <family val="2"/>
          </rPr>
          <t xml:space="preserve">
</t>
        </r>
      </text>
    </comment>
    <comment ref="B22" authorId="0" shapeId="0" xr:uid="{00000000-0006-0000-0000-00000A000000}">
      <text>
        <r>
          <rPr>
            <b/>
            <sz val="9"/>
            <color indexed="81"/>
            <rFont val="Tahoma"/>
            <family val="2"/>
          </rPr>
          <t>Oscillator Set Resistor (R</t>
        </r>
        <r>
          <rPr>
            <b/>
            <vertAlign val="subscript"/>
            <sz val="9"/>
            <color indexed="81"/>
            <rFont val="Tahoma"/>
            <family val="2"/>
          </rPr>
          <t>OSC</t>
        </r>
        <r>
          <rPr>
            <b/>
            <sz val="9"/>
            <color indexed="81"/>
            <rFont val="Tahoma"/>
            <family val="2"/>
          </rPr>
          <t xml:space="preserve">):
</t>
        </r>
        <r>
          <rPr>
            <sz val="9"/>
            <color indexed="81"/>
            <rFont val="Tahoma"/>
            <family val="2"/>
          </rPr>
          <t>This value is calculated based on the "</t>
        </r>
        <r>
          <rPr>
            <b/>
            <sz val="9"/>
            <color indexed="81"/>
            <rFont val="Tahoma"/>
            <family val="2"/>
          </rPr>
          <t>Selected Switching Frequency</t>
        </r>
        <r>
          <rPr>
            <sz val="9"/>
            <color indexed="81"/>
            <rFont val="Tahoma"/>
            <family val="2"/>
          </rPr>
          <t>"</t>
        </r>
        <r>
          <rPr>
            <b/>
            <sz val="9"/>
            <color indexed="81"/>
            <rFont val="Tahoma"/>
            <family val="2"/>
          </rPr>
          <t xml:space="preserve"> </t>
        </r>
        <r>
          <rPr>
            <sz val="9"/>
            <color indexed="81"/>
            <rFont val="Tahoma"/>
            <family val="2"/>
          </rPr>
          <t xml:space="preserve">
</t>
        </r>
      </text>
    </comment>
    <comment ref="B25" authorId="0" shapeId="0" xr:uid="{00000000-0006-0000-0000-00000B000000}">
      <text>
        <r>
          <rPr>
            <b/>
            <sz val="9"/>
            <color indexed="81"/>
            <rFont val="Tahoma"/>
            <family val="2"/>
          </rPr>
          <t>Total Number of Phases:</t>
        </r>
        <r>
          <rPr>
            <sz val="9"/>
            <color indexed="81"/>
            <rFont val="Tahoma"/>
            <family val="2"/>
          </rPr>
          <t xml:space="preserve">
Input the total number of phases used during maximum current delivery.  
(More than two phases requires multiple LM5170's connected in parallel).
</t>
        </r>
      </text>
    </comment>
    <comment ref="B26" authorId="0" shapeId="0" xr:uid="{00000000-0006-0000-0000-00000C000000}">
      <text>
        <r>
          <rPr>
            <b/>
            <sz val="9"/>
            <color indexed="81"/>
            <rFont val="Tahoma"/>
            <family val="2"/>
          </rPr>
          <t>Total Maximum LV-Port Current:</t>
        </r>
        <r>
          <rPr>
            <sz val="9"/>
            <color indexed="81"/>
            <rFont val="Tahoma"/>
            <family val="2"/>
          </rPr>
          <t xml:space="preserve">
Enter the maximum desired LV-Port current.  
This value is used to calculate the following component values:
</t>
        </r>
        <r>
          <rPr>
            <b/>
            <sz val="9"/>
            <color indexed="81"/>
            <rFont val="Tahoma"/>
            <family val="2"/>
          </rPr>
          <t>Current sense resistor</t>
        </r>
        <r>
          <rPr>
            <sz val="9"/>
            <color indexed="81"/>
            <rFont val="Tahoma"/>
            <family val="2"/>
          </rPr>
          <t>: R</t>
        </r>
        <r>
          <rPr>
            <vertAlign val="subscript"/>
            <sz val="9"/>
            <color indexed="81"/>
            <rFont val="Tahoma"/>
            <family val="2"/>
          </rPr>
          <t>CS1/2</t>
        </r>
        <r>
          <rPr>
            <sz val="9"/>
            <color indexed="81"/>
            <rFont val="Tahoma"/>
            <family val="2"/>
          </rPr>
          <t xml:space="preserve"> 
</t>
        </r>
        <r>
          <rPr>
            <b/>
            <sz val="9"/>
            <color indexed="81"/>
            <rFont val="Tahoma"/>
            <family val="2"/>
          </rPr>
          <t>Power train inductor</t>
        </r>
        <r>
          <rPr>
            <sz val="9"/>
            <color indexed="81"/>
            <rFont val="Tahoma"/>
            <family val="2"/>
          </rPr>
          <t>: L</t>
        </r>
        <r>
          <rPr>
            <vertAlign val="subscript"/>
            <sz val="9"/>
            <color indexed="81"/>
            <rFont val="Tahoma"/>
            <family val="2"/>
          </rPr>
          <t>OUT1/2</t>
        </r>
      </text>
    </comment>
    <comment ref="B27" authorId="0" shapeId="0" xr:uid="{00000000-0006-0000-0000-00000D000000}">
      <text>
        <r>
          <rPr>
            <b/>
            <sz val="9"/>
            <color indexed="81"/>
            <rFont val="Tahoma"/>
            <family val="2"/>
          </rPr>
          <t xml:space="preserve">Calculated Current Sense Resistor:
</t>
        </r>
        <r>
          <rPr>
            <sz val="9"/>
            <color indexed="81"/>
            <rFont val="Tahoma"/>
            <family val="2"/>
          </rPr>
          <t>The current sense resistor value (</t>
        </r>
        <r>
          <rPr>
            <b/>
            <sz val="9"/>
            <color indexed="81"/>
            <rFont val="Tahoma"/>
            <family val="2"/>
          </rPr>
          <t>R</t>
        </r>
        <r>
          <rPr>
            <b/>
            <vertAlign val="subscript"/>
            <sz val="9"/>
            <color indexed="81"/>
            <rFont val="Tahoma"/>
            <family val="2"/>
          </rPr>
          <t>CS1/2</t>
        </r>
        <r>
          <rPr>
            <sz val="9"/>
            <color indexed="81"/>
            <rFont val="Tahoma"/>
            <family val="2"/>
          </rPr>
          <t>) is calculated to produce 50mV at the maximum phase current (  Total LV-Port Current / Total Number of Phases  ).</t>
        </r>
      </text>
    </comment>
    <comment ref="B28" authorId="0" shapeId="0" xr:uid="{00000000-0006-0000-0000-00000E000000}">
      <text>
        <r>
          <rPr>
            <b/>
            <sz val="9"/>
            <color indexed="81"/>
            <rFont val="Tahoma"/>
            <family val="2"/>
          </rPr>
          <t xml:space="preserve">Selected (Chosen) Sense Resistor:
</t>
        </r>
        <r>
          <rPr>
            <sz val="9"/>
            <color indexed="81"/>
            <rFont val="Tahoma"/>
            <family val="2"/>
          </rPr>
          <t xml:space="preserve">Enter your chosen sense resistor in this cell.  Use the calculated sense resistor as a guideline.
</t>
        </r>
      </text>
    </comment>
    <comment ref="B29" authorId="0" shapeId="0" xr:uid="{00000000-0006-0000-0000-00000F000000}">
      <text>
        <r>
          <rPr>
            <b/>
            <sz val="9"/>
            <color indexed="81"/>
            <rFont val="Tahoma"/>
            <family val="2"/>
          </rPr>
          <t>Maximum Average Inductor Current Per Channel:</t>
        </r>
        <r>
          <rPr>
            <sz val="9"/>
            <color indexed="81"/>
            <rFont val="Tahoma"/>
            <family val="2"/>
          </rPr>
          <t xml:space="preserve">
This value is calculated based on </t>
        </r>
        <r>
          <rPr>
            <b/>
            <sz val="9"/>
            <color indexed="81"/>
            <rFont val="Tahoma"/>
            <family val="2"/>
          </rPr>
          <t>50mV</t>
        </r>
        <r>
          <rPr>
            <sz val="9"/>
            <color indexed="81"/>
            <rFont val="Tahoma"/>
            <family val="2"/>
          </rPr>
          <t xml:space="preserve"> across the Selected (Chosen) Sense Resistor</t>
        </r>
      </text>
    </comment>
    <comment ref="B30" authorId="0" shapeId="0" xr:uid="{00000000-0006-0000-0000-000010000000}">
      <text>
        <r>
          <rPr>
            <b/>
            <sz val="9"/>
            <color indexed="81"/>
            <rFont val="Tahoma"/>
            <family val="2"/>
          </rPr>
          <t xml:space="preserve">Maximum LV-Port Rail Current:
</t>
        </r>
        <r>
          <rPr>
            <sz val="9"/>
            <color indexed="81"/>
            <rFont val="Tahoma"/>
            <family val="2"/>
          </rPr>
          <t xml:space="preserve">
This is the maximum current at the LV-Port.</t>
        </r>
      </text>
    </comment>
    <comment ref="B35" authorId="0" shapeId="0" xr:uid="{00000000-0006-0000-0000-000011000000}">
      <text>
        <r>
          <rPr>
            <b/>
            <sz val="9"/>
            <color indexed="81"/>
            <rFont val="Tahoma"/>
            <family val="2"/>
          </rPr>
          <t xml:space="preserve">Selected Peak-to-Peak Ripple Ratio:
</t>
        </r>
        <r>
          <rPr>
            <sz val="9"/>
            <color indexed="81"/>
            <rFont val="Tahoma"/>
            <family val="2"/>
          </rPr>
          <t>This is the ratio of peak-to-peak inductor ripple current to the maximum average inductor current. Typically this value should be 80% or less.
Once the Ripple Ratio has been selected it will be used to calculate the inductor value</t>
        </r>
      </text>
    </comment>
    <comment ref="B36" authorId="0" shapeId="0" xr:uid="{00000000-0006-0000-0000-000012000000}">
      <text>
        <r>
          <rPr>
            <b/>
            <sz val="9"/>
            <color indexed="81"/>
            <rFont val="Tahoma"/>
            <family val="2"/>
          </rPr>
          <t xml:space="preserve">Calculated Inductor
</t>
        </r>
        <r>
          <rPr>
            <sz val="9"/>
            <color indexed="81"/>
            <rFont val="Tahoma"/>
            <family val="2"/>
          </rPr>
          <t>This is the suggested powertrain inductor value that is based on the peak-to-peak inductor current ripple ratio. Decreasing the ripple ratio will yield a larger inductance value</t>
        </r>
      </text>
    </comment>
    <comment ref="B37" authorId="0" shapeId="0" xr:uid="{00000000-0006-0000-0000-000013000000}">
      <text>
        <r>
          <rPr>
            <b/>
            <sz val="9"/>
            <color indexed="81"/>
            <rFont val="Tahoma"/>
            <family val="2"/>
          </rPr>
          <t>Selected Inductor</t>
        </r>
        <r>
          <rPr>
            <sz val="9"/>
            <color indexed="81"/>
            <rFont val="Tahoma"/>
            <family val="2"/>
          </rPr>
          <t xml:space="preserve">
This is the selected inductance value of L</t>
        </r>
        <r>
          <rPr>
            <vertAlign val="subscript"/>
            <sz val="9"/>
            <color indexed="81"/>
            <rFont val="Tahoma"/>
            <family val="2"/>
          </rPr>
          <t>M1</t>
        </r>
        <r>
          <rPr>
            <sz val="9"/>
            <color indexed="81"/>
            <rFont val="Tahoma"/>
            <family val="2"/>
          </rPr>
          <t xml:space="preserve"> and L</t>
        </r>
        <r>
          <rPr>
            <vertAlign val="subscript"/>
            <sz val="9"/>
            <color indexed="81"/>
            <rFont val="Tahoma"/>
            <family val="2"/>
          </rPr>
          <t xml:space="preserve">M2. </t>
        </r>
        <r>
          <rPr>
            <sz val="9"/>
            <color indexed="81"/>
            <rFont val="Tahoma"/>
            <family val="2"/>
          </rPr>
          <t>The calculated inductance value should be used as a guide line to select the inductance value.</t>
        </r>
      </text>
    </comment>
    <comment ref="B38" authorId="0" shapeId="0" xr:uid="{00000000-0006-0000-0000-000014000000}">
      <text>
        <r>
          <rPr>
            <b/>
            <sz val="9"/>
            <color indexed="81"/>
            <rFont val="Tahoma"/>
            <family val="2"/>
          </rPr>
          <t>Inductor DCR</t>
        </r>
        <r>
          <rPr>
            <sz val="9"/>
            <color indexed="81"/>
            <rFont val="Tahoma"/>
            <family val="2"/>
          </rPr>
          <t xml:space="preserve">
This is the DC resistance of the inductor. This can be found on the datasheet of the selected inductor. Higher values of DCR will cause the efficiency to drop relative to a inductor will smaller DCR</t>
        </r>
      </text>
    </comment>
    <comment ref="B39" authorId="0" shapeId="0" xr:uid="{00000000-0006-0000-0000-000015000000}">
      <text>
        <r>
          <rPr>
            <b/>
            <sz val="9"/>
            <color indexed="81"/>
            <rFont val="Tahoma"/>
            <family val="2"/>
          </rPr>
          <t xml:space="preserve">Maximum Inductor Peak Current
</t>
        </r>
        <r>
          <rPr>
            <sz val="9"/>
            <color indexed="81"/>
            <rFont val="Tahoma"/>
            <family val="2"/>
          </rPr>
          <t xml:space="preserve">
Worst case maximum peak current based on the selected inductance value, maximum LV port current specified and each phase in operation.</t>
        </r>
      </text>
    </comment>
    <comment ref="B44" authorId="0" shapeId="0" xr:uid="{00000000-0006-0000-0000-000016000000}">
      <text>
        <r>
          <rPr>
            <b/>
            <sz val="9"/>
            <color indexed="81"/>
            <rFont val="Tahoma"/>
            <family val="2"/>
          </rPr>
          <t>Current Limit Margin</t>
        </r>
        <r>
          <rPr>
            <sz val="9"/>
            <color indexed="81"/>
            <rFont val="Tahoma"/>
            <family val="2"/>
          </rPr>
          <t xml:space="preserve">
The margin above the calculated peak inductor current. Normally this value should be in the 5% to 15% range.</t>
        </r>
      </text>
    </comment>
    <comment ref="B45" authorId="0" shapeId="0" xr:uid="{00000000-0006-0000-0000-000017000000}">
      <text>
        <r>
          <rPr>
            <b/>
            <sz val="9"/>
            <color indexed="81"/>
            <rFont val="Tahoma"/>
            <family val="2"/>
          </rPr>
          <t xml:space="preserve">Inductor Peak Current Limit
</t>
        </r>
        <r>
          <rPr>
            <sz val="9"/>
            <color indexed="81"/>
            <rFont val="Tahoma"/>
            <family val="2"/>
          </rPr>
          <t>This is the peak inductor current based on the amount of margin specified. It is important to ensure that the selected inductor is rated for this amount of current. If not the margin of the peak limit should be decreased or an inductor with a larger current rating should be selected.</t>
        </r>
      </text>
    </comment>
    <comment ref="B46" authorId="0" shapeId="0" xr:uid="{00000000-0006-0000-0000-000018000000}">
      <text>
        <r>
          <rPr>
            <b/>
            <sz val="9"/>
            <color indexed="81"/>
            <rFont val="Tahoma"/>
            <family val="2"/>
          </rPr>
          <t>Calculated R</t>
        </r>
        <r>
          <rPr>
            <b/>
            <vertAlign val="subscript"/>
            <sz val="9"/>
            <color indexed="81"/>
            <rFont val="Tahoma"/>
            <family val="2"/>
          </rPr>
          <t>IPK</t>
        </r>
        <r>
          <rPr>
            <b/>
            <sz val="9"/>
            <color indexed="81"/>
            <rFont val="Tahoma"/>
            <family val="2"/>
          </rPr>
          <t xml:space="preserve"> Value
</t>
        </r>
        <r>
          <rPr>
            <sz val="9"/>
            <color indexed="81"/>
            <rFont val="Tahoma"/>
            <family val="2"/>
          </rPr>
          <t>This is the calculated resistor from IPK to GND. This is based off of the datasheet equation.</t>
        </r>
      </text>
    </comment>
    <comment ref="B47" authorId="0" shapeId="0" xr:uid="{00000000-0006-0000-0000-000019000000}">
      <text>
        <r>
          <rPr>
            <b/>
            <sz val="9"/>
            <color indexed="81"/>
            <rFont val="Tahoma"/>
            <family val="2"/>
          </rPr>
          <t>Selected R</t>
        </r>
        <r>
          <rPr>
            <b/>
            <vertAlign val="subscript"/>
            <sz val="9"/>
            <color indexed="81"/>
            <rFont val="Tahoma"/>
            <family val="2"/>
          </rPr>
          <t>IPK</t>
        </r>
        <r>
          <rPr>
            <b/>
            <sz val="9"/>
            <color indexed="81"/>
            <rFont val="Tahoma"/>
            <family val="2"/>
          </rPr>
          <t xml:space="preserve"> Value
</t>
        </r>
        <r>
          <rPr>
            <sz val="9"/>
            <color indexed="81"/>
            <rFont val="Tahoma"/>
            <family val="2"/>
          </rPr>
          <t>This is the selected R</t>
        </r>
        <r>
          <rPr>
            <vertAlign val="subscript"/>
            <sz val="9"/>
            <color indexed="81"/>
            <rFont val="Tahoma"/>
            <family val="2"/>
          </rPr>
          <t>IPK</t>
        </r>
        <r>
          <rPr>
            <sz val="9"/>
            <color indexed="81"/>
            <rFont val="Tahoma"/>
            <family val="2"/>
          </rPr>
          <t xml:space="preserve"> value. The selected value should be based off of the calculate R</t>
        </r>
        <r>
          <rPr>
            <vertAlign val="subscript"/>
            <sz val="9"/>
            <color indexed="81"/>
            <rFont val="Tahoma"/>
            <family val="2"/>
          </rPr>
          <t>IPK</t>
        </r>
        <r>
          <rPr>
            <sz val="9"/>
            <color indexed="81"/>
            <rFont val="Tahoma"/>
            <family val="2"/>
          </rPr>
          <t xml:space="preserve"> value.</t>
        </r>
      </text>
    </comment>
    <comment ref="B48" authorId="0" shapeId="0" xr:uid="{00000000-0006-0000-0000-00001A000000}">
      <text>
        <r>
          <rPr>
            <b/>
            <sz val="9"/>
            <color indexed="81"/>
            <rFont val="Tahoma"/>
            <family val="2"/>
          </rPr>
          <t xml:space="preserve">Actual Inductor Peak Current Limit
</t>
        </r>
        <r>
          <rPr>
            <sz val="9"/>
            <color indexed="81"/>
            <rFont val="Tahoma"/>
            <family val="2"/>
          </rPr>
          <t>This is the actual limited peak inductor current based on the selected value of R</t>
        </r>
        <r>
          <rPr>
            <vertAlign val="subscript"/>
            <sz val="9"/>
            <color indexed="81"/>
            <rFont val="Tahoma"/>
            <family val="2"/>
          </rPr>
          <t>IPK</t>
        </r>
        <r>
          <rPr>
            <sz val="9"/>
            <color indexed="81"/>
            <rFont val="Tahoma"/>
            <family val="2"/>
          </rPr>
          <t xml:space="preserve"> above. Care should be taken to ensure that this value is below the rated current of the selected power train inductor (L</t>
        </r>
        <r>
          <rPr>
            <vertAlign val="subscript"/>
            <sz val="9"/>
            <color indexed="81"/>
            <rFont val="Tahoma"/>
            <family val="2"/>
          </rPr>
          <t>M1</t>
        </r>
        <r>
          <rPr>
            <sz val="9"/>
            <color indexed="81"/>
            <rFont val="Tahoma"/>
            <family val="2"/>
          </rPr>
          <t>,L</t>
        </r>
        <r>
          <rPr>
            <vertAlign val="subscript"/>
            <sz val="9"/>
            <color indexed="81"/>
            <rFont val="Tahoma"/>
            <family val="2"/>
          </rPr>
          <t>M2</t>
        </r>
        <r>
          <rPr>
            <sz val="9"/>
            <color indexed="81"/>
            <rFont val="Tahoma"/>
            <family val="2"/>
          </rPr>
          <t>)</t>
        </r>
      </text>
    </comment>
    <comment ref="B53" authorId="0" shapeId="0" xr:uid="{00000000-0006-0000-0000-00001B000000}">
      <text>
        <r>
          <rPr>
            <b/>
            <sz val="9"/>
            <color indexed="81"/>
            <rFont val="Tahoma"/>
            <family val="2"/>
          </rPr>
          <t>LV Rail Output Capacitance</t>
        </r>
        <r>
          <rPr>
            <sz val="9"/>
            <color indexed="81"/>
            <rFont val="Tahoma"/>
            <family val="2"/>
          </rPr>
          <t xml:space="preserve">
This is the selected output capacitance of the LV rail. This value will have an impact when calculating the voltage loop compensation for Buck Mode Operation</t>
        </r>
      </text>
    </comment>
    <comment ref="B54" authorId="0" shapeId="0" xr:uid="{00000000-0006-0000-0000-00001C000000}">
      <text>
        <r>
          <rPr>
            <b/>
            <sz val="9"/>
            <color indexed="81"/>
            <rFont val="Tahoma"/>
            <family val="2"/>
          </rPr>
          <t>LV Rail Output Capacitance ESR</t>
        </r>
        <r>
          <rPr>
            <sz val="9"/>
            <color indexed="81"/>
            <rFont val="Tahoma"/>
            <family val="2"/>
          </rPr>
          <t xml:space="preserve">
This is the resistance of the selected output capacitance for the LV rail. This value will have an impact when calculating the voltage loop compensation for Buck Mode Operation.
</t>
        </r>
      </text>
    </comment>
    <comment ref="B56" authorId="0" shapeId="0" xr:uid="{00000000-0006-0000-0000-00001D000000}">
      <text>
        <r>
          <rPr>
            <sz val="9"/>
            <color indexed="81"/>
            <rFont val="Tahoma"/>
            <family val="2"/>
          </rPr>
          <t>HV Rail Output Capacitance
This is the selected output capacitance of the HV rail. This value will have an impact when calculating the voltage loop compensation for Boost Mode Operation</t>
        </r>
      </text>
    </comment>
    <comment ref="B57" authorId="0" shapeId="0" xr:uid="{00000000-0006-0000-0000-00001E000000}">
      <text>
        <r>
          <rPr>
            <b/>
            <sz val="9"/>
            <color indexed="81"/>
            <rFont val="Tahoma"/>
            <family val="2"/>
          </rPr>
          <t xml:space="preserve">HV Rail Output Capacitance ESR
</t>
        </r>
        <r>
          <rPr>
            <sz val="9"/>
            <color indexed="81"/>
            <rFont val="Tahoma"/>
            <family val="2"/>
          </rPr>
          <t xml:space="preserve">This is the resistance of the selected output capacitance for the HV rail. This value will have an impact when calculating the voltage loop compensation for Boost Mode Operation.
</t>
        </r>
      </text>
    </comment>
    <comment ref="B62" authorId="0" shapeId="0" xr:uid="{00000000-0006-0000-0000-00001F000000}">
      <text>
        <r>
          <rPr>
            <b/>
            <sz val="9"/>
            <color indexed="81"/>
            <rFont val="Tahoma"/>
            <family val="2"/>
          </rPr>
          <t xml:space="preserve">Selected RAMP Capacitor
</t>
        </r>
        <r>
          <rPr>
            <sz val="9"/>
            <color indexed="81"/>
            <rFont val="Tahoma"/>
            <family val="2"/>
          </rPr>
          <t xml:space="preserve">This is the capacitor used to create the saw tooth RAMP1/RAMP2 signals. This capacitor must be selected to be discharged in less the 200ns each switching cycle. </t>
        </r>
        <r>
          <rPr>
            <b/>
            <sz val="9"/>
            <color indexed="81"/>
            <rFont val="Tahoma"/>
            <family val="2"/>
          </rPr>
          <t>The maximum recommended value is 2.5nF</t>
        </r>
        <r>
          <rPr>
            <sz val="9"/>
            <color indexed="81"/>
            <rFont val="Tahoma"/>
            <family val="2"/>
          </rPr>
          <t>. A low tolerance value (&lt;10%) capacitor should be selected here.</t>
        </r>
      </text>
    </comment>
    <comment ref="B63" authorId="0" shapeId="0" xr:uid="{00000000-0006-0000-0000-000020000000}">
      <text>
        <r>
          <rPr>
            <b/>
            <sz val="9"/>
            <color indexed="81"/>
            <rFont val="Tahoma"/>
            <family val="2"/>
          </rPr>
          <t>Calculated RAMP1/RAMP2 Resistors</t>
        </r>
        <r>
          <rPr>
            <sz val="9"/>
            <color indexed="81"/>
            <rFont val="Tahoma"/>
            <family val="2"/>
          </rPr>
          <t xml:space="preserve">
This is the calculated value based on the datasheet equation. </t>
        </r>
      </text>
    </comment>
    <comment ref="B64" authorId="0" shapeId="0" xr:uid="{00000000-0006-0000-0000-000021000000}">
      <text>
        <r>
          <rPr>
            <b/>
            <sz val="9"/>
            <color indexed="81"/>
            <rFont val="Tahoma"/>
            <family val="2"/>
          </rPr>
          <t xml:space="preserve">Selected RAMP1/RAMP2 Resistors
</t>
        </r>
        <r>
          <rPr>
            <sz val="9"/>
            <color indexed="81"/>
            <rFont val="Tahoma"/>
            <family val="2"/>
          </rPr>
          <t xml:space="preserve">This is the selected resistance value. The selected value should be based on the calculated value above. </t>
        </r>
      </text>
    </comment>
    <comment ref="B65" authorId="0" shapeId="0" xr:uid="{00000000-0006-0000-0000-000022000000}">
      <text>
        <r>
          <rPr>
            <b/>
            <sz val="9"/>
            <color indexed="81"/>
            <rFont val="Tahoma"/>
            <family val="2"/>
          </rPr>
          <t>Peak RAMP voltage at the HV minimum</t>
        </r>
        <r>
          <rPr>
            <sz val="9"/>
            <color indexed="81"/>
            <rFont val="Tahoma"/>
            <family val="2"/>
          </rPr>
          <t xml:space="preserve">
This value should be greater than 0.625V but less than 14V. If not this cell will be marked red indicating an error. If this occurs the RAMP resistor value should be modified accordingly</t>
        </r>
      </text>
    </comment>
    <comment ref="B66" authorId="0" shapeId="0" xr:uid="{00000000-0006-0000-0000-000023000000}">
      <text>
        <r>
          <rPr>
            <b/>
            <sz val="9"/>
            <color indexed="81"/>
            <rFont val="Tahoma"/>
            <family val="2"/>
          </rPr>
          <t>Peak RAMP voltage at the HV Nominal</t>
        </r>
        <r>
          <rPr>
            <sz val="9"/>
            <color indexed="81"/>
            <rFont val="Tahoma"/>
            <family val="2"/>
          </rPr>
          <t xml:space="preserve">
This value should be greater than 0.625V but less than 14V. If not this cell will be marked red indicating an error. If this occurs the RAMP resistor value should be modified accordingly</t>
        </r>
      </text>
    </comment>
    <comment ref="B67" authorId="0" shapeId="0" xr:uid="{00000000-0006-0000-0000-000024000000}">
      <text>
        <r>
          <rPr>
            <b/>
            <sz val="9"/>
            <color indexed="81"/>
            <rFont val="Tahoma"/>
            <family val="2"/>
          </rPr>
          <t>Peak RAMP voltage at the HV Maximum</t>
        </r>
        <r>
          <rPr>
            <sz val="9"/>
            <color indexed="81"/>
            <rFont val="Tahoma"/>
            <family val="2"/>
          </rPr>
          <t xml:space="preserve">
This value should be greater than 0.625V but less than 14V. If not this cell will be marked red indicating an error. If this occurs the RAMP resistor value should be modified accordingly</t>
        </r>
      </text>
    </comment>
    <comment ref="B72" authorId="0" shapeId="0" xr:uid="{00000000-0006-0000-0000-000025000000}">
      <text>
        <r>
          <rPr>
            <b/>
            <sz val="9"/>
            <color indexed="81"/>
            <rFont val="Tahoma"/>
            <family val="2"/>
          </rPr>
          <t>Selected Soft-Start Time</t>
        </r>
        <r>
          <rPr>
            <sz val="9"/>
            <color indexed="81"/>
            <rFont val="Tahoma"/>
            <family val="2"/>
          </rPr>
          <t xml:space="preserve">
This is the selected time that it will take the SS pin to charge to the threshold voltage. Increasing the value will result in a slower ramp to full load current.</t>
        </r>
      </text>
    </comment>
    <comment ref="B73" authorId="0" shapeId="0" xr:uid="{00000000-0006-0000-0000-000026000000}">
      <text>
        <r>
          <rPr>
            <b/>
            <sz val="9"/>
            <color indexed="81"/>
            <rFont val="Tahoma"/>
            <family val="2"/>
          </rPr>
          <t>Selected Soft-Start Capacitor C</t>
        </r>
        <r>
          <rPr>
            <b/>
            <vertAlign val="subscript"/>
            <sz val="9"/>
            <color indexed="81"/>
            <rFont val="Tahoma"/>
            <family val="2"/>
          </rPr>
          <t>SS</t>
        </r>
        <r>
          <rPr>
            <sz val="9"/>
            <color indexed="81"/>
            <rFont val="Tahoma"/>
            <family val="2"/>
          </rPr>
          <t xml:space="preserve">
This is the calculated soft-start capacitor that will result in the soft-start time specified in the selected soft-start time cell. This value is based off of the datasheet equations.</t>
        </r>
      </text>
    </comment>
    <comment ref="B74" authorId="0" shapeId="0" xr:uid="{00000000-0006-0000-0000-000027000000}">
      <text>
        <r>
          <rPr>
            <b/>
            <sz val="9"/>
            <color indexed="81"/>
            <rFont val="Tahoma"/>
            <family val="2"/>
          </rPr>
          <t>Selected C</t>
        </r>
        <r>
          <rPr>
            <b/>
            <vertAlign val="subscript"/>
            <sz val="9"/>
            <color indexed="81"/>
            <rFont val="Tahoma"/>
            <family val="2"/>
          </rPr>
          <t>SS</t>
        </r>
        <r>
          <rPr>
            <b/>
            <sz val="9"/>
            <color indexed="81"/>
            <rFont val="Tahoma"/>
            <family val="2"/>
          </rPr>
          <t xml:space="preserve"> Capacitance
</t>
        </r>
        <r>
          <rPr>
            <sz val="9"/>
            <color indexed="81"/>
            <rFont val="Tahoma"/>
            <family val="2"/>
          </rPr>
          <t>This is the selected soft-start capacitance. This value should be based on the calculated C</t>
        </r>
        <r>
          <rPr>
            <vertAlign val="subscript"/>
            <sz val="9"/>
            <color indexed="81"/>
            <rFont val="Tahoma"/>
            <family val="2"/>
          </rPr>
          <t xml:space="preserve">SS </t>
        </r>
        <r>
          <rPr>
            <sz val="9"/>
            <color indexed="81"/>
            <rFont val="Tahoma"/>
            <family val="2"/>
          </rPr>
          <t>cell value</t>
        </r>
      </text>
    </comment>
    <comment ref="B75" authorId="0" shapeId="0" xr:uid="{00000000-0006-0000-0000-000028000000}">
      <text>
        <r>
          <rPr>
            <b/>
            <sz val="9"/>
            <color indexed="81"/>
            <rFont val="Tahoma"/>
            <family val="2"/>
          </rPr>
          <t xml:space="preserve">Actual Soft-Start Time
</t>
        </r>
        <r>
          <rPr>
            <sz val="9"/>
            <color indexed="81"/>
            <rFont val="Tahoma"/>
            <family val="2"/>
          </rPr>
          <t xml:space="preserve">
This is the soft-start time of the converter based on the value of the selected C</t>
        </r>
        <r>
          <rPr>
            <vertAlign val="subscript"/>
            <sz val="9"/>
            <color indexed="81"/>
            <rFont val="Tahoma"/>
            <family val="2"/>
          </rPr>
          <t>SS</t>
        </r>
        <r>
          <rPr>
            <sz val="9"/>
            <color indexed="81"/>
            <rFont val="Tahoma"/>
            <family val="2"/>
          </rPr>
          <t xml:space="preserve"> value</t>
        </r>
      </text>
    </comment>
    <comment ref="B80" authorId="0" shapeId="0" xr:uid="{00000000-0006-0000-0000-000029000000}">
      <text>
        <r>
          <rPr>
            <b/>
            <sz val="9"/>
            <color indexed="81"/>
            <rFont val="Tahoma"/>
            <family val="2"/>
          </rPr>
          <t>HV Port Overvoltage Level</t>
        </r>
        <r>
          <rPr>
            <sz val="9"/>
            <color indexed="81"/>
            <rFont val="Tahoma"/>
            <family val="2"/>
          </rPr>
          <t xml:space="preserve">
</t>
        </r>
        <r>
          <rPr>
            <b/>
            <sz val="9"/>
            <color indexed="81"/>
            <rFont val="Tahoma"/>
            <family val="2"/>
          </rPr>
          <t>Maximum Value: 85V</t>
        </r>
        <r>
          <rPr>
            <sz val="9"/>
            <color indexed="81"/>
            <rFont val="Tahoma"/>
            <family val="2"/>
          </rPr>
          <t xml:space="preserve">
This is the desired overvoltage level of the HV port. This value should be lower than the recommended maximum rating of the VIN Pin.</t>
        </r>
      </text>
    </comment>
    <comment ref="B81" authorId="0" shapeId="0" xr:uid="{00000000-0006-0000-0000-00002A000000}">
      <text>
        <r>
          <rPr>
            <b/>
            <sz val="9"/>
            <color indexed="81"/>
            <rFont val="Tahoma"/>
            <family val="2"/>
          </rPr>
          <t>Calculated R</t>
        </r>
        <r>
          <rPr>
            <b/>
            <vertAlign val="subscript"/>
            <sz val="9"/>
            <color indexed="81"/>
            <rFont val="Tahoma"/>
            <family val="2"/>
          </rPr>
          <t>OVPA</t>
        </r>
        <r>
          <rPr>
            <sz val="9"/>
            <color indexed="81"/>
            <rFont val="Tahoma"/>
            <family val="2"/>
          </rPr>
          <t xml:space="preserve">
This is the calculated R</t>
        </r>
        <r>
          <rPr>
            <vertAlign val="subscript"/>
            <sz val="9"/>
            <color indexed="81"/>
            <rFont val="Tahoma"/>
            <family val="2"/>
          </rPr>
          <t>OVPA</t>
        </r>
        <r>
          <rPr>
            <sz val="9"/>
            <color indexed="81"/>
            <rFont val="Tahoma"/>
            <family val="2"/>
          </rPr>
          <t xml:space="preserve"> value based on the datasheet equation and the OVPA trigger level specified</t>
        </r>
      </text>
    </comment>
    <comment ref="B82" authorId="0" shapeId="0" xr:uid="{00000000-0006-0000-0000-00002B000000}">
      <text>
        <r>
          <rPr>
            <b/>
            <sz val="9"/>
            <color indexed="81"/>
            <rFont val="Tahoma"/>
            <family val="2"/>
          </rPr>
          <t>Selected R</t>
        </r>
        <r>
          <rPr>
            <b/>
            <vertAlign val="subscript"/>
            <sz val="9"/>
            <color indexed="81"/>
            <rFont val="Tahoma"/>
            <family val="2"/>
          </rPr>
          <t>OVPA</t>
        </r>
        <r>
          <rPr>
            <b/>
            <sz val="9"/>
            <color indexed="81"/>
            <rFont val="Tahoma"/>
            <family val="2"/>
          </rPr>
          <t xml:space="preserve"> Resistor</t>
        </r>
        <r>
          <rPr>
            <sz val="9"/>
            <color indexed="81"/>
            <rFont val="Tahoma"/>
            <family val="2"/>
          </rPr>
          <t xml:space="preserve">
This value should be based on the calculated R</t>
        </r>
        <r>
          <rPr>
            <vertAlign val="subscript"/>
            <sz val="9"/>
            <color indexed="81"/>
            <rFont val="Tahoma"/>
            <family val="2"/>
          </rPr>
          <t>OVPA</t>
        </r>
        <r>
          <rPr>
            <sz val="9"/>
            <color indexed="81"/>
            <rFont val="Tahoma"/>
            <family val="2"/>
          </rPr>
          <t xml:space="preserve"> value</t>
        </r>
      </text>
    </comment>
    <comment ref="B83" authorId="0" shapeId="0" xr:uid="{00000000-0006-0000-0000-00002C000000}">
      <text>
        <r>
          <rPr>
            <b/>
            <sz val="9"/>
            <color indexed="81"/>
            <rFont val="Tahoma"/>
            <family val="2"/>
          </rPr>
          <t xml:space="preserve">Actual HV OVP Level
</t>
        </r>
        <r>
          <rPr>
            <sz val="9"/>
            <color indexed="81"/>
            <rFont val="Tahoma"/>
            <family val="2"/>
          </rPr>
          <t>This the level that OVPA will trigger at. This is based on the resistor value (R</t>
        </r>
        <r>
          <rPr>
            <vertAlign val="subscript"/>
            <sz val="9"/>
            <color indexed="81"/>
            <rFont val="Tahoma"/>
            <family val="2"/>
          </rPr>
          <t>OVPA</t>
        </r>
        <r>
          <rPr>
            <sz val="9"/>
            <color indexed="81"/>
            <rFont val="Tahoma"/>
            <family val="2"/>
          </rPr>
          <t xml:space="preserve">) selected above. </t>
        </r>
        <r>
          <rPr>
            <b/>
            <sz val="9"/>
            <color indexed="81"/>
            <rFont val="Tahoma"/>
            <family val="2"/>
          </rPr>
          <t>This value should be less than 85V</t>
        </r>
      </text>
    </comment>
    <comment ref="B85" authorId="0" shapeId="0" xr:uid="{00000000-0006-0000-0000-00002D000000}">
      <text>
        <r>
          <rPr>
            <b/>
            <sz val="9"/>
            <color indexed="81"/>
            <rFont val="Tahoma"/>
            <family val="2"/>
          </rPr>
          <t xml:space="preserve">LV Port Overvoltage Level
Maximum Value: 60V
</t>
        </r>
        <r>
          <rPr>
            <sz val="9"/>
            <color indexed="81"/>
            <rFont val="Tahoma"/>
            <family val="2"/>
          </rPr>
          <t xml:space="preserve">This is the desired overvoltage level of the LV port. This value should be lower than the recommended maximum rating of the LV port. In a majority of applications this value should be lower than the minimum HV rail voltage.
</t>
        </r>
      </text>
    </comment>
    <comment ref="B86" authorId="0" shapeId="0" xr:uid="{00000000-0006-0000-0000-00002E000000}">
      <text>
        <r>
          <rPr>
            <b/>
            <sz val="9"/>
            <color indexed="81"/>
            <rFont val="Tahoma"/>
            <family val="2"/>
          </rPr>
          <t>Calculated R</t>
        </r>
        <r>
          <rPr>
            <b/>
            <vertAlign val="subscript"/>
            <sz val="9"/>
            <color indexed="81"/>
            <rFont val="Tahoma"/>
            <family val="2"/>
          </rPr>
          <t>OVPB</t>
        </r>
        <r>
          <rPr>
            <b/>
            <sz val="9"/>
            <color indexed="81"/>
            <rFont val="Tahoma"/>
            <family val="2"/>
          </rPr>
          <t xml:space="preserve">
</t>
        </r>
        <r>
          <rPr>
            <sz val="9"/>
            <color indexed="81"/>
            <rFont val="Tahoma"/>
            <family val="2"/>
          </rPr>
          <t>This is the calculated R</t>
        </r>
        <r>
          <rPr>
            <vertAlign val="subscript"/>
            <sz val="9"/>
            <color indexed="81"/>
            <rFont val="Tahoma"/>
            <family val="2"/>
          </rPr>
          <t>OVPB</t>
        </r>
        <r>
          <rPr>
            <sz val="9"/>
            <color indexed="81"/>
            <rFont val="Tahoma"/>
            <family val="2"/>
          </rPr>
          <t xml:space="preserve"> value based on the datasheet equation and the OVPB trigger level specified</t>
        </r>
      </text>
    </comment>
    <comment ref="B87" authorId="0" shapeId="0" xr:uid="{00000000-0006-0000-0000-00002F000000}">
      <text>
        <r>
          <rPr>
            <b/>
            <sz val="9"/>
            <color indexed="81"/>
            <rFont val="Tahoma"/>
            <family val="2"/>
          </rPr>
          <t>Selected R</t>
        </r>
        <r>
          <rPr>
            <b/>
            <vertAlign val="subscript"/>
            <sz val="9"/>
            <color indexed="81"/>
            <rFont val="Tahoma"/>
            <family val="2"/>
          </rPr>
          <t>OVPB</t>
        </r>
        <r>
          <rPr>
            <b/>
            <sz val="9"/>
            <color indexed="81"/>
            <rFont val="Tahoma"/>
            <family val="2"/>
          </rPr>
          <t xml:space="preserve"> Resistor
</t>
        </r>
        <r>
          <rPr>
            <sz val="9"/>
            <color indexed="81"/>
            <rFont val="Tahoma"/>
            <family val="2"/>
          </rPr>
          <t>This value should be based on the calculated R</t>
        </r>
        <r>
          <rPr>
            <vertAlign val="subscript"/>
            <sz val="9"/>
            <color indexed="81"/>
            <rFont val="Tahoma"/>
            <family val="2"/>
          </rPr>
          <t>OVPB</t>
        </r>
        <r>
          <rPr>
            <sz val="9"/>
            <color indexed="81"/>
            <rFont val="Tahoma"/>
            <family val="2"/>
          </rPr>
          <t xml:space="preserve"> value
</t>
        </r>
      </text>
    </comment>
    <comment ref="B88" authorId="0" shapeId="0" xr:uid="{00000000-0006-0000-0000-000030000000}">
      <text>
        <r>
          <rPr>
            <b/>
            <sz val="9"/>
            <color indexed="81"/>
            <rFont val="Tahoma"/>
            <family val="2"/>
          </rPr>
          <t xml:space="preserve">Actual LV OVP Level
</t>
        </r>
        <r>
          <rPr>
            <sz val="9"/>
            <color indexed="81"/>
            <rFont val="Tahoma"/>
            <family val="2"/>
          </rPr>
          <t>This the level that OVPB will trigger at. This is based on the resistor value (R</t>
        </r>
        <r>
          <rPr>
            <vertAlign val="subscript"/>
            <sz val="9"/>
            <color indexed="81"/>
            <rFont val="Tahoma"/>
            <family val="2"/>
          </rPr>
          <t>OVPB</t>
        </r>
        <r>
          <rPr>
            <sz val="9"/>
            <color indexed="81"/>
            <rFont val="Tahoma"/>
            <family val="2"/>
          </rPr>
          <t xml:space="preserve">) selected above. This value should be less than 60V
</t>
        </r>
      </text>
    </comment>
    <comment ref="B93" authorId="0" shapeId="0" xr:uid="{00000000-0006-0000-0000-000031000000}">
      <text>
        <r>
          <rPr>
            <b/>
            <sz val="9"/>
            <color indexed="81"/>
            <rFont val="Tahoma"/>
            <family val="2"/>
          </rPr>
          <t xml:space="preserve">ULVO Control Type Selection:
</t>
        </r>
        <r>
          <rPr>
            <sz val="9"/>
            <color indexed="81"/>
            <rFont val="Tahoma"/>
            <family val="2"/>
          </rPr>
          <t xml:space="preserve">The UVLO signal can be configured in a number of ways. Below are two common configurations
1. </t>
        </r>
        <r>
          <rPr>
            <u/>
            <sz val="9"/>
            <color indexed="81"/>
            <rFont val="Tahoma"/>
            <family val="2"/>
          </rPr>
          <t>UVLO signal controlled by microcontroller (</t>
        </r>
        <r>
          <rPr>
            <u/>
            <sz val="9"/>
            <color indexed="81"/>
            <rFont val="Calibri"/>
            <family val="2"/>
          </rPr>
          <t>μ</t>
        </r>
        <r>
          <rPr>
            <u/>
            <sz val="9"/>
            <color indexed="81"/>
            <rFont val="Tahoma"/>
            <family val="2"/>
          </rPr>
          <t>C)</t>
        </r>
        <r>
          <rPr>
            <sz val="9"/>
            <color indexed="81"/>
            <rFont val="Tahoma"/>
            <family val="2"/>
          </rPr>
          <t xml:space="preserve">
In this configuration the UVLO signal is used as a master enable for the device. To ensure that the  LM5170 will respond correctly the  logic level high voltage should be greater than 2.5V. If selected the cells below will be shaded grey to indicate that the calculations are not needed.
2.</t>
        </r>
        <r>
          <rPr>
            <u/>
            <sz val="9"/>
            <color indexed="81"/>
            <rFont val="Tahoma"/>
            <family val="2"/>
          </rPr>
          <t xml:space="preserve"> UVLO Resistor Divider (Resistor Divider)</t>
        </r>
        <r>
          <rPr>
            <sz val="9"/>
            <color indexed="81"/>
            <rFont val="Tahoma"/>
            <family val="2"/>
          </rPr>
          <t xml:space="preserve">
In this configuration a Resistor divider is used to set enable or disable the LM5170. When the UVLO pin is above 2.5V the LM5170 will be in power delivery mode. If the voltage on the UVLO pin is between 1.25V and 2.5V the LM5170 will be in standby mode. If the UVLO pin voltage is below 1.25V the LM5170 will be in shutdown mode and will draw a small amount of power.</t>
        </r>
      </text>
    </comment>
    <comment ref="B94" authorId="0" shapeId="0" xr:uid="{00000000-0006-0000-0000-000032000000}">
      <text>
        <r>
          <rPr>
            <b/>
            <sz val="9"/>
            <color indexed="81"/>
            <rFont val="Tahoma"/>
            <family val="2"/>
          </rPr>
          <t xml:space="preserve">UVLO Release Voltage
</t>
        </r>
        <r>
          <rPr>
            <sz val="9"/>
            <color indexed="81"/>
            <rFont val="Tahoma"/>
            <family val="2"/>
          </rPr>
          <t>This is the input voltage at which the LM5170 will start delivering current. This voltage rail is typically from the HV-PORT, LV-PORT of the VCC rail.</t>
        </r>
      </text>
    </comment>
    <comment ref="B95" authorId="0" shapeId="0" xr:uid="{00000000-0006-0000-0000-000033000000}">
      <text>
        <r>
          <rPr>
            <b/>
            <sz val="9"/>
            <color indexed="81"/>
            <rFont val="Tahoma"/>
            <family val="2"/>
          </rPr>
          <t>Selected R</t>
        </r>
        <r>
          <rPr>
            <b/>
            <vertAlign val="subscript"/>
            <sz val="9"/>
            <color indexed="81"/>
            <rFont val="Tahoma"/>
            <family val="2"/>
          </rPr>
          <t xml:space="preserve">UVLO2
</t>
        </r>
        <r>
          <rPr>
            <sz val="9"/>
            <color indexed="81"/>
            <rFont val="Tahoma"/>
            <family val="2"/>
          </rPr>
          <t xml:space="preserve">This is the selected bottom resistor of the UVLO resistor divider. The larger this value the less current will flow in the divider making the UVLO signal more susceptible to noise. </t>
        </r>
      </text>
    </comment>
    <comment ref="B96" authorId="0" shapeId="0" xr:uid="{00000000-0006-0000-0000-000034000000}">
      <text>
        <r>
          <rPr>
            <b/>
            <sz val="9"/>
            <color indexed="81"/>
            <rFont val="Tahoma"/>
            <family val="2"/>
          </rPr>
          <t>Calculated R</t>
        </r>
        <r>
          <rPr>
            <b/>
            <vertAlign val="subscript"/>
            <sz val="9"/>
            <color indexed="81"/>
            <rFont val="Tahoma"/>
            <family val="2"/>
          </rPr>
          <t xml:space="preserve">UVLO1
</t>
        </r>
        <r>
          <rPr>
            <sz val="9"/>
            <color indexed="81"/>
            <rFont val="Tahoma"/>
            <family val="2"/>
          </rPr>
          <t>This is the calculated top resistor of the UVLO resistor divider based on the datasheet equation</t>
        </r>
      </text>
    </comment>
    <comment ref="B97" authorId="0" shapeId="0" xr:uid="{00000000-0006-0000-0000-000035000000}">
      <text>
        <r>
          <rPr>
            <b/>
            <sz val="9"/>
            <color indexed="81"/>
            <rFont val="Tahoma"/>
            <family val="2"/>
          </rPr>
          <t>Selected R</t>
        </r>
        <r>
          <rPr>
            <b/>
            <vertAlign val="subscript"/>
            <sz val="9"/>
            <color indexed="81"/>
            <rFont val="Tahoma"/>
            <family val="2"/>
          </rPr>
          <t>UVLO1</t>
        </r>
        <r>
          <rPr>
            <b/>
            <sz val="9"/>
            <color indexed="81"/>
            <rFont val="Tahoma"/>
            <family val="2"/>
          </rPr>
          <t xml:space="preserve">
</t>
        </r>
        <r>
          <rPr>
            <sz val="9"/>
            <color indexed="81"/>
            <rFont val="Tahoma"/>
            <family val="2"/>
          </rPr>
          <t xml:space="preserve">
This is the selected value of R</t>
        </r>
        <r>
          <rPr>
            <vertAlign val="subscript"/>
            <sz val="9"/>
            <color indexed="81"/>
            <rFont val="Tahoma"/>
            <family val="2"/>
          </rPr>
          <t>UVLO1</t>
        </r>
        <r>
          <rPr>
            <sz val="9"/>
            <color indexed="81"/>
            <rFont val="Tahoma"/>
            <family val="2"/>
          </rPr>
          <t xml:space="preserve">. The selected value should be based on the calculated value above
</t>
        </r>
      </text>
    </comment>
    <comment ref="B98" authorId="0" shapeId="0" xr:uid="{00000000-0006-0000-0000-000036000000}">
      <text>
        <r>
          <rPr>
            <b/>
            <sz val="9"/>
            <color indexed="81"/>
            <rFont val="Tahoma"/>
            <family val="2"/>
          </rPr>
          <t xml:space="preserve">UVLO Hysteresis
</t>
        </r>
        <r>
          <rPr>
            <sz val="9"/>
            <color indexed="81"/>
            <rFont val="Tahoma"/>
            <family val="2"/>
          </rPr>
          <t>If a different amount of hysteresis is needed on the UVLO signal a resistor (R</t>
        </r>
        <r>
          <rPr>
            <vertAlign val="subscript"/>
            <sz val="9"/>
            <color indexed="81"/>
            <rFont val="Tahoma"/>
            <family val="2"/>
          </rPr>
          <t>UVLO3</t>
        </r>
        <r>
          <rPr>
            <sz val="9"/>
            <color indexed="81"/>
            <rFont val="Tahoma"/>
            <family val="2"/>
          </rPr>
          <t xml:space="preserve">) maybe added to adjust this accordingly. The two following options will help to calculate the correct UVLO resistor values.
</t>
        </r>
        <r>
          <rPr>
            <u/>
            <sz val="9"/>
            <color indexed="81"/>
            <rFont val="Tahoma"/>
            <family val="2"/>
          </rPr>
          <t xml:space="preserve">1. Additional </t>
        </r>
        <r>
          <rPr>
            <sz val="9"/>
            <color indexed="81"/>
            <rFont val="Tahoma"/>
            <family val="2"/>
          </rPr>
          <t xml:space="preserve">
This allows for a greater level of hysteresis to be implemented for the UVLO signal. Selecting this option will calculated the needed value for R</t>
        </r>
        <r>
          <rPr>
            <vertAlign val="subscript"/>
            <sz val="9"/>
            <color indexed="81"/>
            <rFont val="Tahoma"/>
            <family val="2"/>
          </rPr>
          <t>UVLO3</t>
        </r>
        <r>
          <rPr>
            <sz val="9"/>
            <color indexed="81"/>
            <rFont val="Tahoma"/>
            <family val="2"/>
          </rPr>
          <t xml:space="preserve"> 
</t>
        </r>
        <r>
          <rPr>
            <u/>
            <sz val="9"/>
            <color indexed="81"/>
            <rFont val="Tahoma"/>
            <family val="2"/>
          </rPr>
          <t>2. Normal</t>
        </r>
        <r>
          <rPr>
            <sz val="9"/>
            <color indexed="81"/>
            <rFont val="Tahoma"/>
            <family val="2"/>
          </rPr>
          <t xml:space="preserve">
This is the most common use case for the UVLO signal. The hysteresis will be set by the 25uA internal current source and the R</t>
        </r>
        <r>
          <rPr>
            <vertAlign val="subscript"/>
            <sz val="9"/>
            <color indexed="81"/>
            <rFont val="Tahoma"/>
            <family val="2"/>
          </rPr>
          <t>UVLO1</t>
        </r>
        <r>
          <rPr>
            <sz val="9"/>
            <color indexed="81"/>
            <rFont val="Tahoma"/>
            <family val="2"/>
          </rPr>
          <t xml:space="preserve"> resistor</t>
        </r>
      </text>
    </comment>
    <comment ref="B99" authorId="0" shapeId="0" xr:uid="{00000000-0006-0000-0000-000037000000}">
      <text>
        <r>
          <rPr>
            <b/>
            <sz val="9"/>
            <color indexed="81"/>
            <rFont val="Tahoma"/>
            <family val="2"/>
          </rPr>
          <t>Selected Amount of Hysteresis</t>
        </r>
        <r>
          <rPr>
            <sz val="9"/>
            <color indexed="81"/>
            <rFont val="Tahoma"/>
            <family val="2"/>
          </rPr>
          <t xml:space="preserve">
The amount of hysteresis that RUVLO3 will be calculated to provide. If the "Normal" option on the "UVLO Hysteresis Type" box is selected this box is void.</t>
        </r>
      </text>
    </comment>
    <comment ref="B100" authorId="0" shapeId="0" xr:uid="{00000000-0006-0000-0000-000038000000}">
      <text>
        <r>
          <rPr>
            <b/>
            <sz val="9"/>
            <color indexed="81"/>
            <rFont val="Tahoma"/>
            <family val="2"/>
          </rPr>
          <t>Calculated R</t>
        </r>
        <r>
          <rPr>
            <b/>
            <vertAlign val="subscript"/>
            <sz val="9"/>
            <color indexed="81"/>
            <rFont val="Tahoma"/>
            <family val="2"/>
          </rPr>
          <t>UVLO3</t>
        </r>
        <r>
          <rPr>
            <b/>
            <sz val="9"/>
            <color indexed="81"/>
            <rFont val="Tahoma"/>
            <family val="2"/>
          </rPr>
          <t xml:space="preserve"> Value</t>
        </r>
        <r>
          <rPr>
            <sz val="9"/>
            <color indexed="81"/>
            <rFont val="Tahoma"/>
            <family val="2"/>
          </rPr>
          <t xml:space="preserve">
The calculated value based on amount of selected UVLO hysteresis. The calculated value is based on the datasheet equation. If the "Normal" option on the "UVLO Hysteresis Type" box is selected this box is void.</t>
        </r>
      </text>
    </comment>
    <comment ref="B101" authorId="0" shapeId="0" xr:uid="{00000000-0006-0000-0000-000039000000}">
      <text>
        <r>
          <rPr>
            <b/>
            <sz val="9"/>
            <color indexed="81"/>
            <rFont val="Tahoma"/>
            <family val="2"/>
          </rPr>
          <t>Selected R</t>
        </r>
        <r>
          <rPr>
            <b/>
            <vertAlign val="subscript"/>
            <sz val="9"/>
            <color indexed="81"/>
            <rFont val="Tahoma"/>
            <family val="2"/>
          </rPr>
          <t>UVLO3</t>
        </r>
        <r>
          <rPr>
            <b/>
            <sz val="9"/>
            <color indexed="81"/>
            <rFont val="Tahoma"/>
            <family val="2"/>
          </rPr>
          <t xml:space="preserve"> Value
</t>
        </r>
        <r>
          <rPr>
            <sz val="9"/>
            <color indexed="81"/>
            <rFont val="Tahoma"/>
            <family val="2"/>
          </rPr>
          <t>The selected value should be based on the calculated value above. If the "Normal" option on the "UVLO Hysteresis Type" box is selected this box is void.</t>
        </r>
      </text>
    </comment>
    <comment ref="B102" authorId="0" shapeId="0" xr:uid="{00000000-0006-0000-0000-00003A000000}">
      <text>
        <r>
          <rPr>
            <b/>
            <sz val="9"/>
            <color indexed="81"/>
            <rFont val="Tahoma"/>
            <family val="2"/>
          </rPr>
          <t xml:space="preserve">UVLO Hysteresis
</t>
        </r>
        <r>
          <rPr>
            <sz val="9"/>
            <color indexed="81"/>
            <rFont val="Tahoma"/>
            <family val="2"/>
          </rPr>
          <t xml:space="preserve">
This is the amount of hysteresis that will be on the UVLO signal. This value is dependent on the selection of the "UVLO Hysteresis Type" cell.
</t>
        </r>
      </text>
    </comment>
    <comment ref="B103" authorId="0" shapeId="0" xr:uid="{00000000-0006-0000-0000-00003B000000}">
      <text>
        <r>
          <rPr>
            <b/>
            <sz val="9"/>
            <color indexed="81"/>
            <rFont val="Tahoma"/>
            <family val="2"/>
          </rPr>
          <t xml:space="preserve">UVLO Release Rising Edge
</t>
        </r>
        <r>
          <rPr>
            <sz val="9"/>
            <color indexed="81"/>
            <rFont val="Tahoma"/>
            <family val="2"/>
          </rPr>
          <t>This is the UVLO input rail voltage at which the Undervoltage event is cleared. If the input rail voltage is greater than this value the LM5170 is able to deliver current.</t>
        </r>
      </text>
    </comment>
    <comment ref="B104" authorId="0" shapeId="0" xr:uid="{00000000-0006-0000-0000-00003C000000}">
      <text>
        <r>
          <rPr>
            <b/>
            <sz val="9"/>
            <color indexed="81"/>
            <rFont val="Tahoma"/>
            <family val="2"/>
          </rPr>
          <t xml:space="preserve">UVLO Latch Falling Edge
</t>
        </r>
        <r>
          <rPr>
            <sz val="9"/>
            <color indexed="81"/>
            <rFont val="Tahoma"/>
            <family val="2"/>
          </rPr>
          <t xml:space="preserve">
This is the UVLO input rail voltage at which an Undervoltage event occurs. If the input rail voltage is less than this value the LM5170 is in standby mode.</t>
        </r>
      </text>
    </comment>
    <comment ref="B105" authorId="0" shapeId="0" xr:uid="{00000000-0006-0000-0000-00003D000000}">
      <text>
        <r>
          <rPr>
            <b/>
            <sz val="9"/>
            <color indexed="81"/>
            <rFont val="Tahoma"/>
            <family val="2"/>
          </rPr>
          <t xml:space="preserve">UVLO Shutdown Voltage
</t>
        </r>
        <r>
          <rPr>
            <sz val="9"/>
            <color indexed="81"/>
            <rFont val="Tahoma"/>
            <family val="2"/>
          </rPr>
          <t>This is the UVLO input rail voltage at which the LM5170 will enter shutdown mode.</t>
        </r>
        <r>
          <rPr>
            <b/>
            <sz val="9"/>
            <color indexed="81"/>
            <rFont val="Tahoma"/>
            <family val="2"/>
          </rPr>
          <t xml:space="preserve"> </t>
        </r>
      </text>
    </comment>
    <comment ref="B110" authorId="0" shapeId="0" xr:uid="{00000000-0006-0000-0000-00003E000000}">
      <text>
        <r>
          <rPr>
            <b/>
            <sz val="9"/>
            <color indexed="81"/>
            <rFont val="Tahoma"/>
            <family val="2"/>
          </rPr>
          <t>IOUT Voltage at VCS = 50mV</t>
        </r>
        <r>
          <rPr>
            <sz val="9"/>
            <color indexed="81"/>
            <rFont val="Tahoma"/>
            <family val="2"/>
          </rPr>
          <t xml:space="preserve">
The maximum voltage that the IOUTx pin will see at full load current. This is assuming that each channel (IOUT1, IOUT2,…) has an output that is not tied together. It is recommended to keep the IOUTx pin </t>
        </r>
        <r>
          <rPr>
            <u/>
            <sz val="9"/>
            <color indexed="81"/>
            <rFont val="Tahoma"/>
            <family val="2"/>
          </rPr>
          <t xml:space="preserve">voltage below 5V </t>
        </r>
        <r>
          <rPr>
            <sz val="9"/>
            <color indexed="81"/>
            <rFont val="Tahoma"/>
            <family val="2"/>
          </rPr>
          <t>for accurate current measurements.</t>
        </r>
      </text>
    </comment>
    <comment ref="B111" authorId="0" shapeId="0" xr:uid="{00000000-0006-0000-0000-00003F000000}">
      <text>
        <r>
          <rPr>
            <b/>
            <sz val="9"/>
            <color indexed="81"/>
            <rFont val="Tahoma"/>
            <family val="2"/>
          </rPr>
          <t>Calculated R</t>
        </r>
        <r>
          <rPr>
            <b/>
            <vertAlign val="subscript"/>
            <sz val="9"/>
            <color indexed="81"/>
            <rFont val="Tahoma"/>
            <family val="2"/>
          </rPr>
          <t xml:space="preserve">IOUT </t>
        </r>
        <r>
          <rPr>
            <b/>
            <sz val="9"/>
            <color indexed="81"/>
            <rFont val="Tahoma"/>
            <family val="2"/>
          </rPr>
          <t>Values</t>
        </r>
        <r>
          <rPr>
            <sz val="9"/>
            <color indexed="81"/>
            <rFont val="Tahoma"/>
            <family val="2"/>
          </rPr>
          <t xml:space="preserve">
These values are assuming that no IOUT signal is tied together. The calculated value of the resistor will give the specified maximum V</t>
        </r>
        <r>
          <rPr>
            <vertAlign val="subscript"/>
            <sz val="9"/>
            <color indexed="81"/>
            <rFont val="Tahoma"/>
            <family val="2"/>
          </rPr>
          <t>IOUT</t>
        </r>
        <r>
          <rPr>
            <sz val="9"/>
            <color indexed="81"/>
            <rFont val="Tahoma"/>
            <family val="2"/>
          </rPr>
          <t xml:space="preserve"> based on the datasheet equation.</t>
        </r>
      </text>
    </comment>
    <comment ref="B112" authorId="0" shapeId="0" xr:uid="{00000000-0006-0000-0000-000040000000}">
      <text>
        <r>
          <rPr>
            <b/>
            <sz val="9"/>
            <color indexed="81"/>
            <rFont val="Tahoma"/>
            <family val="2"/>
          </rPr>
          <t>Selected RIOUT Value</t>
        </r>
        <r>
          <rPr>
            <sz val="9"/>
            <color indexed="81"/>
            <rFont val="Tahoma"/>
            <family val="2"/>
          </rPr>
          <t xml:space="preserve">
The selected value should be based on the calculated value for the RIOUT resistors</t>
        </r>
      </text>
    </comment>
    <comment ref="B113" authorId="0" shapeId="0" xr:uid="{00000000-0006-0000-0000-000041000000}">
      <text>
        <r>
          <rPr>
            <b/>
            <sz val="9"/>
            <color indexed="81"/>
            <rFont val="Tahoma"/>
            <family val="2"/>
          </rPr>
          <t>V</t>
        </r>
        <r>
          <rPr>
            <b/>
            <vertAlign val="subscript"/>
            <sz val="9"/>
            <color indexed="81"/>
            <rFont val="Tahoma"/>
            <family val="2"/>
          </rPr>
          <t>IOUT</t>
        </r>
        <r>
          <rPr>
            <b/>
            <sz val="9"/>
            <color indexed="81"/>
            <rFont val="Tahoma"/>
            <family val="2"/>
          </rPr>
          <t xml:space="preserve"> at full load</t>
        </r>
        <r>
          <rPr>
            <sz val="9"/>
            <color indexed="81"/>
            <rFont val="Tahoma"/>
            <family val="2"/>
          </rPr>
          <t xml:space="preserve">
This is the maximum value on the IOUT pins based on the resistor selection made.</t>
        </r>
      </text>
    </comment>
    <comment ref="B114" authorId="0" shapeId="0" xr:uid="{00000000-0006-0000-0000-000042000000}">
      <text>
        <r>
          <rPr>
            <b/>
            <sz val="9"/>
            <color indexed="81"/>
            <rFont val="Tahoma"/>
            <family val="2"/>
          </rPr>
          <t>V</t>
        </r>
        <r>
          <rPr>
            <b/>
            <vertAlign val="subscript"/>
            <sz val="9"/>
            <color indexed="81"/>
            <rFont val="Tahoma"/>
            <family val="2"/>
          </rPr>
          <t>IOUT</t>
        </r>
        <r>
          <rPr>
            <b/>
            <sz val="9"/>
            <color indexed="81"/>
            <rFont val="Tahoma"/>
            <family val="2"/>
          </rPr>
          <t xml:space="preserve"> at no load
</t>
        </r>
        <r>
          <rPr>
            <sz val="9"/>
            <color indexed="81"/>
            <rFont val="Tahoma"/>
            <family val="2"/>
          </rPr>
          <t>This is the voltage on the IOUT pins at no load based on the resistor selection made. This is due to the 25uA offset current on the IOUT pins</t>
        </r>
        <r>
          <rPr>
            <b/>
            <sz val="9"/>
            <color indexed="81"/>
            <rFont val="Tahoma"/>
            <family val="2"/>
          </rPr>
          <t>.</t>
        </r>
        <r>
          <rPr>
            <sz val="9"/>
            <color indexed="81"/>
            <rFont val="Tahoma"/>
            <family val="2"/>
          </rPr>
          <t xml:space="preserve">
</t>
        </r>
      </text>
    </comment>
    <comment ref="B115" authorId="0" shapeId="0" xr:uid="{00000000-0006-0000-0000-000043000000}">
      <text>
        <r>
          <rPr>
            <b/>
            <sz val="9"/>
            <color indexed="81"/>
            <rFont val="Tahoma"/>
            <family val="2"/>
          </rPr>
          <t xml:space="preserve">Calculated CIOUT 
</t>
        </r>
        <r>
          <rPr>
            <sz val="9"/>
            <color indexed="81"/>
            <rFont val="Tahoma"/>
            <family val="2"/>
          </rPr>
          <t xml:space="preserve">This is the capacitor that will filter out any noise on the IOUT pins. This value was calculated based on the recommendations of the datasheet.
</t>
        </r>
      </text>
    </comment>
    <comment ref="B116" authorId="0" shapeId="0" xr:uid="{00000000-0006-0000-0000-000044000000}">
      <text>
        <r>
          <rPr>
            <b/>
            <sz val="9"/>
            <color indexed="81"/>
            <rFont val="Tahoma"/>
            <family val="2"/>
          </rPr>
          <t>Selected C</t>
        </r>
        <r>
          <rPr>
            <b/>
            <vertAlign val="subscript"/>
            <sz val="9"/>
            <color indexed="81"/>
            <rFont val="Tahoma"/>
            <family val="2"/>
          </rPr>
          <t>IOUT</t>
        </r>
        <r>
          <rPr>
            <b/>
            <sz val="9"/>
            <color indexed="81"/>
            <rFont val="Tahoma"/>
            <family val="2"/>
          </rPr>
          <t xml:space="preserve"> Capacitor</t>
        </r>
        <r>
          <rPr>
            <sz val="9"/>
            <color indexed="81"/>
            <rFont val="Tahoma"/>
            <family val="2"/>
          </rPr>
          <t xml:space="preserve">
This is the selected C</t>
        </r>
        <r>
          <rPr>
            <vertAlign val="subscript"/>
            <sz val="9"/>
            <color indexed="81"/>
            <rFont val="Tahoma"/>
            <family val="2"/>
          </rPr>
          <t>IOUT</t>
        </r>
        <r>
          <rPr>
            <sz val="9"/>
            <color indexed="81"/>
            <rFont val="Tahoma"/>
            <family val="2"/>
          </rPr>
          <t xml:space="preserve"> capacitor. The selected value should be based on the calculated value above.</t>
        </r>
      </text>
    </comment>
    <comment ref="B117" authorId="0" shapeId="0" xr:uid="{00000000-0006-0000-0000-000045000000}">
      <text>
        <r>
          <rPr>
            <b/>
            <sz val="9"/>
            <color indexed="81"/>
            <rFont val="Tahoma"/>
            <family val="2"/>
          </rPr>
          <t>V</t>
        </r>
        <r>
          <rPr>
            <b/>
            <vertAlign val="subscript"/>
            <sz val="9"/>
            <color indexed="81"/>
            <rFont val="Tahoma"/>
            <family val="2"/>
          </rPr>
          <t>IOUT</t>
        </r>
        <r>
          <rPr>
            <b/>
            <sz val="9"/>
            <color indexed="81"/>
            <rFont val="Tahoma"/>
            <family val="2"/>
          </rPr>
          <t xml:space="preserve"> Ripple
</t>
        </r>
        <r>
          <rPr>
            <sz val="9"/>
            <color indexed="81"/>
            <rFont val="Tahoma"/>
            <family val="2"/>
          </rPr>
          <t>This is the amount of voltage ripple on the IOUT pin at full load. This can be decreased by increasing the C</t>
        </r>
        <r>
          <rPr>
            <vertAlign val="subscript"/>
            <sz val="9"/>
            <color indexed="81"/>
            <rFont val="Tahoma"/>
            <family val="2"/>
          </rPr>
          <t>IOUT</t>
        </r>
        <r>
          <rPr>
            <sz val="9"/>
            <color indexed="81"/>
            <rFont val="Tahoma"/>
            <family val="2"/>
          </rPr>
          <t xml:space="preserve"> capacitance</t>
        </r>
      </text>
    </comment>
    <comment ref="B118" authorId="0" shapeId="0" xr:uid="{00000000-0006-0000-0000-000046000000}">
      <text>
        <r>
          <rPr>
            <b/>
            <sz val="9"/>
            <color indexed="81"/>
            <rFont val="Tahoma"/>
            <family val="2"/>
          </rPr>
          <t xml:space="preserve">Corner Frequency
</t>
        </r>
        <r>
          <rPr>
            <sz val="9"/>
            <color indexed="81"/>
            <rFont val="Tahoma"/>
            <family val="2"/>
          </rPr>
          <t>This is the corner frequency of the IOUT resistor and capacitor.</t>
        </r>
      </text>
    </comment>
    <comment ref="B123" authorId="0" shapeId="0" xr:uid="{00000000-0006-0000-0000-000047000000}">
      <text>
        <r>
          <rPr>
            <b/>
            <sz val="9"/>
            <color indexed="81"/>
            <rFont val="Tahoma"/>
            <family val="2"/>
          </rPr>
          <t xml:space="preserve">Dead Time Configuration
</t>
        </r>
        <r>
          <rPr>
            <sz val="9"/>
            <color indexed="81"/>
            <rFont val="Tahoma"/>
            <family val="2"/>
          </rPr>
          <t>The dead time of the LM5170 can either be programmed or it can be set to adaptive. See the datasheet for more details</t>
        </r>
      </text>
    </comment>
    <comment ref="B124" authorId="0" shapeId="0" xr:uid="{00000000-0006-0000-0000-000048000000}">
      <text>
        <r>
          <rPr>
            <b/>
            <sz val="9"/>
            <color indexed="81"/>
            <rFont val="Tahoma"/>
            <family val="2"/>
          </rPr>
          <t>Selected Dead Time</t>
        </r>
        <r>
          <rPr>
            <sz val="9"/>
            <color indexed="81"/>
            <rFont val="Tahoma"/>
            <family val="2"/>
          </rPr>
          <t xml:space="preserve">
This is the dead time between the LO and HO signals
The </t>
        </r>
        <r>
          <rPr>
            <b/>
            <sz val="9"/>
            <color indexed="81"/>
            <rFont val="Tahoma"/>
            <family val="2"/>
          </rPr>
          <t>minimum</t>
        </r>
        <r>
          <rPr>
            <sz val="9"/>
            <color indexed="81"/>
            <rFont val="Tahoma"/>
            <family val="2"/>
          </rPr>
          <t xml:space="preserve"> value is: </t>
        </r>
        <r>
          <rPr>
            <b/>
            <sz val="9"/>
            <color indexed="81"/>
            <rFont val="Tahoma"/>
            <family val="2"/>
          </rPr>
          <t>15ns</t>
        </r>
        <r>
          <rPr>
            <sz val="9"/>
            <color indexed="81"/>
            <rFont val="Tahoma"/>
            <family val="2"/>
          </rPr>
          <t xml:space="preserve">
The </t>
        </r>
        <r>
          <rPr>
            <b/>
            <sz val="9"/>
            <color indexed="81"/>
            <rFont val="Tahoma"/>
            <family val="2"/>
          </rPr>
          <t>maximum</t>
        </r>
        <r>
          <rPr>
            <sz val="9"/>
            <color indexed="81"/>
            <rFont val="Tahoma"/>
            <family val="2"/>
          </rPr>
          <t xml:space="preserve"> values is: </t>
        </r>
        <r>
          <rPr>
            <b/>
            <sz val="9"/>
            <color indexed="81"/>
            <rFont val="Tahoma"/>
            <family val="2"/>
          </rPr>
          <t>200ns</t>
        </r>
      </text>
    </comment>
    <comment ref="B125" authorId="0" shapeId="0" xr:uid="{00000000-0006-0000-0000-000049000000}">
      <text>
        <r>
          <rPr>
            <b/>
            <sz val="9"/>
            <color indexed="81"/>
            <rFont val="Tahoma"/>
            <family val="2"/>
          </rPr>
          <t>Dead Time Resistor</t>
        </r>
        <r>
          <rPr>
            <sz val="9"/>
            <color indexed="81"/>
            <rFont val="Tahoma"/>
            <family val="2"/>
          </rPr>
          <t xml:space="preserve">
Calculated dead time resistor based on the above selected dead time value.</t>
        </r>
      </text>
    </comment>
    <comment ref="B126" authorId="0" shapeId="0" xr:uid="{00000000-0006-0000-0000-00004A000000}">
      <text>
        <r>
          <rPr>
            <b/>
            <sz val="9"/>
            <color indexed="81"/>
            <rFont val="Tahoma"/>
            <family val="2"/>
          </rPr>
          <t>Selected Dead Time Resistor</t>
        </r>
        <r>
          <rPr>
            <sz val="9"/>
            <color indexed="81"/>
            <rFont val="Tahoma"/>
            <family val="2"/>
          </rPr>
          <t xml:space="preserve">
This is the selected dead time resistor. The selection of this value should be based on the above calculated value</t>
        </r>
      </text>
    </comment>
    <comment ref="B127" authorId="0" shapeId="0" xr:uid="{00000000-0006-0000-0000-00004B000000}">
      <text>
        <r>
          <rPr>
            <b/>
            <sz val="9"/>
            <color indexed="81"/>
            <rFont val="Tahoma"/>
            <family val="2"/>
          </rPr>
          <t>LO falling to HO rising Dead Time</t>
        </r>
        <r>
          <rPr>
            <sz val="9"/>
            <color indexed="81"/>
            <rFont val="Tahoma"/>
            <family val="2"/>
          </rPr>
          <t xml:space="preserve">
This is the dead time between the LO and HO signal</t>
        </r>
      </text>
    </comment>
    <comment ref="B128" authorId="0" shapeId="0" xr:uid="{00000000-0006-0000-0000-00004C000000}">
      <text>
        <r>
          <rPr>
            <b/>
            <sz val="9"/>
            <color indexed="81"/>
            <rFont val="Tahoma"/>
            <family val="2"/>
          </rPr>
          <t xml:space="preserve">HO falling to LO rising Dead Time
</t>
        </r>
        <r>
          <rPr>
            <sz val="9"/>
            <color indexed="81"/>
            <rFont val="Tahoma"/>
            <family val="2"/>
          </rPr>
          <t xml:space="preserve">
This is the dead time between the LO and HO signal
</t>
        </r>
      </text>
    </comment>
    <comment ref="B134" authorId="0" shapeId="0" xr:uid="{00000000-0006-0000-0000-00004D000000}">
      <text>
        <r>
          <rPr>
            <b/>
            <sz val="9"/>
            <color indexed="81"/>
            <rFont val="Tahoma"/>
            <family val="2"/>
          </rPr>
          <t xml:space="preserve">Path Resistance
</t>
        </r>
        <r>
          <rPr>
            <sz val="9"/>
            <color indexed="81"/>
            <rFont val="Tahoma"/>
            <family val="2"/>
          </rPr>
          <t>This is the entire resistance on the LV port path to the load, excluding R</t>
        </r>
        <r>
          <rPr>
            <vertAlign val="subscript"/>
            <sz val="9"/>
            <color indexed="81"/>
            <rFont val="Tahoma"/>
            <family val="2"/>
          </rPr>
          <t>CS</t>
        </r>
        <r>
          <rPr>
            <sz val="9"/>
            <color indexed="81"/>
            <rFont val="Tahoma"/>
            <family val="2"/>
          </rPr>
          <t>. This a reasonable estimate of this value is 50m</t>
        </r>
        <r>
          <rPr>
            <sz val="9"/>
            <color indexed="81"/>
            <rFont val="Calibri"/>
            <family val="2"/>
          </rPr>
          <t>Ω</t>
        </r>
        <r>
          <rPr>
            <sz val="9"/>
            <color indexed="81"/>
            <rFont val="Tahoma"/>
            <family val="2"/>
          </rPr>
          <t xml:space="preserve"> </t>
        </r>
      </text>
    </comment>
    <comment ref="B135" authorId="0" shapeId="0" xr:uid="{00000000-0006-0000-0000-00004E000000}">
      <text>
        <r>
          <rPr>
            <b/>
            <sz val="9"/>
            <color indexed="81"/>
            <rFont val="Tahoma"/>
            <family val="2"/>
          </rPr>
          <t xml:space="preserve">Plant Pole (kHz)
</t>
        </r>
        <r>
          <rPr>
            <sz val="9"/>
            <color indexed="81"/>
            <rFont val="Tahoma"/>
            <family val="2"/>
          </rPr>
          <t xml:space="preserve">
This is the location of the low frequency pole of the power plant. This will help to determine the placement of the compensation network zero. See the datasheet for details on how to calculate this value.</t>
        </r>
        <r>
          <rPr>
            <b/>
            <sz val="9"/>
            <color indexed="81"/>
            <rFont val="Tahoma"/>
            <family val="2"/>
          </rPr>
          <t xml:space="preserve">
</t>
        </r>
      </text>
    </comment>
    <comment ref="B136" authorId="0" shapeId="0" xr:uid="{00000000-0006-0000-0000-00004F000000}">
      <text>
        <r>
          <rPr>
            <b/>
            <sz val="9"/>
            <color indexed="81"/>
            <rFont val="Tahoma"/>
            <family val="2"/>
          </rPr>
          <t>Suggested Cross Over Frequency</t>
        </r>
        <r>
          <rPr>
            <sz val="9"/>
            <color indexed="81"/>
            <rFont val="Tahoma"/>
            <family val="2"/>
          </rPr>
          <t xml:space="preserve">
This is estimated to be 1/10 of the switching frequency. This should allow for easy compensation and stability when adding voltage loop control.</t>
        </r>
      </text>
    </comment>
    <comment ref="B137" authorId="0" shapeId="0" xr:uid="{00000000-0006-0000-0000-000050000000}">
      <text>
        <r>
          <rPr>
            <sz val="9"/>
            <color indexed="81"/>
            <rFont val="Tahoma"/>
            <family val="2"/>
          </rPr>
          <t xml:space="preserve">Crossover Frequency
This is the selected crossover frequency of the current loop. The compensation values will be set to this
</t>
        </r>
      </text>
    </comment>
    <comment ref="B138" authorId="0" shapeId="0" xr:uid="{00000000-0006-0000-0000-000051000000}">
      <text>
        <r>
          <rPr>
            <b/>
            <sz val="9"/>
            <color indexed="81"/>
            <rFont val="Tahoma"/>
            <family val="2"/>
          </rPr>
          <t>Calculated R</t>
        </r>
        <r>
          <rPr>
            <b/>
            <vertAlign val="subscript"/>
            <sz val="9"/>
            <color indexed="81"/>
            <rFont val="Tahoma"/>
            <family val="2"/>
          </rPr>
          <t>COMP</t>
        </r>
        <r>
          <rPr>
            <b/>
            <sz val="9"/>
            <color indexed="81"/>
            <rFont val="Tahoma"/>
            <family val="2"/>
          </rPr>
          <t xml:space="preserve">
</t>
        </r>
        <r>
          <rPr>
            <sz val="9"/>
            <color indexed="81"/>
            <rFont val="Tahoma"/>
            <family val="2"/>
          </rPr>
          <t>See datasheet for details on how to calculate this value</t>
        </r>
      </text>
    </comment>
    <comment ref="B139" authorId="0" shapeId="0" xr:uid="{00000000-0006-0000-0000-000052000000}">
      <text>
        <r>
          <rPr>
            <b/>
            <sz val="9"/>
            <color indexed="81"/>
            <rFont val="Tahoma"/>
            <family val="2"/>
          </rPr>
          <t>Selected R</t>
        </r>
        <r>
          <rPr>
            <b/>
            <vertAlign val="subscript"/>
            <sz val="9"/>
            <color indexed="81"/>
            <rFont val="Tahoma"/>
            <family val="2"/>
          </rPr>
          <t>COMP</t>
        </r>
        <r>
          <rPr>
            <b/>
            <sz val="9"/>
            <color indexed="81"/>
            <rFont val="Tahoma"/>
            <family val="2"/>
          </rPr>
          <t xml:space="preserve">
</t>
        </r>
        <r>
          <rPr>
            <sz val="9"/>
            <color indexed="81"/>
            <rFont val="Tahoma"/>
            <family val="2"/>
          </rPr>
          <t xml:space="preserve">This value should reflect the calculated value above. Adjusting this value will move the affect the pole and the zero location of the compensation.
</t>
        </r>
      </text>
    </comment>
    <comment ref="B140" authorId="0" shapeId="0" xr:uid="{00000000-0006-0000-0000-000053000000}">
      <text>
        <r>
          <rPr>
            <b/>
            <sz val="9"/>
            <color indexed="81"/>
            <rFont val="Tahoma"/>
            <family val="2"/>
          </rPr>
          <t>Calculated C</t>
        </r>
        <r>
          <rPr>
            <b/>
            <vertAlign val="subscript"/>
            <sz val="9"/>
            <color indexed="81"/>
            <rFont val="Tahoma"/>
            <family val="2"/>
          </rPr>
          <t>COMP</t>
        </r>
        <r>
          <rPr>
            <b/>
            <sz val="9"/>
            <color indexed="81"/>
            <rFont val="Tahoma"/>
            <family val="2"/>
          </rPr>
          <t xml:space="preserve">
See datasheet for details on how to calculate this value</t>
        </r>
      </text>
    </comment>
    <comment ref="B141" authorId="0" shapeId="0" xr:uid="{00000000-0006-0000-0000-000054000000}">
      <text>
        <r>
          <rPr>
            <b/>
            <sz val="9"/>
            <color indexed="81"/>
            <rFont val="Tahoma"/>
            <family val="2"/>
          </rPr>
          <t>Selected C</t>
        </r>
        <r>
          <rPr>
            <b/>
            <vertAlign val="subscript"/>
            <sz val="9"/>
            <color indexed="81"/>
            <rFont val="Tahoma"/>
            <family val="2"/>
          </rPr>
          <t>COMP</t>
        </r>
        <r>
          <rPr>
            <b/>
            <sz val="9"/>
            <color indexed="81"/>
            <rFont val="Tahoma"/>
            <family val="2"/>
          </rPr>
          <t xml:space="preserve">
</t>
        </r>
        <r>
          <rPr>
            <sz val="9"/>
            <color indexed="81"/>
            <rFont val="Tahoma"/>
            <family val="2"/>
          </rPr>
          <t xml:space="preserve">
This value should reflect the calculated value above. Adjusting this value will move the affect the zero location of the compensation.</t>
        </r>
        <r>
          <rPr>
            <b/>
            <sz val="9"/>
            <color indexed="81"/>
            <rFont val="Tahoma"/>
            <family val="2"/>
          </rPr>
          <t xml:space="preserve">
</t>
        </r>
      </text>
    </comment>
    <comment ref="B142" authorId="0" shapeId="0" xr:uid="{00000000-0006-0000-0000-000055000000}">
      <text>
        <r>
          <rPr>
            <b/>
            <sz val="9"/>
            <color indexed="81"/>
            <rFont val="Tahoma"/>
            <family val="2"/>
          </rPr>
          <t>Calculated CHF</t>
        </r>
        <r>
          <rPr>
            <sz val="9"/>
            <color indexed="81"/>
            <rFont val="Tahoma"/>
            <family val="2"/>
          </rPr>
          <t xml:space="preserve">
See datasheet for details on how to calculate this value
</t>
        </r>
      </text>
    </comment>
    <comment ref="B143" authorId="0" shapeId="0" xr:uid="{00000000-0006-0000-0000-000056000000}">
      <text>
        <r>
          <rPr>
            <b/>
            <sz val="9"/>
            <color indexed="81"/>
            <rFont val="Tahoma"/>
            <family val="2"/>
          </rPr>
          <t>Selected C</t>
        </r>
        <r>
          <rPr>
            <b/>
            <vertAlign val="subscript"/>
            <sz val="9"/>
            <color indexed="81"/>
            <rFont val="Tahoma"/>
            <family val="2"/>
          </rPr>
          <t>HF</t>
        </r>
        <r>
          <rPr>
            <b/>
            <sz val="9"/>
            <color indexed="81"/>
            <rFont val="Tahoma"/>
            <family val="2"/>
          </rPr>
          <t xml:space="preserve">
</t>
        </r>
        <r>
          <rPr>
            <sz val="9"/>
            <color indexed="81"/>
            <rFont val="Tahoma"/>
            <family val="2"/>
          </rPr>
          <t xml:space="preserve">
This value should reflect the calculated value above. Adjusting this value will move the affect the pole location of the compensation network.
</t>
        </r>
      </text>
    </comment>
    <comment ref="B144" authorId="0" shapeId="0" xr:uid="{00000000-0006-0000-0000-000057000000}">
      <text>
        <r>
          <rPr>
            <b/>
            <sz val="9"/>
            <color indexed="81"/>
            <rFont val="Tahoma"/>
            <family val="2"/>
          </rPr>
          <t>Compensation Zero Location (F</t>
        </r>
        <r>
          <rPr>
            <b/>
            <vertAlign val="subscript"/>
            <sz val="9"/>
            <color indexed="81"/>
            <rFont val="Tahoma"/>
            <family val="2"/>
          </rPr>
          <t>Zcomp</t>
        </r>
        <r>
          <rPr>
            <b/>
            <sz val="9"/>
            <color indexed="81"/>
            <rFont val="Tahoma"/>
            <family val="2"/>
          </rPr>
          <t xml:space="preserve">)
</t>
        </r>
        <r>
          <rPr>
            <sz val="9"/>
            <color indexed="81"/>
            <rFont val="Tahoma"/>
            <family val="2"/>
          </rPr>
          <t xml:space="preserve">
This is the location of the zero in the compensation network based upon the selection of R</t>
        </r>
        <r>
          <rPr>
            <vertAlign val="subscript"/>
            <sz val="9"/>
            <color indexed="81"/>
            <rFont val="Tahoma"/>
            <family val="2"/>
          </rPr>
          <t>COMP</t>
        </r>
        <r>
          <rPr>
            <sz val="9"/>
            <color indexed="81"/>
            <rFont val="Tahoma"/>
            <family val="2"/>
          </rPr>
          <t xml:space="preserve"> and C</t>
        </r>
        <r>
          <rPr>
            <vertAlign val="subscript"/>
            <sz val="9"/>
            <color indexed="81"/>
            <rFont val="Tahoma"/>
            <family val="2"/>
          </rPr>
          <t>COMP</t>
        </r>
        <r>
          <rPr>
            <sz val="9"/>
            <color indexed="81"/>
            <rFont val="Tahoma"/>
            <family val="2"/>
          </rPr>
          <t>. The location of the zero can be seen on the bobe plot.</t>
        </r>
      </text>
    </comment>
    <comment ref="B145" authorId="0" shapeId="0" xr:uid="{00000000-0006-0000-0000-000058000000}">
      <text>
        <r>
          <rPr>
            <b/>
            <sz val="9"/>
            <color indexed="81"/>
            <rFont val="Tahoma"/>
            <family val="2"/>
          </rPr>
          <t>Compensation Pole Location (F</t>
        </r>
        <r>
          <rPr>
            <b/>
            <vertAlign val="subscript"/>
            <sz val="9"/>
            <color indexed="81"/>
            <rFont val="Tahoma"/>
            <family val="2"/>
          </rPr>
          <t>Pcomp</t>
        </r>
        <r>
          <rPr>
            <b/>
            <sz val="9"/>
            <color indexed="81"/>
            <rFont val="Tahoma"/>
            <family val="2"/>
          </rPr>
          <t xml:space="preserve">)
</t>
        </r>
        <r>
          <rPr>
            <sz val="9"/>
            <color indexed="81"/>
            <rFont val="Tahoma"/>
            <family val="2"/>
          </rPr>
          <t>This is the location of the pole in the compensation network based upon the selection of R</t>
        </r>
        <r>
          <rPr>
            <vertAlign val="subscript"/>
            <sz val="9"/>
            <color indexed="81"/>
            <rFont val="Tahoma"/>
            <family val="2"/>
          </rPr>
          <t>COMP</t>
        </r>
        <r>
          <rPr>
            <sz val="9"/>
            <color indexed="81"/>
            <rFont val="Tahoma"/>
            <family val="2"/>
          </rPr>
          <t xml:space="preserve"> and C</t>
        </r>
        <r>
          <rPr>
            <vertAlign val="subscript"/>
            <sz val="9"/>
            <color indexed="81"/>
            <rFont val="Tahoma"/>
            <family val="2"/>
          </rPr>
          <t>HF</t>
        </r>
        <r>
          <rPr>
            <sz val="9"/>
            <color indexed="81"/>
            <rFont val="Tahoma"/>
            <family val="2"/>
          </rPr>
          <t>. The location of the pole can be seen on the bobe plot</t>
        </r>
        <r>
          <rPr>
            <b/>
            <sz val="9"/>
            <color indexed="81"/>
            <rFont val="Tahoma"/>
            <family val="2"/>
          </rPr>
          <t>.</t>
        </r>
        <r>
          <rPr>
            <sz val="9"/>
            <color indexed="81"/>
            <rFont val="Tahoma"/>
            <family val="2"/>
          </rPr>
          <t xml:space="preserve">
</t>
        </r>
      </text>
    </comment>
    <comment ref="B152" authorId="0" shapeId="0" xr:uid="{00000000-0006-0000-0000-000059000000}">
      <text>
        <r>
          <rPr>
            <b/>
            <sz val="9"/>
            <color indexed="81"/>
            <rFont val="Tahoma"/>
            <family val="2"/>
          </rPr>
          <t xml:space="preserve">External Reference Voltage
</t>
        </r>
        <r>
          <rPr>
            <sz val="9"/>
            <color indexed="81"/>
            <rFont val="Tahoma"/>
            <family val="2"/>
          </rPr>
          <t xml:space="preserve">
This is the external reference voltage for the voltage loop. This value will be used to calculate the feedback resistors. </t>
        </r>
      </text>
    </comment>
    <comment ref="B153" authorId="0" shapeId="0" xr:uid="{00000000-0006-0000-0000-00005A000000}">
      <text>
        <r>
          <rPr>
            <b/>
            <sz val="9"/>
            <color indexed="81"/>
            <rFont val="Tahoma"/>
            <family val="2"/>
          </rPr>
          <t>Selected Bottom Resistor</t>
        </r>
        <r>
          <rPr>
            <sz val="9"/>
            <color indexed="81"/>
            <rFont val="Tahoma"/>
            <family val="2"/>
          </rPr>
          <t xml:space="preserve">
This is the selected bottom resistor of the FB resistor divider. A good starting point for this value is in the 1kΩ to 20k</t>
        </r>
        <r>
          <rPr>
            <sz val="9"/>
            <color indexed="81"/>
            <rFont val="Calibri"/>
            <family val="2"/>
          </rPr>
          <t>Ω</t>
        </r>
        <r>
          <rPr>
            <sz val="9"/>
            <color indexed="81"/>
            <rFont val="Tahoma"/>
            <family val="2"/>
          </rPr>
          <t xml:space="preserve"> range. The larger this value the less current will flow in the divider making the FB signal more susceptible to noise. However the current draw from the output will be smaller.</t>
        </r>
      </text>
    </comment>
    <comment ref="B154" authorId="0" shapeId="0" xr:uid="{00000000-0006-0000-0000-00005B000000}">
      <text>
        <r>
          <rPr>
            <b/>
            <sz val="9"/>
            <color indexed="81"/>
            <rFont val="Tahoma"/>
            <family val="2"/>
          </rPr>
          <t>Calculated R</t>
        </r>
        <r>
          <rPr>
            <b/>
            <vertAlign val="subscript"/>
            <sz val="9"/>
            <color indexed="81"/>
            <rFont val="Tahoma"/>
            <family val="2"/>
          </rPr>
          <t>FB_TOP</t>
        </r>
        <r>
          <rPr>
            <b/>
            <sz val="9"/>
            <color indexed="81"/>
            <rFont val="Tahoma"/>
            <family val="2"/>
          </rPr>
          <t xml:space="preserve">
</t>
        </r>
        <r>
          <rPr>
            <sz val="9"/>
            <color indexed="81"/>
            <rFont val="Tahoma"/>
            <family val="2"/>
          </rPr>
          <t>This is the value calculated in order to set the feedback node at V</t>
        </r>
        <r>
          <rPr>
            <vertAlign val="subscript"/>
            <sz val="9"/>
            <color indexed="81"/>
            <rFont val="Tahoma"/>
            <family val="2"/>
          </rPr>
          <t>REF</t>
        </r>
        <r>
          <rPr>
            <sz val="9"/>
            <color indexed="81"/>
            <rFont val="Tahoma"/>
            <family val="2"/>
          </rPr>
          <t xml:space="preserve"> when the output voltage in buck mode is set to be the nominal value of the LV Port voltage.</t>
        </r>
      </text>
    </comment>
    <comment ref="B155" authorId="0" shapeId="0" xr:uid="{00000000-0006-0000-0000-00005C000000}">
      <text>
        <r>
          <rPr>
            <b/>
            <sz val="9"/>
            <color indexed="81"/>
            <rFont val="Tahoma"/>
            <family val="2"/>
          </rPr>
          <t>Selected R</t>
        </r>
        <r>
          <rPr>
            <b/>
            <vertAlign val="subscript"/>
            <sz val="9"/>
            <color indexed="81"/>
            <rFont val="Tahoma"/>
            <family val="2"/>
          </rPr>
          <t>FB_TOP</t>
        </r>
        <r>
          <rPr>
            <b/>
            <sz val="9"/>
            <color indexed="81"/>
            <rFont val="Tahoma"/>
            <family val="2"/>
          </rPr>
          <t xml:space="preserve">
</t>
        </r>
        <r>
          <rPr>
            <sz val="9"/>
            <color indexed="81"/>
            <rFont val="Tahoma"/>
            <family val="2"/>
          </rPr>
          <t xml:space="preserve">
The selected value should reflect the calculated value above.</t>
        </r>
      </text>
    </comment>
    <comment ref="B156" authorId="0" shapeId="0" xr:uid="{00000000-0006-0000-0000-00005D000000}">
      <text>
        <r>
          <rPr>
            <b/>
            <sz val="9"/>
            <color indexed="81"/>
            <rFont val="Tahoma"/>
            <family val="2"/>
          </rPr>
          <t>Suggested Crossover Frequency</t>
        </r>
        <r>
          <rPr>
            <sz val="9"/>
            <color indexed="81"/>
            <rFont val="Tahoma"/>
            <family val="2"/>
          </rPr>
          <t xml:space="preserve">
This value is set to be around 1/10 that of the current loop cross over frequency. For best operation the voltage loop should be slower than that of the current loop.</t>
        </r>
      </text>
    </comment>
    <comment ref="B157" authorId="0" shapeId="0" xr:uid="{00000000-0006-0000-0000-00005E000000}">
      <text>
        <r>
          <rPr>
            <b/>
            <sz val="9"/>
            <color indexed="81"/>
            <rFont val="Tahoma"/>
            <family val="2"/>
          </rPr>
          <t>Selected Crossover Frequency</t>
        </r>
        <r>
          <rPr>
            <sz val="9"/>
            <color indexed="81"/>
            <rFont val="Tahoma"/>
            <family val="2"/>
          </rPr>
          <t xml:space="preserve">
This is the desired crossover frequency. The voltage loop compensation values will be calculated to have a loop cross over frequency of this value.</t>
        </r>
      </text>
    </comment>
    <comment ref="B158" authorId="0" shapeId="0" xr:uid="{00000000-0006-0000-0000-00005F000000}">
      <text>
        <r>
          <rPr>
            <b/>
            <sz val="9"/>
            <color indexed="81"/>
            <rFont val="Tahoma"/>
            <family val="2"/>
          </rPr>
          <t>R</t>
        </r>
        <r>
          <rPr>
            <b/>
            <vertAlign val="subscript"/>
            <sz val="9"/>
            <color indexed="81"/>
            <rFont val="Tahoma"/>
            <family val="2"/>
          </rPr>
          <t>COMP</t>
        </r>
        <r>
          <rPr>
            <b/>
            <sz val="9"/>
            <color indexed="81"/>
            <rFont val="Tahoma"/>
            <family val="2"/>
          </rPr>
          <t xml:space="preserve"> Calculated
</t>
        </r>
        <r>
          <rPr>
            <sz val="9"/>
            <color indexed="81"/>
            <rFont val="Tahoma"/>
            <family val="2"/>
          </rPr>
          <t>This is the calculated R</t>
        </r>
        <r>
          <rPr>
            <vertAlign val="subscript"/>
            <sz val="9"/>
            <color indexed="81"/>
            <rFont val="Tahoma"/>
            <family val="2"/>
          </rPr>
          <t>COMP</t>
        </r>
        <r>
          <rPr>
            <sz val="9"/>
            <color indexed="81"/>
            <rFont val="Tahoma"/>
            <family val="2"/>
          </rPr>
          <t xml:space="preserve"> value based on the selected crossover frequency</t>
        </r>
      </text>
    </comment>
    <comment ref="B160" authorId="0" shapeId="0" xr:uid="{00000000-0006-0000-0000-000060000000}">
      <text>
        <r>
          <rPr>
            <b/>
            <sz val="9"/>
            <color indexed="81"/>
            <rFont val="Tahoma"/>
            <family val="2"/>
          </rPr>
          <t>C</t>
        </r>
        <r>
          <rPr>
            <b/>
            <vertAlign val="subscript"/>
            <sz val="9"/>
            <color indexed="81"/>
            <rFont val="Tahoma"/>
            <family val="2"/>
          </rPr>
          <t>COMP</t>
        </r>
        <r>
          <rPr>
            <b/>
            <sz val="9"/>
            <color indexed="81"/>
            <rFont val="Tahoma"/>
            <family val="2"/>
          </rPr>
          <t xml:space="preserve"> Calculated
</t>
        </r>
        <r>
          <rPr>
            <sz val="9"/>
            <color indexed="81"/>
            <rFont val="Tahoma"/>
            <family val="2"/>
          </rPr>
          <t>This is the calculated C</t>
        </r>
        <r>
          <rPr>
            <vertAlign val="subscript"/>
            <sz val="9"/>
            <color indexed="81"/>
            <rFont val="Tahoma"/>
            <family val="2"/>
          </rPr>
          <t>COMP</t>
        </r>
        <r>
          <rPr>
            <sz val="9"/>
            <color indexed="81"/>
            <rFont val="Tahoma"/>
            <family val="2"/>
          </rPr>
          <t xml:space="preserve"> value based on the selected crossover frequency
</t>
        </r>
      </text>
    </comment>
    <comment ref="B162" authorId="0" shapeId="0" xr:uid="{00000000-0006-0000-0000-000061000000}">
      <text>
        <r>
          <rPr>
            <b/>
            <sz val="9"/>
            <color indexed="81"/>
            <rFont val="Tahoma"/>
            <family val="2"/>
          </rPr>
          <t>C</t>
        </r>
        <r>
          <rPr>
            <b/>
            <vertAlign val="subscript"/>
            <sz val="9"/>
            <color indexed="81"/>
            <rFont val="Tahoma"/>
            <family val="2"/>
          </rPr>
          <t>HF</t>
        </r>
        <r>
          <rPr>
            <b/>
            <sz val="9"/>
            <color indexed="81"/>
            <rFont val="Tahoma"/>
            <family val="2"/>
          </rPr>
          <t xml:space="preserve"> Calculated
</t>
        </r>
        <r>
          <rPr>
            <sz val="9"/>
            <color indexed="81"/>
            <rFont val="Tahoma"/>
            <family val="2"/>
          </rPr>
          <t xml:space="preserve">
This is the calculated C</t>
        </r>
        <r>
          <rPr>
            <vertAlign val="subscript"/>
            <sz val="9"/>
            <color indexed="81"/>
            <rFont val="Tahoma"/>
            <family val="2"/>
          </rPr>
          <t>HF</t>
        </r>
        <r>
          <rPr>
            <sz val="9"/>
            <color indexed="81"/>
            <rFont val="Tahoma"/>
            <family val="2"/>
          </rPr>
          <t xml:space="preserve"> value based on the selected crossover frequency</t>
        </r>
      </text>
    </comment>
    <comment ref="B164" authorId="0" shapeId="0" xr:uid="{00000000-0006-0000-0000-000062000000}">
      <text>
        <r>
          <rPr>
            <b/>
            <sz val="9"/>
            <color indexed="81"/>
            <rFont val="Tahoma"/>
            <family val="2"/>
          </rPr>
          <t>Compensation Zero Location (F</t>
        </r>
        <r>
          <rPr>
            <b/>
            <vertAlign val="subscript"/>
            <sz val="9"/>
            <color indexed="81"/>
            <rFont val="Tahoma"/>
            <family val="2"/>
          </rPr>
          <t>Zcomp</t>
        </r>
        <r>
          <rPr>
            <b/>
            <sz val="9"/>
            <color indexed="81"/>
            <rFont val="Tahoma"/>
            <family val="2"/>
          </rPr>
          <t xml:space="preserve">)
</t>
        </r>
        <r>
          <rPr>
            <sz val="9"/>
            <color indexed="81"/>
            <rFont val="Tahoma"/>
            <family val="2"/>
          </rPr>
          <t xml:space="preserve">
This is the location of the zero in the compensation network based upon the selection of R</t>
        </r>
        <r>
          <rPr>
            <vertAlign val="subscript"/>
            <sz val="9"/>
            <color indexed="81"/>
            <rFont val="Tahoma"/>
            <family val="2"/>
          </rPr>
          <t>COMP</t>
        </r>
        <r>
          <rPr>
            <sz val="9"/>
            <color indexed="81"/>
            <rFont val="Tahoma"/>
            <family val="2"/>
          </rPr>
          <t xml:space="preserve"> and C</t>
        </r>
        <r>
          <rPr>
            <vertAlign val="subscript"/>
            <sz val="9"/>
            <color indexed="81"/>
            <rFont val="Tahoma"/>
            <family val="2"/>
          </rPr>
          <t>COMP</t>
        </r>
        <r>
          <rPr>
            <sz val="9"/>
            <color indexed="81"/>
            <rFont val="Tahoma"/>
            <family val="2"/>
          </rPr>
          <t>. The location of the zero can be seen on the bobe plot.</t>
        </r>
      </text>
    </comment>
    <comment ref="B165" authorId="0" shapeId="0" xr:uid="{00000000-0006-0000-0000-000063000000}">
      <text>
        <r>
          <rPr>
            <b/>
            <sz val="9"/>
            <color indexed="81"/>
            <rFont val="Tahoma"/>
            <family val="2"/>
          </rPr>
          <t>Compensation Pole Location (F</t>
        </r>
        <r>
          <rPr>
            <b/>
            <vertAlign val="subscript"/>
            <sz val="9"/>
            <color indexed="81"/>
            <rFont val="Tahoma"/>
            <family val="2"/>
          </rPr>
          <t>Pcomp</t>
        </r>
        <r>
          <rPr>
            <b/>
            <sz val="9"/>
            <color indexed="81"/>
            <rFont val="Tahoma"/>
            <family val="2"/>
          </rPr>
          <t xml:space="preserve">)
</t>
        </r>
        <r>
          <rPr>
            <sz val="9"/>
            <color indexed="81"/>
            <rFont val="Tahoma"/>
            <family val="2"/>
          </rPr>
          <t xml:space="preserve">
This is the location of the pole in the compensation network based upon the selection of R</t>
        </r>
        <r>
          <rPr>
            <vertAlign val="subscript"/>
            <sz val="9"/>
            <color indexed="81"/>
            <rFont val="Tahoma"/>
            <family val="2"/>
          </rPr>
          <t>COMP</t>
        </r>
        <r>
          <rPr>
            <sz val="9"/>
            <color indexed="81"/>
            <rFont val="Tahoma"/>
            <family val="2"/>
          </rPr>
          <t xml:space="preserve"> and C</t>
        </r>
        <r>
          <rPr>
            <vertAlign val="subscript"/>
            <sz val="9"/>
            <color indexed="81"/>
            <rFont val="Tahoma"/>
            <family val="2"/>
          </rPr>
          <t>HF</t>
        </r>
        <r>
          <rPr>
            <sz val="9"/>
            <color indexed="81"/>
            <rFont val="Tahoma"/>
            <family val="2"/>
          </rPr>
          <t>. The location of the pole can be seen on the bobe plot.</t>
        </r>
      </text>
    </comment>
    <comment ref="B171" authorId="0" shapeId="0" xr:uid="{00000000-0006-0000-0000-000064000000}">
      <text>
        <r>
          <rPr>
            <b/>
            <sz val="9"/>
            <color indexed="81"/>
            <rFont val="Tahoma"/>
            <family val="2"/>
          </rPr>
          <t xml:space="preserve">External Reference Voltage
</t>
        </r>
        <r>
          <rPr>
            <sz val="9"/>
            <color indexed="81"/>
            <rFont val="Tahoma"/>
            <family val="2"/>
          </rPr>
          <t xml:space="preserve">
This is the external reference voltage for the voltage loop. This value will be used to calculate the feedback resistors. 
</t>
        </r>
      </text>
    </comment>
    <comment ref="B172" authorId="0" shapeId="0" xr:uid="{00000000-0006-0000-0000-000065000000}">
      <text>
        <r>
          <rPr>
            <b/>
            <sz val="9"/>
            <color indexed="81"/>
            <rFont val="Tahoma"/>
            <family val="2"/>
          </rPr>
          <t xml:space="preserve">Selected Bottom Resistor
</t>
        </r>
        <r>
          <rPr>
            <sz val="9"/>
            <color indexed="81"/>
            <rFont val="Tahoma"/>
            <family val="2"/>
          </rPr>
          <t>This is the selected bottom resistor of the FB resistor divider. A good starting point for this value is in the 1kΩ to 20kΩ range. The larger this value the less current will flow in the divider making the FB signal more susceptible to noise. However the current draw from the output will be smaller.</t>
        </r>
      </text>
    </comment>
    <comment ref="B173" authorId="0" shapeId="0" xr:uid="{00000000-0006-0000-0000-000066000000}">
      <text>
        <r>
          <rPr>
            <b/>
            <sz val="9"/>
            <color indexed="81"/>
            <rFont val="Tahoma"/>
            <family val="2"/>
          </rPr>
          <t>Calculated R</t>
        </r>
        <r>
          <rPr>
            <b/>
            <vertAlign val="subscript"/>
            <sz val="9"/>
            <color indexed="81"/>
            <rFont val="Tahoma"/>
            <family val="2"/>
          </rPr>
          <t>FB_TOP</t>
        </r>
        <r>
          <rPr>
            <b/>
            <sz val="9"/>
            <color indexed="81"/>
            <rFont val="Tahoma"/>
            <family val="2"/>
          </rPr>
          <t xml:space="preserve">
</t>
        </r>
        <r>
          <rPr>
            <sz val="9"/>
            <color indexed="81"/>
            <rFont val="Tahoma"/>
            <family val="2"/>
          </rPr>
          <t>This is the value calculated in order to set the feedback node at V</t>
        </r>
        <r>
          <rPr>
            <vertAlign val="subscript"/>
            <sz val="9"/>
            <color indexed="81"/>
            <rFont val="Tahoma"/>
            <family val="2"/>
          </rPr>
          <t>REF</t>
        </r>
        <r>
          <rPr>
            <sz val="9"/>
            <color indexed="81"/>
            <rFont val="Tahoma"/>
            <family val="2"/>
          </rPr>
          <t xml:space="preserve"> when the output voltage in buck mode is set to be the nominal value of the HV Port voltage.</t>
        </r>
      </text>
    </comment>
    <comment ref="B174" authorId="0" shapeId="0" xr:uid="{00000000-0006-0000-0000-000067000000}">
      <text>
        <r>
          <rPr>
            <b/>
            <sz val="9"/>
            <color indexed="81"/>
            <rFont val="Tahoma"/>
            <family val="2"/>
          </rPr>
          <t>Selected R</t>
        </r>
        <r>
          <rPr>
            <b/>
            <vertAlign val="subscript"/>
            <sz val="9"/>
            <color indexed="81"/>
            <rFont val="Tahoma"/>
            <family val="2"/>
          </rPr>
          <t>FB_TOP</t>
        </r>
        <r>
          <rPr>
            <b/>
            <sz val="9"/>
            <color indexed="81"/>
            <rFont val="Tahoma"/>
            <family val="2"/>
          </rPr>
          <t xml:space="preserve">
</t>
        </r>
        <r>
          <rPr>
            <sz val="9"/>
            <color indexed="81"/>
            <rFont val="Tahoma"/>
            <family val="2"/>
          </rPr>
          <t xml:space="preserve">The selected value should reflect the calculated value above.
</t>
        </r>
      </text>
    </comment>
    <comment ref="B175" authorId="0" shapeId="0" xr:uid="{00000000-0006-0000-0000-000068000000}">
      <text>
        <r>
          <rPr>
            <b/>
            <sz val="9"/>
            <color indexed="81"/>
            <rFont val="Tahoma"/>
            <family val="2"/>
          </rPr>
          <t xml:space="preserve">Suggested Crossover Frequency
</t>
        </r>
        <r>
          <rPr>
            <sz val="9"/>
            <color indexed="81"/>
            <rFont val="Tahoma"/>
            <family val="2"/>
          </rPr>
          <t>This value is set to be around 1/5 that of the boost mode operation's RHP zero frequency (F</t>
        </r>
        <r>
          <rPr>
            <vertAlign val="subscript"/>
            <sz val="9"/>
            <color indexed="81"/>
            <rFont val="Tahoma"/>
            <family val="2"/>
          </rPr>
          <t>RHPzero</t>
        </r>
        <r>
          <rPr>
            <sz val="9"/>
            <color indexed="81"/>
            <rFont val="Tahoma"/>
            <family val="2"/>
          </rPr>
          <t xml:space="preserve">). For best operation the voltage loop should be slower than that of the current loop. 
</t>
        </r>
      </text>
    </comment>
    <comment ref="B176" authorId="0" shapeId="0" xr:uid="{00000000-0006-0000-0000-000069000000}">
      <text>
        <r>
          <rPr>
            <b/>
            <sz val="9"/>
            <color indexed="81"/>
            <rFont val="Tahoma"/>
            <family val="2"/>
          </rPr>
          <t>Selected Crossover Frequency</t>
        </r>
        <r>
          <rPr>
            <sz val="9"/>
            <color indexed="81"/>
            <rFont val="Tahoma"/>
            <family val="2"/>
          </rPr>
          <t xml:space="preserve">
This is the desired crossover frequency. The voltage loop compensation values will be calculated to have a loop cross over frequency of this value.</t>
        </r>
      </text>
    </comment>
    <comment ref="B177" authorId="0" shapeId="0" xr:uid="{00000000-0006-0000-0000-00006A000000}">
      <text>
        <r>
          <rPr>
            <b/>
            <sz val="9"/>
            <color indexed="81"/>
            <rFont val="Tahoma"/>
            <family val="2"/>
          </rPr>
          <t>R</t>
        </r>
        <r>
          <rPr>
            <b/>
            <vertAlign val="subscript"/>
            <sz val="9"/>
            <color indexed="81"/>
            <rFont val="Tahoma"/>
            <family val="2"/>
          </rPr>
          <t>COMP</t>
        </r>
        <r>
          <rPr>
            <b/>
            <sz val="9"/>
            <color indexed="81"/>
            <rFont val="Tahoma"/>
            <family val="2"/>
          </rPr>
          <t xml:space="preserve"> Calculated
</t>
        </r>
        <r>
          <rPr>
            <sz val="9"/>
            <color indexed="81"/>
            <rFont val="Tahoma"/>
            <family val="2"/>
          </rPr>
          <t>This is the calculated R</t>
        </r>
        <r>
          <rPr>
            <vertAlign val="subscript"/>
            <sz val="9"/>
            <color indexed="81"/>
            <rFont val="Tahoma"/>
            <family val="2"/>
          </rPr>
          <t>COMP</t>
        </r>
        <r>
          <rPr>
            <sz val="9"/>
            <color indexed="81"/>
            <rFont val="Tahoma"/>
            <family val="2"/>
          </rPr>
          <t xml:space="preserve"> value based on the selected crossover frequency
</t>
        </r>
      </text>
    </comment>
    <comment ref="B179" authorId="0" shapeId="0" xr:uid="{00000000-0006-0000-0000-00006B000000}">
      <text>
        <r>
          <rPr>
            <b/>
            <sz val="9"/>
            <color indexed="81"/>
            <rFont val="Tahoma"/>
            <family val="2"/>
          </rPr>
          <t>C</t>
        </r>
        <r>
          <rPr>
            <b/>
            <vertAlign val="subscript"/>
            <sz val="9"/>
            <color indexed="81"/>
            <rFont val="Tahoma"/>
            <family val="2"/>
          </rPr>
          <t>COMP</t>
        </r>
        <r>
          <rPr>
            <b/>
            <sz val="9"/>
            <color indexed="81"/>
            <rFont val="Tahoma"/>
            <family val="2"/>
          </rPr>
          <t xml:space="preserve"> Calculated
</t>
        </r>
        <r>
          <rPr>
            <sz val="9"/>
            <color indexed="81"/>
            <rFont val="Tahoma"/>
            <family val="2"/>
          </rPr>
          <t>This is the calculated C</t>
        </r>
        <r>
          <rPr>
            <vertAlign val="subscript"/>
            <sz val="9"/>
            <color indexed="81"/>
            <rFont val="Tahoma"/>
            <family val="2"/>
          </rPr>
          <t>COMP</t>
        </r>
        <r>
          <rPr>
            <sz val="9"/>
            <color indexed="81"/>
            <rFont val="Tahoma"/>
            <family val="2"/>
          </rPr>
          <t xml:space="preserve"> value based on the selected crossover frequency
</t>
        </r>
      </text>
    </comment>
    <comment ref="B181" authorId="0" shapeId="0" xr:uid="{00000000-0006-0000-0000-00006C000000}">
      <text>
        <r>
          <rPr>
            <b/>
            <sz val="9"/>
            <color indexed="81"/>
            <rFont val="Tahoma"/>
            <family val="2"/>
          </rPr>
          <t>C</t>
        </r>
        <r>
          <rPr>
            <b/>
            <vertAlign val="subscript"/>
            <sz val="9"/>
            <color indexed="81"/>
            <rFont val="Tahoma"/>
            <family val="2"/>
          </rPr>
          <t>HF</t>
        </r>
        <r>
          <rPr>
            <b/>
            <sz val="9"/>
            <color indexed="81"/>
            <rFont val="Tahoma"/>
            <family val="2"/>
          </rPr>
          <t xml:space="preserve"> Calculated</t>
        </r>
        <r>
          <rPr>
            <sz val="9"/>
            <color indexed="81"/>
            <rFont val="Tahoma"/>
            <family val="2"/>
          </rPr>
          <t xml:space="preserve">
This is the calculated C</t>
        </r>
        <r>
          <rPr>
            <vertAlign val="subscript"/>
            <sz val="9"/>
            <color indexed="81"/>
            <rFont val="Tahoma"/>
            <family val="2"/>
          </rPr>
          <t>HF</t>
        </r>
        <r>
          <rPr>
            <sz val="9"/>
            <color indexed="81"/>
            <rFont val="Tahoma"/>
            <family val="2"/>
          </rPr>
          <t xml:space="preserve"> value based on the selected crossover frequency</t>
        </r>
      </text>
    </comment>
    <comment ref="B183" authorId="0" shapeId="0" xr:uid="{00000000-0006-0000-0000-00006D000000}">
      <text>
        <r>
          <rPr>
            <b/>
            <sz val="9"/>
            <color indexed="81"/>
            <rFont val="Tahoma"/>
            <family val="2"/>
          </rPr>
          <t>Compensation Zero Location (F</t>
        </r>
        <r>
          <rPr>
            <b/>
            <vertAlign val="subscript"/>
            <sz val="9"/>
            <color indexed="81"/>
            <rFont val="Tahoma"/>
            <family val="2"/>
          </rPr>
          <t>Zcomp</t>
        </r>
        <r>
          <rPr>
            <b/>
            <sz val="9"/>
            <color indexed="81"/>
            <rFont val="Tahoma"/>
            <family val="2"/>
          </rPr>
          <t>)</t>
        </r>
        <r>
          <rPr>
            <sz val="9"/>
            <color indexed="81"/>
            <rFont val="Tahoma"/>
            <family val="2"/>
          </rPr>
          <t xml:space="preserve">
This is the location of the zero in the compensation network based upon the selection of R</t>
        </r>
        <r>
          <rPr>
            <vertAlign val="subscript"/>
            <sz val="9"/>
            <color indexed="81"/>
            <rFont val="Tahoma"/>
            <family val="2"/>
          </rPr>
          <t>COMP</t>
        </r>
        <r>
          <rPr>
            <sz val="9"/>
            <color indexed="81"/>
            <rFont val="Tahoma"/>
            <family val="2"/>
          </rPr>
          <t xml:space="preserve"> and C</t>
        </r>
        <r>
          <rPr>
            <vertAlign val="subscript"/>
            <sz val="9"/>
            <color indexed="81"/>
            <rFont val="Tahoma"/>
            <family val="2"/>
          </rPr>
          <t>COMP</t>
        </r>
        <r>
          <rPr>
            <sz val="9"/>
            <color indexed="81"/>
            <rFont val="Tahoma"/>
            <family val="2"/>
          </rPr>
          <t>. The location of the zero can be seen on the bobe plot.</t>
        </r>
      </text>
    </comment>
    <comment ref="B184" authorId="0" shapeId="0" xr:uid="{00000000-0006-0000-0000-00006E000000}">
      <text>
        <r>
          <rPr>
            <b/>
            <sz val="9"/>
            <color indexed="81"/>
            <rFont val="Tahoma"/>
            <family val="2"/>
          </rPr>
          <t>Compensation Pole Location (F</t>
        </r>
        <r>
          <rPr>
            <b/>
            <vertAlign val="subscript"/>
            <sz val="9"/>
            <color indexed="81"/>
            <rFont val="Tahoma"/>
            <family val="2"/>
          </rPr>
          <t>Pcomp</t>
        </r>
        <r>
          <rPr>
            <b/>
            <sz val="9"/>
            <color indexed="81"/>
            <rFont val="Tahoma"/>
            <family val="2"/>
          </rPr>
          <t xml:space="preserve">)
</t>
        </r>
        <r>
          <rPr>
            <sz val="9"/>
            <color indexed="81"/>
            <rFont val="Tahoma"/>
            <family val="2"/>
          </rPr>
          <t xml:space="preserve">
This is the location of the pole in the compensation network based upon the selection of R</t>
        </r>
        <r>
          <rPr>
            <vertAlign val="subscript"/>
            <sz val="9"/>
            <color indexed="81"/>
            <rFont val="Tahoma"/>
            <family val="2"/>
          </rPr>
          <t>COMP</t>
        </r>
        <r>
          <rPr>
            <sz val="9"/>
            <color indexed="81"/>
            <rFont val="Tahoma"/>
            <family val="2"/>
          </rPr>
          <t xml:space="preserve"> and C</t>
        </r>
        <r>
          <rPr>
            <vertAlign val="subscript"/>
            <sz val="9"/>
            <color indexed="81"/>
            <rFont val="Tahoma"/>
            <family val="2"/>
          </rPr>
          <t>HF</t>
        </r>
        <r>
          <rPr>
            <sz val="9"/>
            <color indexed="81"/>
            <rFont val="Tahoma"/>
            <family val="2"/>
          </rPr>
          <t xml:space="preserve">. The location of the pole can be seen on the bobe plot.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PPD-NPS</author>
  </authors>
  <commentList>
    <comment ref="A40" authorId="0" shapeId="0" xr:uid="{00000000-0006-0000-0100-000001000000}">
      <text>
        <r>
          <rPr>
            <b/>
            <sz val="9"/>
            <color indexed="81"/>
            <rFont val="Tahoma"/>
            <family val="2"/>
          </rPr>
          <t>PPD-NPS:</t>
        </r>
        <r>
          <rPr>
            <sz val="9"/>
            <color indexed="81"/>
            <rFont val="Tahoma"/>
            <family val="2"/>
          </rPr>
          <t xml:space="preserve">
These should be updated and double checked
</t>
        </r>
      </text>
    </comment>
    <comment ref="E63" authorId="0" shapeId="0" xr:uid="{00000000-0006-0000-0100-000002000000}">
      <text>
        <r>
          <rPr>
            <b/>
            <sz val="9"/>
            <color indexed="81"/>
            <rFont val="Tahoma"/>
            <family val="2"/>
          </rPr>
          <t>Assuming the nominal voltages are the setpoint voltages for the 12V and 48V rail</t>
        </r>
      </text>
    </comment>
    <comment ref="A64" authorId="0" shapeId="0" xr:uid="{00000000-0006-0000-0100-000003000000}">
      <text>
        <r>
          <rPr>
            <b/>
            <sz val="9"/>
            <color indexed="81"/>
            <rFont val="Tahoma"/>
            <family val="2"/>
          </rPr>
          <t xml:space="preserve">This is the worst case ripple for the selected Inductance value and the maximum designed for load per phase
</t>
        </r>
      </text>
    </comment>
    <comment ref="B68" authorId="0" shapeId="0" xr:uid="{00000000-0006-0000-0100-000004000000}">
      <text>
        <r>
          <rPr>
            <b/>
            <sz val="9"/>
            <color indexed="81"/>
            <rFont val="Tahoma"/>
            <family val="2"/>
          </rPr>
          <t>PPD-NPS:</t>
        </r>
        <r>
          <rPr>
            <sz val="9"/>
            <color indexed="81"/>
            <rFont val="Tahoma"/>
            <family val="2"/>
          </rPr>
          <t xml:space="preserve">
</t>
        </r>
      </text>
    </comment>
    <comment ref="A84" authorId="0" shapeId="0" xr:uid="{00000000-0006-0000-0100-000005000000}">
      <text>
        <r>
          <rPr>
            <b/>
            <sz val="9"/>
            <color indexed="81"/>
            <rFont val="Tahoma"/>
            <family val="2"/>
          </rPr>
          <t>PPD-NPS:</t>
        </r>
        <r>
          <rPr>
            <sz val="9"/>
            <color indexed="81"/>
            <rFont val="Tahoma"/>
            <family val="2"/>
          </rPr>
          <t xml:space="preserve">
This is calculated at Full Load (ISETA = 2.5V). For over ISETA values  the soft start time will be less due to the SS capacitor charging to a lower voltage</t>
        </r>
      </text>
    </comment>
    <comment ref="E115" authorId="0" shapeId="0" xr:uid="{00000000-0006-0000-0100-000006000000}">
      <text>
        <r>
          <rPr>
            <b/>
            <sz val="9"/>
            <color indexed="81"/>
            <rFont val="Tahoma"/>
            <family val="2"/>
          </rPr>
          <t>PPD-NPS:</t>
        </r>
        <r>
          <rPr>
            <sz val="9"/>
            <color indexed="81"/>
            <rFont val="Tahoma"/>
            <family val="2"/>
          </rPr>
          <t xml:space="preserve">
This is due to the internal circuitry of the LM5170. Around 4.5V on the IOUTx pin the current source becomes less accurate and will cause error
</t>
        </r>
      </text>
    </comment>
    <comment ref="E118" authorId="0" shapeId="0" xr:uid="{00000000-0006-0000-0100-000007000000}">
      <text>
        <r>
          <rPr>
            <b/>
            <sz val="9"/>
            <color indexed="81"/>
            <rFont val="Tahoma"/>
            <family val="2"/>
          </rPr>
          <t>PPD-NPS:</t>
        </r>
        <r>
          <rPr>
            <sz val="9"/>
            <color indexed="81"/>
            <rFont val="Tahoma"/>
            <family val="2"/>
          </rPr>
          <t xml:space="preserve">
PPD-NPS:
This is due to the internal circuitry of the LM5170. Around 4.5V on the IOUTx pin the current source becomes less accurate and will cause error</t>
        </r>
      </text>
    </comment>
    <comment ref="A134" authorId="0" shapeId="0" xr:uid="{00000000-0006-0000-0100-000008000000}">
      <text>
        <r>
          <rPr>
            <b/>
            <sz val="9"/>
            <color indexed="81"/>
            <rFont val="Tahoma"/>
            <family val="2"/>
          </rPr>
          <t>PPD-NPS:</t>
        </r>
        <r>
          <rPr>
            <sz val="9"/>
            <color indexed="81"/>
            <rFont val="Tahoma"/>
            <family val="2"/>
          </rPr>
          <t xml:space="preserve">
This will need to be altered in the future
</t>
        </r>
      </text>
    </comment>
    <comment ref="B136" authorId="0" shapeId="0" xr:uid="{00000000-0006-0000-0100-000009000000}">
      <text>
        <r>
          <rPr>
            <b/>
            <sz val="9"/>
            <color indexed="81"/>
            <rFont val="Tahoma"/>
            <family val="2"/>
          </rPr>
          <t>PPD-NPS:</t>
        </r>
        <r>
          <rPr>
            <sz val="9"/>
            <color indexed="81"/>
            <rFont val="Tahoma"/>
            <family val="2"/>
          </rPr>
          <t xml:space="preserve">
Note that this is simply 1/Rramp*Cramp*Fsw in order to match the datasheet. Normally this would be dependent on the RAMP input voltage. Since a battery is modeled here it can be simplified to the above equation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PPD-NPS</author>
  </authors>
  <commentList>
    <comment ref="G5" authorId="0" shapeId="0" xr:uid="{00000000-0006-0000-0200-000001000000}">
      <text>
        <r>
          <rPr>
            <b/>
            <sz val="9"/>
            <color indexed="81"/>
            <rFont val="Tahoma"/>
            <family val="2"/>
          </rPr>
          <t xml:space="preserve">Follows Equation 28 of the datasheet
</t>
        </r>
      </text>
    </comment>
    <comment ref="AE76" authorId="0" shapeId="0" xr:uid="{00000000-0006-0000-0200-000002000000}">
      <text>
        <r>
          <rPr>
            <b/>
            <sz val="9"/>
            <color indexed="81"/>
            <rFont val="Tahoma"/>
            <family val="2"/>
          </rPr>
          <t>PPD-NPS:</t>
        </r>
        <r>
          <rPr>
            <sz val="9"/>
            <color indexed="81"/>
            <rFont val="Tahoma"/>
            <family val="2"/>
          </rPr>
          <t xml:space="preserve">
Multiplied by feedforward ramp already to save step</t>
        </r>
      </text>
    </comment>
    <comment ref="A134" authorId="0" shapeId="0" xr:uid="{00000000-0006-0000-0200-000003000000}">
      <text>
        <r>
          <rPr>
            <b/>
            <sz val="9"/>
            <color indexed="81"/>
            <rFont val="Tahoma"/>
            <family val="2"/>
          </rPr>
          <t>PPD-NPS:</t>
        </r>
        <r>
          <rPr>
            <sz val="9"/>
            <color indexed="81"/>
            <rFont val="Tahoma"/>
            <family val="2"/>
          </rPr>
          <t xml:space="preserve">
This is the Modulcator Gain at the Selected Crossover Frequncy of the </t>
        </r>
      </text>
    </comment>
    <comment ref="BC166" authorId="0" shapeId="0" xr:uid="{00000000-0006-0000-0200-000004000000}">
      <text>
        <r>
          <rPr>
            <b/>
            <sz val="9"/>
            <color indexed="81"/>
            <rFont val="Tahoma"/>
            <family val="2"/>
          </rPr>
          <t>PPD-NPS:</t>
        </r>
        <r>
          <rPr>
            <sz val="9"/>
            <color indexed="81"/>
            <rFont val="Tahoma"/>
            <family val="2"/>
          </rPr>
          <t xml:space="preserve">
Multiplied by feedforward ramp already to save step</t>
        </r>
      </text>
    </comment>
    <comment ref="A224" authorId="0" shapeId="0" xr:uid="{00000000-0006-0000-0200-000005000000}">
      <text>
        <r>
          <rPr>
            <b/>
            <sz val="9"/>
            <color indexed="81"/>
            <rFont val="Tahoma"/>
            <family val="2"/>
          </rPr>
          <t xml:space="preserve">PPD-NPS:
</t>
        </r>
        <r>
          <rPr>
            <sz val="9"/>
            <color indexed="81"/>
            <rFont val="Tahoma"/>
            <family val="2"/>
          </rPr>
          <t xml:space="preserve">Selected Cross over Frequency for Boost Mode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PPD-NPS</author>
  </authors>
  <commentList>
    <comment ref="A43" authorId="0" shapeId="0" xr:uid="{00000000-0006-0000-0400-000001000000}">
      <text>
        <r>
          <rPr>
            <b/>
            <sz val="9"/>
            <color indexed="81"/>
            <rFont val="Tahoma"/>
            <family val="2"/>
          </rPr>
          <t xml:space="preserve">ABS Max voltage on the RAMP pin
</t>
        </r>
      </text>
    </comment>
    <comment ref="A44" authorId="0" shapeId="0" xr:uid="{00000000-0006-0000-0400-000002000000}">
      <text>
        <r>
          <rPr>
            <b/>
            <sz val="9"/>
            <color indexed="81"/>
            <rFont val="Tahoma"/>
            <family val="2"/>
          </rPr>
          <t xml:space="preserve">Minimum RAMPx Voltage that will define an invalid signal
</t>
        </r>
      </text>
    </comment>
  </commentList>
</comments>
</file>

<file path=xl/sharedStrings.xml><?xml version="1.0" encoding="utf-8"?>
<sst xmlns="http://schemas.openxmlformats.org/spreadsheetml/2006/main" count="912" uniqueCount="488">
  <si>
    <t>V12 Nom</t>
  </si>
  <si>
    <t>V</t>
  </si>
  <si>
    <t>Switching Frequency</t>
  </si>
  <si>
    <t>kHz</t>
  </si>
  <si>
    <t>A</t>
  </si>
  <si>
    <t>Selected Inductor</t>
  </si>
  <si>
    <t>uH</t>
  </si>
  <si>
    <r>
      <t>m</t>
    </r>
    <r>
      <rPr>
        <sz val="11"/>
        <color theme="1"/>
        <rFont val="Calibri"/>
        <family val="2"/>
      </rPr>
      <t>Ω</t>
    </r>
  </si>
  <si>
    <t>Selected Sense Resistor</t>
  </si>
  <si>
    <t>Inductor Selection</t>
  </si>
  <si>
    <t>DCM Boundaries</t>
  </si>
  <si>
    <t>Current Sense Voltage</t>
  </si>
  <si>
    <t>Peak Current</t>
  </si>
  <si>
    <t>Ripple Current</t>
  </si>
  <si>
    <t>LO Duty Cycle</t>
  </si>
  <si>
    <t>HO Duty Cycle</t>
  </si>
  <si>
    <r>
      <t>k</t>
    </r>
    <r>
      <rPr>
        <sz val="11"/>
        <color theme="1"/>
        <rFont val="Calibri"/>
        <family val="2"/>
      </rPr>
      <t>Ω</t>
    </r>
  </si>
  <si>
    <t>Spec Name</t>
  </si>
  <si>
    <t xml:space="preserve">Min </t>
  </si>
  <si>
    <t>Nom</t>
  </si>
  <si>
    <t>Max</t>
  </si>
  <si>
    <t>Unit</t>
  </si>
  <si>
    <t>Minimum Off Time</t>
  </si>
  <si>
    <t>s</t>
  </si>
  <si>
    <t>V48_Nom to V12_Nom</t>
  </si>
  <si>
    <t>Buck Channel Current</t>
  </si>
  <si>
    <t>%</t>
  </si>
  <si>
    <t>Total Number of Phases</t>
  </si>
  <si>
    <t>Value V Load Current</t>
  </si>
  <si>
    <t>Inductor DCR</t>
  </si>
  <si>
    <t>V48</t>
  </si>
  <si>
    <t>Output Impedance</t>
  </si>
  <si>
    <t>uF</t>
  </si>
  <si>
    <t>Frequency</t>
  </si>
  <si>
    <t>Frequency (rad/s)</t>
  </si>
  <si>
    <t>Frequency (Hz)</t>
  </si>
  <si>
    <t>Gain (dB)</t>
  </si>
  <si>
    <t>Phase (Degree)</t>
  </si>
  <si>
    <t>Complex Impedance</t>
  </si>
  <si>
    <t>kOhm</t>
  </si>
  <si>
    <t>nF</t>
  </si>
  <si>
    <t>gm (Error Amp)</t>
  </si>
  <si>
    <t>V/V</t>
  </si>
  <si>
    <t>Current Sense Amp Gain</t>
  </si>
  <si>
    <t>V12 Output Current</t>
  </si>
  <si>
    <t>Vref</t>
  </si>
  <si>
    <t>ISETA to IL constant</t>
  </si>
  <si>
    <t>ISETD to IL constant</t>
  </si>
  <si>
    <t>IOUT offset</t>
  </si>
  <si>
    <t>IOUT gm</t>
  </si>
  <si>
    <t>ohm</t>
  </si>
  <si>
    <t>ohm*Hz</t>
  </si>
  <si>
    <t>OVPx Threshold</t>
  </si>
  <si>
    <t>Oscillator Factor</t>
  </si>
  <si>
    <t>OVPA Resistance</t>
  </si>
  <si>
    <t>OVPB Resistance</t>
  </si>
  <si>
    <t>Ohm</t>
  </si>
  <si>
    <t>IPK Source Current</t>
  </si>
  <si>
    <t>BRK SYNCOUT Level: No Fault Check</t>
  </si>
  <si>
    <t>BRK SYNCOUT Level: Fault Check &gt;</t>
  </si>
  <si>
    <t>Dead Time Constant</t>
  </si>
  <si>
    <t>s/Ohm</t>
  </si>
  <si>
    <t>R IPK Calculation Voltage Constant</t>
  </si>
  <si>
    <t>R IPK Calculation Current Constant</t>
  </si>
  <si>
    <t>ISETD Resistance</t>
  </si>
  <si>
    <t>VCC UV Threshold</t>
  </si>
  <si>
    <t>UVLO Shutdown Thresold</t>
  </si>
  <si>
    <t>SS current</t>
  </si>
  <si>
    <t>Dead Time Adaptive Threshold</t>
  </si>
  <si>
    <t>UVLO Release Threshold</t>
  </si>
  <si>
    <t>*Need to add in the phasing diagram here</t>
  </si>
  <si>
    <t>Maximmum Ripple Current</t>
  </si>
  <si>
    <t>mV</t>
  </si>
  <si>
    <t>Inductor Ripple Currents</t>
  </si>
  <si>
    <t>V48_Nom to V12_Nom (Current Sense Voltage)</t>
  </si>
  <si>
    <t>V48_Max to V12_Nom</t>
  </si>
  <si>
    <t>V12_Min</t>
  </si>
  <si>
    <t>V12_Nom</t>
  </si>
  <si>
    <t>V12_Max</t>
  </si>
  <si>
    <t>Full Load V12 Calculations vs V48</t>
  </si>
  <si>
    <t>Ω</t>
  </si>
  <si>
    <t>V48_Nom to V12_Nom (Inductor AVG Current)</t>
  </si>
  <si>
    <t>V48_Min to V12_Nom (Current Sense Voltage)</t>
  </si>
  <si>
    <t>V48_Min to V12_Nom (Inductor AVG Current)</t>
  </si>
  <si>
    <t>V48_Max to V12_Nom (Current Sense Voltage)</t>
  </si>
  <si>
    <t>V48_Max to V12_Nom (Inductor AVG Current)</t>
  </si>
  <si>
    <t>Switching Parameters</t>
  </si>
  <si>
    <t>Hz</t>
  </si>
  <si>
    <t>Minmum Off Time (Buck)</t>
  </si>
  <si>
    <t>Minmum Off Time (Boost)</t>
  </si>
  <si>
    <t>Spec Violation</t>
  </si>
  <si>
    <t>Parameters</t>
  </si>
  <si>
    <t>V12 Port (Buck)</t>
  </si>
  <si>
    <t>V12 Port (Boost)</t>
  </si>
  <si>
    <t>V48 Port</t>
  </si>
  <si>
    <t>Oscillator Frequency</t>
  </si>
  <si>
    <t>Dead Time</t>
  </si>
  <si>
    <t>ns</t>
  </si>
  <si>
    <t>x</t>
  </si>
  <si>
    <t>Ramp Calculations</t>
  </si>
  <si>
    <t>Selected Ramp Resistor</t>
  </si>
  <si>
    <t>Vramp (V48 Min)</t>
  </si>
  <si>
    <t>Vramp (V48 Nom)</t>
  </si>
  <si>
    <t>Vramp (V48 Max)</t>
  </si>
  <si>
    <t>kΩ</t>
  </si>
  <si>
    <t>Max V RAMPx</t>
  </si>
  <si>
    <t>Min V RAMPx</t>
  </si>
  <si>
    <t>V12</t>
  </si>
  <si>
    <t>V48_Min</t>
  </si>
  <si>
    <t>V48_Nom</t>
  </si>
  <si>
    <t>V48_Max</t>
  </si>
  <si>
    <t>Typical Case (V48_nom, V12_nom)</t>
  </si>
  <si>
    <t>Soft Start Capacitor</t>
  </si>
  <si>
    <t>UVLO</t>
  </si>
  <si>
    <t>ms</t>
  </si>
  <si>
    <t>Calculated SS Value</t>
  </si>
  <si>
    <t>ISETA MAX</t>
  </si>
  <si>
    <t>UVLO Type Selection</t>
  </si>
  <si>
    <t>V48 Rail Selection</t>
  </si>
  <si>
    <t>Minimum 48V Rail Voltage</t>
  </si>
  <si>
    <t>Nominal 48V Rail Voltage</t>
  </si>
  <si>
    <t>V12 Rail Selection</t>
  </si>
  <si>
    <t>Minimum 12V Rail Voltage</t>
  </si>
  <si>
    <t>Nominal 12V Rail Voltage</t>
  </si>
  <si>
    <t>Maximum 12V rail Voltage</t>
  </si>
  <si>
    <t>Maximum 48V rail Voltage</t>
  </si>
  <si>
    <t>Selected Schematic</t>
  </si>
  <si>
    <t>User Input</t>
  </si>
  <si>
    <t>Calculated Value</t>
  </si>
  <si>
    <t>Fsw</t>
  </si>
  <si>
    <t>Converter switching frequency</t>
  </si>
  <si>
    <t>Current Selection</t>
  </si>
  <si>
    <t xml:space="preserve">V48 Output Current (Max) </t>
  </si>
  <si>
    <t>Occurs at V12=(V12_Max) and V48=(V48_Max)</t>
  </si>
  <si>
    <t>Number of Phase</t>
  </si>
  <si>
    <t>This is the number of phases that the total design will use</t>
  </si>
  <si>
    <t>W</t>
  </si>
  <si>
    <t>mOhm</t>
  </si>
  <si>
    <t>Spec Values</t>
  </si>
  <si>
    <t>Calculated Current Sense Resistor</t>
  </si>
  <si>
    <t>Calculated to have full load be 50mV</t>
  </si>
  <si>
    <t>Rcs</t>
  </si>
  <si>
    <t>Per phase Max Power current (based on RCS)</t>
  </si>
  <si>
    <t xml:space="preserve">V12 Output Current Per Phase </t>
  </si>
  <si>
    <t>I_Channel</t>
  </si>
  <si>
    <t>Variable</t>
  </si>
  <si>
    <t>Total Output Current</t>
  </si>
  <si>
    <t xml:space="preserve">Total Maximum Output Power </t>
  </si>
  <si>
    <t>Inductor  Calculations</t>
  </si>
  <si>
    <t>RT</t>
  </si>
  <si>
    <t>Oscilator set resistor Resistor</t>
  </si>
  <si>
    <t>Selected Ripple Ratio</t>
  </si>
  <si>
    <t>Conditions for worst case ripple</t>
  </si>
  <si>
    <t>Selected Peak Current Limit</t>
  </si>
  <si>
    <t>Load Values where the Converter will enter DCM</t>
  </si>
  <si>
    <t>IL peak resistor for selected IL peak Current Limit</t>
  </si>
  <si>
    <t>Flags IPK value is set below the max steady state IL peak current</t>
  </si>
  <si>
    <t>Suggested Ramp Resistor</t>
  </si>
  <si>
    <t>Maximum Average Inductor Current Per Channel</t>
  </si>
  <si>
    <t>SS Voltage Threshold</t>
  </si>
  <si>
    <t>Over Voltage Protection</t>
  </si>
  <si>
    <t>OVPA Input Voltage</t>
  </si>
  <si>
    <t>Suggested OVPA resistor Value</t>
  </si>
  <si>
    <t>Actual OVPA Trip point</t>
  </si>
  <si>
    <t>Selected OVPA resistor Value</t>
  </si>
  <si>
    <t>OVPB Input Voltage</t>
  </si>
  <si>
    <t>Suggested OVPB resistor Value</t>
  </si>
  <si>
    <t>Selected OVPB resistor Value</t>
  </si>
  <si>
    <t>Actual OVPB Trip point</t>
  </si>
  <si>
    <t>UVLO Calculations</t>
  </si>
  <si>
    <t>UVLO Enabled?</t>
  </si>
  <si>
    <t>UVLO Enable</t>
  </si>
  <si>
    <t>μC Input</t>
  </si>
  <si>
    <t>Resistor Divider</t>
  </si>
  <si>
    <t>UVLO Power Delivery Voltage</t>
  </si>
  <si>
    <t>Top Resistor Value</t>
  </si>
  <si>
    <t>Suggested Bottom Resistor</t>
  </si>
  <si>
    <t>Selected Bottom Resistor</t>
  </si>
  <si>
    <t>UVLO Shutdown Voltage</t>
  </si>
  <si>
    <t>UVLO Power Delivery Hystersis</t>
  </si>
  <si>
    <t>UVLO Release Hyst Current</t>
  </si>
  <si>
    <t>Selected Softstart Capacitor</t>
  </si>
  <si>
    <t>Actual Soft start time</t>
  </si>
  <si>
    <t>Actual Softstart Time</t>
  </si>
  <si>
    <t>IOUTx Calculations</t>
  </si>
  <si>
    <t>Current Sense Voltage at Full load</t>
  </si>
  <si>
    <t>Selected IOUT Resistance</t>
  </si>
  <si>
    <t>IOUT MAX (Recommened to keep accuracy high)</t>
  </si>
  <si>
    <t>Flag if &gt;3.3V</t>
  </si>
  <si>
    <t>IOUT ranges</t>
  </si>
  <si>
    <t>Selected R IPK</t>
  </si>
  <si>
    <t>Actual Peak Limit</t>
  </si>
  <si>
    <t>Buck Mode Voltage Loop Transfer Functions</t>
  </si>
  <si>
    <t>Calcualted inductor based on full load  design parameters, Nominal V12 and Maximum V48 Voltages</t>
  </si>
  <si>
    <t>V48 Max and V12Nom</t>
  </si>
  <si>
    <t xml:space="preserve">Maximum Per phase IL current (based on Selected RCS) </t>
  </si>
  <si>
    <t>Design Parameter for per phase current</t>
  </si>
  <si>
    <t>Typical Power Per Phase</t>
  </si>
  <si>
    <t>The 12V output power at full designed load and nominal 12V</t>
  </si>
  <si>
    <t>Maximum per phase power based on Rcs selection (Nominal 12V)</t>
  </si>
  <si>
    <t>Maximum total 12V Current based on Rcs selection</t>
  </si>
  <si>
    <t>Total output power based on Rcs selection</t>
  </si>
  <si>
    <t>Peak to Peak ripple Ratio based on full designed load parameter</t>
  </si>
  <si>
    <t>Based on Maximum per phase design parameter</t>
  </si>
  <si>
    <t>Maximmum Peak Current</t>
  </si>
  <si>
    <t xml:space="preserve">Selected Inductor Peak Current Limit </t>
  </si>
  <si>
    <t>Calculated R IPK</t>
  </si>
  <si>
    <t>Selected Ramp Capacitor</t>
  </si>
  <si>
    <t>Selected RAMP Resistor</t>
  </si>
  <si>
    <t>Flag if not between 0.625V and 14V</t>
  </si>
  <si>
    <t>Deisred  SS time</t>
  </si>
  <si>
    <t>Maximum IOUTx Voltage (VCS =50mV)</t>
  </si>
  <si>
    <t>Recommened IOUT Resistance (VCS = 50mV)</t>
  </si>
  <si>
    <t>Actual VIOUTx at full load (VCS=50mV)</t>
  </si>
  <si>
    <t>Actual VIOUTx at no-load (VCS = 0mV)</t>
  </si>
  <si>
    <t>Suggested CIOUT</t>
  </si>
  <si>
    <t>Selected CIOUT</t>
  </si>
  <si>
    <t>based to set the RIOUT and CIOUT delay time to 100us</t>
  </si>
  <si>
    <t>Corner Frequency of RIOUT and CIOUT</t>
  </si>
  <si>
    <t>Ripple on VIOUT at full Load</t>
  </si>
  <si>
    <t>0 = MCU input, 1 = Normal Resistor Divider</t>
  </si>
  <si>
    <t>UVLO Hysterisis</t>
  </si>
  <si>
    <t>Nomal</t>
  </si>
  <si>
    <t>Dead Time Calculations</t>
  </si>
  <si>
    <t>Dead Time Configuration</t>
  </si>
  <si>
    <t>Adaptive</t>
  </si>
  <si>
    <t>Programed</t>
  </si>
  <si>
    <t>Selected Dead Time Type</t>
  </si>
  <si>
    <t>0=Adaptive, 1 = Programed</t>
  </si>
  <si>
    <t>Programed dead time</t>
  </si>
  <si>
    <t>Dead Time Off Set</t>
  </si>
  <si>
    <t>Cacluated Dead Time Resistor</t>
  </si>
  <si>
    <t>Selected Deatd Time Resistor</t>
  </si>
  <si>
    <t>LO falling to HO Rising Dead Time</t>
  </si>
  <si>
    <t>HO falling to LO Rising Dead Time</t>
  </si>
  <si>
    <t>Dead Time Adaptive LO to HO</t>
  </si>
  <si>
    <t>Dead Time Adaptive HO to LO</t>
  </si>
  <si>
    <t>LO falling to HO rising Dead-Time</t>
  </si>
  <si>
    <t>HO falling to LO rising Dead-Time</t>
  </si>
  <si>
    <t>0 = Nominal Hysteresis, 1 = Programable Hysteresis</t>
  </si>
  <si>
    <t>Increased Hysteresis Selected?</t>
  </si>
  <si>
    <t>Selected Amount of Hysteresis</t>
  </si>
  <si>
    <t>Selected Amount Of Hysteresis</t>
  </si>
  <si>
    <t>Cacluated Rhysteresis Resistor</t>
  </si>
  <si>
    <t>Selected Rhysteresis Value</t>
  </si>
  <si>
    <t>UVLO Power Delivery Voltage Rising Edge</t>
  </si>
  <si>
    <t>UVLO Power Delivery Voltage Falling Edge</t>
  </si>
  <si>
    <t>Flag if not between 15ns and 200ns as specified in the ROC of the Datasheet</t>
  </si>
  <si>
    <t>Dead Time Prog Min Value</t>
  </si>
  <si>
    <t>Dead Time Prog Max Value</t>
  </si>
  <si>
    <t>Path Resistance</t>
  </si>
  <si>
    <t>mΩ</t>
  </si>
  <si>
    <t>Inner Loop Simple Compensation</t>
  </si>
  <si>
    <t>Current Loop Power Plant Pole Location</t>
  </si>
  <si>
    <t>Kff</t>
  </si>
  <si>
    <t>1/V</t>
  </si>
  <si>
    <t>DC Gain of Current Power Plant</t>
  </si>
  <si>
    <t>Suggested Loop Crossover Frequency</t>
  </si>
  <si>
    <t>Selected Crossover Frequency</t>
  </si>
  <si>
    <t>Calculated RCOMP</t>
  </si>
  <si>
    <t>Selected RCOMP</t>
  </si>
  <si>
    <t>Calculated CCOMP</t>
  </si>
  <si>
    <t>Selected CCOMP</t>
  </si>
  <si>
    <t>Calculated CHF</t>
  </si>
  <si>
    <t>Selected CHF</t>
  </si>
  <si>
    <t>Suggested Compensation Zero</t>
  </si>
  <si>
    <t>Suggeste Compensation Pole Location</t>
  </si>
  <si>
    <t>based off of the suggested High frequency pole location</t>
  </si>
  <si>
    <t>Compensation Zero Location</t>
  </si>
  <si>
    <t>Compensation Pole Location</t>
  </si>
  <si>
    <t xml:space="preserve">Simple Current Loop Calcualtion </t>
  </si>
  <si>
    <t>Based on Datasheet Caclualtion Method</t>
  </si>
  <si>
    <t>Power Plant Function</t>
  </si>
  <si>
    <t>Complex Impedence</t>
  </si>
  <si>
    <t>Gain</t>
  </si>
  <si>
    <t>Phase</t>
  </si>
  <si>
    <t>Error Amp</t>
  </si>
  <si>
    <t>Closed Current Loop</t>
  </si>
  <si>
    <t>Cross Over Frequency</t>
  </si>
  <si>
    <t>Phase Margin</t>
  </si>
  <si>
    <t>Derived using MathCad and DS equation</t>
  </si>
  <si>
    <t>Typical Application Schematic</t>
  </si>
  <si>
    <t>Current Range/ Number of Phases</t>
  </si>
  <si>
    <t>2. Inductor Selection</t>
  </si>
  <si>
    <t>ABOUT</t>
  </si>
  <si>
    <t>Terms of Use</t>
  </si>
  <si>
    <t>3. Inductor Current Limiting</t>
  </si>
  <si>
    <t>Inductor Peak Current Limit</t>
  </si>
  <si>
    <t>Margin above Peak Current</t>
  </si>
  <si>
    <t>4. Output Capacitance</t>
  </si>
  <si>
    <t>Power Stage Pol</t>
  </si>
  <si>
    <t>Error Amp Zero</t>
  </si>
  <si>
    <t>Error Amp Pole</t>
  </si>
  <si>
    <t>RAD</t>
  </si>
  <si>
    <t>Impedance</t>
  </si>
  <si>
    <t>5. RAMP Selection</t>
  </si>
  <si>
    <t>Ramp Component Selection</t>
  </si>
  <si>
    <t>5. Soft-Start</t>
  </si>
  <si>
    <t>OVPA</t>
  </si>
  <si>
    <t>OVPB</t>
  </si>
  <si>
    <t>6. Overvoltage Protection</t>
  </si>
  <si>
    <t>8. Channel Current Monitoring</t>
  </si>
  <si>
    <t>IOUT1/ IOUT2</t>
  </si>
  <si>
    <t>DT</t>
  </si>
  <si>
    <t>9. MOSFET Dead Time Selection</t>
  </si>
  <si>
    <t>10. Current Loop Compensation</t>
  </si>
  <si>
    <t>COMP1/COMP2</t>
  </si>
  <si>
    <t>Additional Hysteresis</t>
  </si>
  <si>
    <t>Microcontroller Input</t>
  </si>
  <si>
    <t>Normal UVLO</t>
  </si>
  <si>
    <r>
      <t>Selected Low-Side Resistor (R</t>
    </r>
    <r>
      <rPr>
        <vertAlign val="subscript"/>
        <sz val="11"/>
        <color theme="1"/>
        <rFont val="宋体"/>
        <family val="2"/>
        <scheme val="minor"/>
      </rPr>
      <t>UVLO2</t>
    </r>
    <r>
      <rPr>
        <sz val="11"/>
        <color theme="1"/>
        <rFont val="宋体"/>
        <family val="2"/>
        <scheme val="minor"/>
      </rPr>
      <t>)</t>
    </r>
  </si>
  <si>
    <r>
      <t>Selected High-Side Resistor (R</t>
    </r>
    <r>
      <rPr>
        <vertAlign val="subscript"/>
        <sz val="11"/>
        <color theme="1"/>
        <rFont val="宋体"/>
        <family val="2"/>
        <scheme val="minor"/>
      </rPr>
      <t>UVLO1</t>
    </r>
    <r>
      <rPr>
        <sz val="11"/>
        <color theme="1"/>
        <rFont val="宋体"/>
        <family val="2"/>
        <scheme val="minor"/>
      </rPr>
      <t>)</t>
    </r>
  </si>
  <si>
    <t>Additional</t>
  </si>
  <si>
    <r>
      <t>Calculated Hysteresis Resistor (R</t>
    </r>
    <r>
      <rPr>
        <vertAlign val="subscript"/>
        <sz val="11"/>
        <color theme="1"/>
        <rFont val="宋体"/>
        <family val="2"/>
        <scheme val="minor"/>
      </rPr>
      <t>UVLO3</t>
    </r>
    <r>
      <rPr>
        <sz val="11"/>
        <color theme="1"/>
        <rFont val="宋体"/>
        <family val="2"/>
        <scheme val="minor"/>
      </rPr>
      <t>)</t>
    </r>
  </si>
  <si>
    <r>
      <t>Selected Hysteresis Resistor (R</t>
    </r>
    <r>
      <rPr>
        <vertAlign val="subscript"/>
        <sz val="11"/>
        <color theme="1"/>
        <rFont val="宋体"/>
        <family val="2"/>
        <scheme val="minor"/>
      </rPr>
      <t>UVLO3</t>
    </r>
    <r>
      <rPr>
        <sz val="11"/>
        <color theme="1"/>
        <rFont val="宋体"/>
        <family val="2"/>
        <scheme val="minor"/>
      </rPr>
      <t>)</t>
    </r>
  </si>
  <si>
    <t>UVLO Hysteresis</t>
  </si>
  <si>
    <t>UVLO Hysteresis Type</t>
  </si>
  <si>
    <t>UVLO Release Voltage Rising Edge</t>
  </si>
  <si>
    <t>Selected UVLO Release Voltage</t>
  </si>
  <si>
    <t>UVLO Latch Voltage Falling Edge</t>
  </si>
  <si>
    <t>Low Voltage Rail Parameters</t>
  </si>
  <si>
    <t>High Voltage Input Parameters</t>
  </si>
  <si>
    <t>Maximum Low Voltage Rail Current</t>
  </si>
  <si>
    <r>
      <t>Selected Sense Resistor (R</t>
    </r>
    <r>
      <rPr>
        <vertAlign val="subscript"/>
        <sz val="11"/>
        <color theme="1"/>
        <rFont val="宋体"/>
        <family val="2"/>
        <scheme val="minor"/>
      </rPr>
      <t>CS1</t>
    </r>
    <r>
      <rPr>
        <sz val="11"/>
        <color theme="1"/>
        <rFont val="宋体"/>
        <family val="2"/>
        <scheme val="minor"/>
      </rPr>
      <t>, R</t>
    </r>
    <r>
      <rPr>
        <vertAlign val="subscript"/>
        <sz val="11"/>
        <color theme="1"/>
        <rFont val="宋体"/>
        <family val="2"/>
        <scheme val="minor"/>
      </rPr>
      <t>CS2</t>
    </r>
    <r>
      <rPr>
        <sz val="11"/>
        <color theme="1"/>
        <rFont val="宋体"/>
        <family val="2"/>
        <scheme val="minor"/>
      </rPr>
      <t>)</t>
    </r>
  </si>
  <si>
    <r>
      <t>Calculated Sense Resistor (R</t>
    </r>
    <r>
      <rPr>
        <vertAlign val="subscript"/>
        <sz val="11"/>
        <color theme="1"/>
        <rFont val="宋体"/>
        <family val="2"/>
        <scheme val="minor"/>
      </rPr>
      <t>CS1</t>
    </r>
    <r>
      <rPr>
        <sz val="11"/>
        <color theme="1"/>
        <rFont val="宋体"/>
        <family val="2"/>
        <scheme val="minor"/>
      </rPr>
      <t>, R</t>
    </r>
    <r>
      <rPr>
        <vertAlign val="subscript"/>
        <sz val="11"/>
        <color theme="1"/>
        <rFont val="宋体"/>
        <family val="2"/>
        <scheme val="minor"/>
      </rPr>
      <t>CS2</t>
    </r>
    <r>
      <rPr>
        <sz val="11"/>
        <color theme="1"/>
        <rFont val="宋体"/>
        <family val="2"/>
        <scheme val="minor"/>
      </rPr>
      <t>)</t>
    </r>
  </si>
  <si>
    <t>Total Low Voltage Rail Current</t>
  </si>
  <si>
    <t>Selected Switching Frequency</t>
  </si>
  <si>
    <t>LV Port Minimum Voltage</t>
  </si>
  <si>
    <t>LV Port Nominal Voltage</t>
  </si>
  <si>
    <t>LV Port Maximum Voltage</t>
  </si>
  <si>
    <t>HV Port Minimum Voltage</t>
  </si>
  <si>
    <t>HV Port Nominal Voltage</t>
  </si>
  <si>
    <t>HV Port Maximum Voltage</t>
  </si>
  <si>
    <t>Need to Add flags for input voltage range</t>
  </si>
  <si>
    <t>Actual Low Voltage Port Over Voltage Trigger</t>
  </si>
  <si>
    <t>Low Voltage Port Over Voltage Trigger</t>
  </si>
  <si>
    <t>Actual High Voltage Port Over Voltage Trigger</t>
  </si>
  <si>
    <t>High Voltage Port Over Voltage Trigger</t>
  </si>
  <si>
    <t>Low Voltage Port</t>
  </si>
  <si>
    <t>High Voltage Port</t>
  </si>
  <si>
    <t>Current Limit Margin Above Maximum Inductor Current</t>
  </si>
  <si>
    <r>
      <t>Calculated IPK Resistor (R</t>
    </r>
    <r>
      <rPr>
        <vertAlign val="subscript"/>
        <sz val="11"/>
        <color theme="1"/>
        <rFont val="宋体"/>
        <family val="2"/>
        <scheme val="minor"/>
      </rPr>
      <t>IPK</t>
    </r>
    <r>
      <rPr>
        <sz val="11"/>
        <color theme="1"/>
        <rFont val="宋体"/>
        <family val="2"/>
        <scheme val="minor"/>
      </rPr>
      <t>)</t>
    </r>
  </si>
  <si>
    <r>
      <t>Selected IPK Resistor (R</t>
    </r>
    <r>
      <rPr>
        <vertAlign val="subscript"/>
        <sz val="11"/>
        <color theme="1"/>
        <rFont val="宋体"/>
        <family val="2"/>
        <scheme val="minor"/>
      </rPr>
      <t>IPK</t>
    </r>
    <r>
      <rPr>
        <sz val="11"/>
        <color theme="1"/>
        <rFont val="宋体"/>
        <family val="2"/>
        <scheme val="minor"/>
      </rPr>
      <t>)</t>
    </r>
  </si>
  <si>
    <t>Actual Inductor Peak Current Limit</t>
  </si>
  <si>
    <t>Selected Inductor Peak Current Limit</t>
  </si>
  <si>
    <t>Low Voltage Capacitance ESR</t>
  </si>
  <si>
    <t>High Voltage Capacitance ESR</t>
  </si>
  <si>
    <r>
      <t>Selected Low Voltage Port Capacitance (C</t>
    </r>
    <r>
      <rPr>
        <vertAlign val="subscript"/>
        <sz val="11"/>
        <color theme="1"/>
        <rFont val="宋体"/>
        <family val="2"/>
        <scheme val="minor"/>
      </rPr>
      <t>OUT_LV</t>
    </r>
    <r>
      <rPr>
        <sz val="11"/>
        <color theme="1"/>
        <rFont val="宋体"/>
        <family val="2"/>
        <scheme val="minor"/>
      </rPr>
      <t>)</t>
    </r>
  </si>
  <si>
    <r>
      <t>Selected High Voltage Port Capacitance (C</t>
    </r>
    <r>
      <rPr>
        <vertAlign val="subscript"/>
        <sz val="11"/>
        <color theme="1"/>
        <rFont val="宋体"/>
        <family val="2"/>
        <scheme val="minor"/>
      </rPr>
      <t>OUT_HV</t>
    </r>
    <r>
      <rPr>
        <sz val="11"/>
        <color theme="1"/>
        <rFont val="宋体"/>
        <family val="2"/>
        <scheme val="minor"/>
      </rPr>
      <t>)</t>
    </r>
  </si>
  <si>
    <r>
      <t>Selected RAMP Capacitor (C</t>
    </r>
    <r>
      <rPr>
        <vertAlign val="subscript"/>
        <sz val="11"/>
        <color theme="1"/>
        <rFont val="宋体"/>
        <family val="2"/>
        <scheme val="minor"/>
      </rPr>
      <t>RAMP1</t>
    </r>
    <r>
      <rPr>
        <sz val="11"/>
        <color theme="1"/>
        <rFont val="宋体"/>
        <family val="2"/>
        <scheme val="minor"/>
      </rPr>
      <t>, C</t>
    </r>
    <r>
      <rPr>
        <vertAlign val="subscript"/>
        <sz val="11"/>
        <color theme="1"/>
        <rFont val="宋体"/>
        <family val="2"/>
        <scheme val="minor"/>
      </rPr>
      <t>RAMP2</t>
    </r>
    <r>
      <rPr>
        <sz val="11"/>
        <color theme="1"/>
        <rFont val="宋体"/>
        <family val="2"/>
        <scheme val="minor"/>
      </rPr>
      <t>)</t>
    </r>
  </si>
  <si>
    <r>
      <t>Calculated RAMP Resistor (R</t>
    </r>
    <r>
      <rPr>
        <vertAlign val="subscript"/>
        <sz val="11"/>
        <color theme="1"/>
        <rFont val="宋体"/>
        <family val="2"/>
        <scheme val="minor"/>
      </rPr>
      <t>RAMP1</t>
    </r>
    <r>
      <rPr>
        <sz val="11"/>
        <color theme="1"/>
        <rFont val="宋体"/>
        <family val="2"/>
        <scheme val="minor"/>
      </rPr>
      <t>, R</t>
    </r>
    <r>
      <rPr>
        <vertAlign val="subscript"/>
        <sz val="11"/>
        <color theme="1"/>
        <rFont val="宋体"/>
        <family val="2"/>
        <scheme val="minor"/>
      </rPr>
      <t>RAMP2</t>
    </r>
    <r>
      <rPr>
        <sz val="11"/>
        <color theme="1"/>
        <rFont val="宋体"/>
        <family val="2"/>
        <scheme val="minor"/>
      </rPr>
      <t>)</t>
    </r>
  </si>
  <si>
    <r>
      <t>Selected RAMP Resistor (R</t>
    </r>
    <r>
      <rPr>
        <vertAlign val="subscript"/>
        <sz val="11"/>
        <color theme="1"/>
        <rFont val="宋体"/>
        <family val="2"/>
        <scheme val="minor"/>
      </rPr>
      <t>RAMP1</t>
    </r>
    <r>
      <rPr>
        <sz val="11"/>
        <color theme="1"/>
        <rFont val="宋体"/>
        <family val="2"/>
        <scheme val="minor"/>
      </rPr>
      <t>, R</t>
    </r>
    <r>
      <rPr>
        <vertAlign val="subscript"/>
        <sz val="11"/>
        <color theme="1"/>
        <rFont val="宋体"/>
        <family val="2"/>
        <scheme val="minor"/>
      </rPr>
      <t>RAMP2</t>
    </r>
    <r>
      <rPr>
        <sz val="11"/>
        <color theme="1"/>
        <rFont val="宋体"/>
        <family val="2"/>
        <scheme val="minor"/>
      </rPr>
      <t>)</t>
    </r>
  </si>
  <si>
    <t>Selected Soft-Start Time</t>
  </si>
  <si>
    <r>
      <t>Calculated Soft-Start Capacitor (C</t>
    </r>
    <r>
      <rPr>
        <vertAlign val="subscript"/>
        <sz val="11"/>
        <color theme="1"/>
        <rFont val="宋体"/>
        <family val="2"/>
        <scheme val="minor"/>
      </rPr>
      <t>SS</t>
    </r>
    <r>
      <rPr>
        <sz val="11"/>
        <color theme="1"/>
        <rFont val="宋体"/>
        <family val="2"/>
        <scheme val="minor"/>
      </rPr>
      <t>)</t>
    </r>
  </si>
  <si>
    <r>
      <t>Selected Soft-Start Capacitor (C</t>
    </r>
    <r>
      <rPr>
        <vertAlign val="subscript"/>
        <sz val="11"/>
        <color theme="1"/>
        <rFont val="宋体"/>
        <family val="2"/>
        <scheme val="minor"/>
      </rPr>
      <t>SS</t>
    </r>
    <r>
      <rPr>
        <sz val="11"/>
        <color theme="1"/>
        <rFont val="宋体"/>
        <family val="2"/>
        <scheme val="minor"/>
      </rPr>
      <t>)</t>
    </r>
  </si>
  <si>
    <r>
      <t>Calculated OVPA resistor (R</t>
    </r>
    <r>
      <rPr>
        <vertAlign val="subscript"/>
        <sz val="11"/>
        <color theme="1"/>
        <rFont val="宋体"/>
        <family val="2"/>
        <scheme val="minor"/>
      </rPr>
      <t>OVPA</t>
    </r>
    <r>
      <rPr>
        <sz val="11"/>
        <color theme="1"/>
        <rFont val="宋体"/>
        <family val="2"/>
        <scheme val="minor"/>
      </rPr>
      <t>)</t>
    </r>
  </si>
  <si>
    <r>
      <t>Selected OVPA resistor (R</t>
    </r>
    <r>
      <rPr>
        <vertAlign val="subscript"/>
        <sz val="11"/>
        <color theme="1"/>
        <rFont val="宋体"/>
        <family val="2"/>
        <scheme val="minor"/>
      </rPr>
      <t>OVPA</t>
    </r>
    <r>
      <rPr>
        <sz val="11"/>
        <color theme="1"/>
        <rFont val="宋体"/>
        <family val="2"/>
        <scheme val="minor"/>
      </rPr>
      <t>)</t>
    </r>
  </si>
  <si>
    <r>
      <t>Calculated OVPB resistor (R</t>
    </r>
    <r>
      <rPr>
        <vertAlign val="subscript"/>
        <sz val="11"/>
        <color theme="1"/>
        <rFont val="宋体"/>
        <family val="2"/>
        <scheme val="minor"/>
      </rPr>
      <t>OVPB</t>
    </r>
    <r>
      <rPr>
        <sz val="11"/>
        <color theme="1"/>
        <rFont val="宋体"/>
        <family val="2"/>
        <scheme val="minor"/>
      </rPr>
      <t>)</t>
    </r>
  </si>
  <si>
    <r>
      <t>Selected OVPB resistor (R</t>
    </r>
    <r>
      <rPr>
        <vertAlign val="subscript"/>
        <sz val="11"/>
        <color theme="1"/>
        <rFont val="宋体"/>
        <family val="2"/>
        <scheme val="minor"/>
      </rPr>
      <t>OVPB</t>
    </r>
    <r>
      <rPr>
        <sz val="11"/>
        <color theme="1"/>
        <rFont val="宋体"/>
        <family val="2"/>
        <scheme val="minor"/>
      </rPr>
      <t>)</t>
    </r>
  </si>
  <si>
    <t>Selected Programmed Dead Time</t>
  </si>
  <si>
    <r>
      <t>Selected Dead Time Resistor (R</t>
    </r>
    <r>
      <rPr>
        <vertAlign val="subscript"/>
        <sz val="11"/>
        <color theme="1"/>
        <rFont val="宋体"/>
        <family val="2"/>
        <scheme val="minor"/>
      </rPr>
      <t>DT</t>
    </r>
    <r>
      <rPr>
        <sz val="11"/>
        <color theme="1"/>
        <rFont val="宋体"/>
        <family val="2"/>
        <scheme val="minor"/>
      </rPr>
      <t>)</t>
    </r>
  </si>
  <si>
    <t>Adaptive Dead Time</t>
  </si>
  <si>
    <t>Programmed Dead Time</t>
  </si>
  <si>
    <r>
      <t>Current Loop Power Plant Pole Location (F</t>
    </r>
    <r>
      <rPr>
        <vertAlign val="subscript"/>
        <sz val="11"/>
        <color theme="1"/>
        <rFont val="宋体"/>
        <family val="2"/>
        <scheme val="minor"/>
      </rPr>
      <t>Pplant</t>
    </r>
    <r>
      <rPr>
        <sz val="11"/>
        <color theme="1"/>
        <rFont val="宋体"/>
        <family val="2"/>
        <scheme val="minor"/>
      </rPr>
      <t>)</t>
    </r>
  </si>
  <si>
    <r>
      <t>Selected IOUT Resistor (R</t>
    </r>
    <r>
      <rPr>
        <vertAlign val="subscript"/>
        <sz val="11"/>
        <color theme="1"/>
        <rFont val="宋体"/>
        <family val="2"/>
        <scheme val="minor"/>
      </rPr>
      <t>IOUT1</t>
    </r>
    <r>
      <rPr>
        <sz val="11"/>
        <color theme="1"/>
        <rFont val="宋体"/>
        <family val="2"/>
        <scheme val="minor"/>
      </rPr>
      <t>, R</t>
    </r>
    <r>
      <rPr>
        <vertAlign val="subscript"/>
        <sz val="11"/>
        <color theme="1"/>
        <rFont val="宋体"/>
        <family val="2"/>
        <scheme val="minor"/>
      </rPr>
      <t>IOUT2</t>
    </r>
    <r>
      <rPr>
        <sz val="11"/>
        <color theme="1"/>
        <rFont val="宋体"/>
        <family val="2"/>
        <scheme val="minor"/>
      </rPr>
      <t>)</t>
    </r>
  </si>
  <si>
    <r>
      <t>Calculated IOUT Capacitance (C</t>
    </r>
    <r>
      <rPr>
        <vertAlign val="subscript"/>
        <sz val="11"/>
        <color theme="1"/>
        <rFont val="宋体"/>
        <family val="2"/>
        <scheme val="minor"/>
      </rPr>
      <t>IOUT1</t>
    </r>
    <r>
      <rPr>
        <sz val="11"/>
        <color theme="1"/>
        <rFont val="宋体"/>
        <family val="2"/>
        <scheme val="minor"/>
      </rPr>
      <t>, C</t>
    </r>
    <r>
      <rPr>
        <vertAlign val="subscript"/>
        <sz val="11"/>
        <color theme="1"/>
        <rFont val="宋体"/>
        <family val="2"/>
        <scheme val="minor"/>
      </rPr>
      <t>IOUT2</t>
    </r>
    <r>
      <rPr>
        <sz val="11"/>
        <color theme="1"/>
        <rFont val="宋体"/>
        <family val="2"/>
        <scheme val="minor"/>
      </rPr>
      <t>)</t>
    </r>
  </si>
  <si>
    <r>
      <t>Selected IOUT Capacitance (C</t>
    </r>
    <r>
      <rPr>
        <vertAlign val="subscript"/>
        <sz val="11"/>
        <color theme="1"/>
        <rFont val="宋体"/>
        <family val="2"/>
        <scheme val="minor"/>
      </rPr>
      <t>IOUT1</t>
    </r>
    <r>
      <rPr>
        <sz val="11"/>
        <color theme="1"/>
        <rFont val="宋体"/>
        <family val="2"/>
        <scheme val="minor"/>
      </rPr>
      <t>, C</t>
    </r>
    <r>
      <rPr>
        <vertAlign val="subscript"/>
        <sz val="11"/>
        <color theme="1"/>
        <rFont val="宋体"/>
        <family val="2"/>
        <scheme val="minor"/>
      </rPr>
      <t>IOUT2</t>
    </r>
    <r>
      <rPr>
        <sz val="11"/>
        <color theme="1"/>
        <rFont val="宋体"/>
        <family val="2"/>
        <scheme val="minor"/>
      </rPr>
      <t>)</t>
    </r>
  </si>
  <si>
    <r>
      <t>Calculated R</t>
    </r>
    <r>
      <rPr>
        <vertAlign val="subscript"/>
        <sz val="11"/>
        <color theme="1"/>
        <rFont val="宋体"/>
        <family val="2"/>
        <scheme val="minor"/>
      </rPr>
      <t>COMP1</t>
    </r>
    <r>
      <rPr>
        <sz val="11"/>
        <color theme="1"/>
        <rFont val="宋体"/>
        <family val="2"/>
        <scheme val="minor"/>
      </rPr>
      <t>, R</t>
    </r>
    <r>
      <rPr>
        <vertAlign val="subscript"/>
        <sz val="11"/>
        <color theme="1"/>
        <rFont val="宋体"/>
        <family val="2"/>
        <scheme val="minor"/>
      </rPr>
      <t>COMP2</t>
    </r>
  </si>
  <si>
    <r>
      <t>Selected R</t>
    </r>
    <r>
      <rPr>
        <vertAlign val="subscript"/>
        <sz val="11"/>
        <color theme="1"/>
        <rFont val="宋体"/>
        <family val="2"/>
        <scheme val="minor"/>
      </rPr>
      <t>COMP1</t>
    </r>
    <r>
      <rPr>
        <sz val="11"/>
        <color theme="1"/>
        <rFont val="宋体"/>
        <family val="2"/>
        <scheme val="minor"/>
      </rPr>
      <t>, R</t>
    </r>
    <r>
      <rPr>
        <vertAlign val="subscript"/>
        <sz val="11"/>
        <color theme="1"/>
        <rFont val="宋体"/>
        <family val="2"/>
        <scheme val="minor"/>
      </rPr>
      <t>COMP2</t>
    </r>
  </si>
  <si>
    <r>
      <t>Selected C</t>
    </r>
    <r>
      <rPr>
        <vertAlign val="subscript"/>
        <sz val="11"/>
        <color theme="1"/>
        <rFont val="宋体"/>
        <family val="2"/>
        <scheme val="minor"/>
      </rPr>
      <t>COMP1</t>
    </r>
    <r>
      <rPr>
        <sz val="11"/>
        <color theme="1"/>
        <rFont val="宋体"/>
        <family val="2"/>
        <scheme val="minor"/>
      </rPr>
      <t>, C</t>
    </r>
    <r>
      <rPr>
        <vertAlign val="subscript"/>
        <sz val="11"/>
        <color theme="1"/>
        <rFont val="宋体"/>
        <family val="2"/>
        <scheme val="minor"/>
      </rPr>
      <t>COMP2</t>
    </r>
  </si>
  <si>
    <r>
      <t>Calculated C</t>
    </r>
    <r>
      <rPr>
        <vertAlign val="subscript"/>
        <sz val="11"/>
        <color theme="1"/>
        <rFont val="宋体"/>
        <family val="2"/>
        <scheme val="minor"/>
      </rPr>
      <t>COMP1</t>
    </r>
    <r>
      <rPr>
        <sz val="11"/>
        <color theme="1"/>
        <rFont val="宋体"/>
        <family val="2"/>
        <scheme val="minor"/>
      </rPr>
      <t>, C</t>
    </r>
    <r>
      <rPr>
        <vertAlign val="subscript"/>
        <sz val="11"/>
        <color theme="1"/>
        <rFont val="宋体"/>
        <family val="2"/>
        <scheme val="minor"/>
      </rPr>
      <t>COMP2</t>
    </r>
  </si>
  <si>
    <r>
      <t>Selected C</t>
    </r>
    <r>
      <rPr>
        <vertAlign val="subscript"/>
        <sz val="11"/>
        <color theme="1"/>
        <rFont val="宋体"/>
        <family val="2"/>
        <scheme val="minor"/>
      </rPr>
      <t>HF1</t>
    </r>
    <r>
      <rPr>
        <sz val="11"/>
        <color theme="1"/>
        <rFont val="宋体"/>
        <family val="2"/>
        <scheme val="minor"/>
      </rPr>
      <t>, C</t>
    </r>
    <r>
      <rPr>
        <vertAlign val="subscript"/>
        <sz val="11"/>
        <color theme="1"/>
        <rFont val="宋体"/>
        <family val="2"/>
        <scheme val="minor"/>
      </rPr>
      <t>HF2</t>
    </r>
  </si>
  <si>
    <r>
      <t>Calculated C</t>
    </r>
    <r>
      <rPr>
        <vertAlign val="subscript"/>
        <sz val="11"/>
        <color theme="1"/>
        <rFont val="宋体"/>
        <family val="2"/>
        <scheme val="minor"/>
      </rPr>
      <t>HF1</t>
    </r>
    <r>
      <rPr>
        <sz val="11"/>
        <color theme="1"/>
        <rFont val="宋体"/>
        <family val="2"/>
        <scheme val="minor"/>
      </rPr>
      <t>, C</t>
    </r>
    <r>
      <rPr>
        <vertAlign val="subscript"/>
        <sz val="11"/>
        <color theme="1"/>
        <rFont val="宋体"/>
        <family val="2"/>
        <scheme val="minor"/>
      </rPr>
      <t>HF2</t>
    </r>
  </si>
  <si>
    <r>
      <t>Compensation Pole Location (F</t>
    </r>
    <r>
      <rPr>
        <vertAlign val="subscript"/>
        <sz val="11"/>
        <color theme="1"/>
        <rFont val="宋体"/>
        <family val="2"/>
        <scheme val="minor"/>
      </rPr>
      <t>Pcomp</t>
    </r>
    <r>
      <rPr>
        <sz val="11"/>
        <color theme="1"/>
        <rFont val="宋体"/>
        <family val="2"/>
        <scheme val="minor"/>
      </rPr>
      <t>)</t>
    </r>
  </si>
  <si>
    <r>
      <t>Compensation Zero Location (F</t>
    </r>
    <r>
      <rPr>
        <vertAlign val="subscript"/>
        <sz val="11"/>
        <color theme="1"/>
        <rFont val="宋体"/>
        <family val="2"/>
        <scheme val="minor"/>
      </rPr>
      <t>Zcomp</t>
    </r>
    <r>
      <rPr>
        <sz val="11"/>
        <color theme="1"/>
        <rFont val="宋体"/>
        <family val="2"/>
        <scheme val="minor"/>
      </rPr>
      <t>)</t>
    </r>
  </si>
  <si>
    <t>V48_Min to V12_NOM</t>
  </si>
  <si>
    <t>V12_Min to V48_Nom</t>
  </si>
  <si>
    <t>V12_Nom to V48_Nom</t>
  </si>
  <si>
    <t>V12_Max to V48_Nom</t>
  </si>
  <si>
    <t>V48_Nom to V12_Max (Inductor AVG Current)</t>
  </si>
  <si>
    <t>V48_Nom to V12_Max (Current Sense Voltage)</t>
  </si>
  <si>
    <t>V48_Nom to V12_Min (Inductor AVG Current)</t>
  </si>
  <si>
    <t>V48_Nom to V12_Min (Current Sense Voltage)</t>
  </si>
  <si>
    <t>Duty Cycle</t>
  </si>
  <si>
    <t>DCM Boundary</t>
  </si>
  <si>
    <t>V48 Nom / V12 Min</t>
  </si>
  <si>
    <t>Current Loop</t>
  </si>
  <si>
    <t>Voltage Loop</t>
  </si>
  <si>
    <t>Feedforward Gain</t>
  </si>
  <si>
    <t>Current Sense Gain</t>
  </si>
  <si>
    <t>Constants</t>
  </si>
  <si>
    <t>ISETA to VO</t>
  </si>
  <si>
    <t>Boost Mode Voltage Loop Transfer Functions</t>
  </si>
  <si>
    <t>Voltage Loop Error Amp</t>
  </si>
  <si>
    <t>Current Loop Error Amp</t>
  </si>
  <si>
    <t>Total Loop</t>
  </si>
  <si>
    <t>Boost Mode Voltage Loop Compensation</t>
  </si>
  <si>
    <t>Boost Mode RHP Zero</t>
  </si>
  <si>
    <t xml:space="preserve">Something is </t>
  </si>
  <si>
    <t>Buck Mode Loop Compensation</t>
  </si>
  <si>
    <t>Boost Mode Low Frequency Pole</t>
  </si>
  <si>
    <t>Selected Boost Mode Crossover Frequnecy</t>
  </si>
  <si>
    <t>Suggest Boost Mode Crossover Frequnecy</t>
  </si>
  <si>
    <t>hZ</t>
  </si>
  <si>
    <t>Type II Compensation Design</t>
  </si>
  <si>
    <t>Simplified system based on assuming that the inductor is an ideal current source</t>
  </si>
  <si>
    <t>Output impedance at full load</t>
  </si>
  <si>
    <t>Boost Crossover Frequency</t>
  </si>
  <si>
    <t>Modulator Gain at Selected Crossover Frequency</t>
  </si>
  <si>
    <t>dB</t>
  </si>
  <si>
    <t>Load Resistance</t>
  </si>
  <si>
    <t>Buck Mode Low Frequency Pole</t>
  </si>
  <si>
    <t>Suggest that the cross over frequency be 1/5 of the RHP Zero</t>
  </si>
  <si>
    <t>Calculated Rcomp</t>
  </si>
  <si>
    <t>Suggested Zero Location</t>
  </si>
  <si>
    <t>Just set this a switching frequency</t>
  </si>
  <si>
    <t>HZ</t>
  </si>
  <si>
    <t>Suggested Pole Location</t>
  </si>
  <si>
    <t>Selected Top Feedback Resistor</t>
  </si>
  <si>
    <t>Selected Bottom Feedback Resistor</t>
  </si>
  <si>
    <t>Selected Rcomp Value</t>
  </si>
  <si>
    <t>Selected Ccomp Value</t>
  </si>
  <si>
    <t>Calculated Ccomp value</t>
  </si>
  <si>
    <t>Calculated Chf Value</t>
  </si>
  <si>
    <t>Selected CHF value</t>
  </si>
  <si>
    <t>F</t>
  </si>
  <si>
    <r>
      <t>Calculated C</t>
    </r>
    <r>
      <rPr>
        <vertAlign val="subscript"/>
        <sz val="11"/>
        <color theme="1"/>
        <rFont val="宋体"/>
        <family val="2"/>
        <scheme val="minor"/>
      </rPr>
      <t>COMP Boost</t>
    </r>
  </si>
  <si>
    <r>
      <t>Selected R</t>
    </r>
    <r>
      <rPr>
        <vertAlign val="subscript"/>
        <sz val="11"/>
        <color theme="1"/>
        <rFont val="宋体"/>
        <family val="2"/>
        <scheme val="minor"/>
      </rPr>
      <t>COMP Boost</t>
    </r>
  </si>
  <si>
    <r>
      <t>Calculated R</t>
    </r>
    <r>
      <rPr>
        <vertAlign val="subscript"/>
        <sz val="11"/>
        <color theme="1"/>
        <rFont val="宋体"/>
        <family val="2"/>
        <scheme val="minor"/>
      </rPr>
      <t>COMP Boost</t>
    </r>
  </si>
  <si>
    <r>
      <t>Selected C</t>
    </r>
    <r>
      <rPr>
        <vertAlign val="subscript"/>
        <sz val="11"/>
        <color theme="1"/>
        <rFont val="宋体"/>
        <family val="2"/>
        <scheme val="minor"/>
      </rPr>
      <t>COMP Boost</t>
    </r>
  </si>
  <si>
    <r>
      <t>Calculated C</t>
    </r>
    <r>
      <rPr>
        <vertAlign val="subscript"/>
        <sz val="11"/>
        <color theme="1"/>
        <rFont val="宋体"/>
        <family val="2"/>
        <scheme val="minor"/>
      </rPr>
      <t>HF Boost</t>
    </r>
  </si>
  <si>
    <r>
      <t>Selected C</t>
    </r>
    <r>
      <rPr>
        <vertAlign val="subscript"/>
        <sz val="11"/>
        <color theme="1"/>
        <rFont val="宋体"/>
        <family val="2"/>
        <scheme val="minor"/>
      </rPr>
      <t>HF Boost</t>
    </r>
  </si>
  <si>
    <t>Suggested Crossover Frequency</t>
  </si>
  <si>
    <t>Selected Reference Voltage</t>
  </si>
  <si>
    <t>Calculated Top Feedback Resistor</t>
  </si>
  <si>
    <t>Actual Zero Location</t>
  </si>
  <si>
    <t>Actual Pole Location</t>
  </si>
  <si>
    <t>Assuming that the current loop gain is large enough. Simple equation</t>
  </si>
  <si>
    <t>Buck Mode High Frequency Zero</t>
  </si>
  <si>
    <t>Suggest Buck Mode Crossover Frequnecy</t>
  </si>
  <si>
    <t>Selected Buck Mode Crossover Frequnecy</t>
  </si>
  <si>
    <t>ESR Zero Location</t>
  </si>
  <si>
    <t>Set the Cross over Frequency to 1/10 of the selected current loop crossover frequency</t>
  </si>
  <si>
    <t>Buck Crossover Frequency</t>
  </si>
  <si>
    <t>Current Loop Error Armp</t>
  </si>
  <si>
    <t>ISETA to VOUT Plant</t>
  </si>
  <si>
    <t>Compensator Zero</t>
  </si>
  <si>
    <t>Compensator Pole</t>
  </si>
  <si>
    <t>Plant Low Frequency Pole</t>
  </si>
  <si>
    <t>Compensation Zero</t>
  </si>
  <si>
    <t>Compensation Pole</t>
  </si>
  <si>
    <t xml:space="preserve">Low Frequency Pole </t>
  </si>
  <si>
    <t xml:space="preserve">RHP Zero </t>
  </si>
  <si>
    <r>
      <t>Selected C</t>
    </r>
    <r>
      <rPr>
        <vertAlign val="subscript"/>
        <sz val="11"/>
        <color theme="1"/>
        <rFont val="宋体"/>
        <family val="2"/>
        <scheme val="minor"/>
      </rPr>
      <t>HF Buck</t>
    </r>
  </si>
  <si>
    <r>
      <t>Calculated C</t>
    </r>
    <r>
      <rPr>
        <vertAlign val="subscript"/>
        <sz val="11"/>
        <color theme="1"/>
        <rFont val="宋体"/>
        <family val="2"/>
        <scheme val="minor"/>
      </rPr>
      <t>HF Buck</t>
    </r>
  </si>
  <si>
    <r>
      <t>Calculated R</t>
    </r>
    <r>
      <rPr>
        <vertAlign val="subscript"/>
        <sz val="11"/>
        <color theme="1"/>
        <rFont val="宋体"/>
        <family val="2"/>
        <scheme val="minor"/>
      </rPr>
      <t>COMP Buck</t>
    </r>
  </si>
  <si>
    <r>
      <t>Selected R</t>
    </r>
    <r>
      <rPr>
        <vertAlign val="subscript"/>
        <sz val="11"/>
        <color theme="1"/>
        <rFont val="宋体"/>
        <family val="2"/>
        <scheme val="minor"/>
      </rPr>
      <t>COMP Buck</t>
    </r>
  </si>
  <si>
    <r>
      <t>Calculated C</t>
    </r>
    <r>
      <rPr>
        <vertAlign val="subscript"/>
        <sz val="11"/>
        <color theme="1"/>
        <rFont val="宋体"/>
        <family val="2"/>
        <scheme val="minor"/>
      </rPr>
      <t>COMP Buck</t>
    </r>
  </si>
  <si>
    <r>
      <t>Selected C</t>
    </r>
    <r>
      <rPr>
        <vertAlign val="subscript"/>
        <sz val="11"/>
        <color theme="1"/>
        <rFont val="宋体"/>
        <family val="2"/>
        <scheme val="minor"/>
      </rPr>
      <t>COMP Buck</t>
    </r>
  </si>
  <si>
    <t>Buck Mode Type II Compensation</t>
  </si>
  <si>
    <t>11. Buck Mode Voltage Loop Compensation</t>
  </si>
  <si>
    <t>Boost Mode Type II Compensation</t>
  </si>
  <si>
    <t xml:space="preserve">                              LM5170 Bi-Directional DC/DC Converter Design Tool</t>
  </si>
  <si>
    <t>7. Undervoltage Protection</t>
  </si>
  <si>
    <r>
      <t>Calculated High-Side Resistor (R</t>
    </r>
    <r>
      <rPr>
        <vertAlign val="subscript"/>
        <sz val="11"/>
        <color theme="1"/>
        <rFont val="宋体"/>
        <family val="2"/>
        <scheme val="minor"/>
      </rPr>
      <t>UVLO1</t>
    </r>
    <r>
      <rPr>
        <sz val="11"/>
        <color theme="1"/>
        <rFont val="宋体"/>
        <family val="2"/>
        <scheme val="minor"/>
      </rPr>
      <t>)</t>
    </r>
  </si>
  <si>
    <r>
      <t>Calculated IOUT Resistor (R</t>
    </r>
    <r>
      <rPr>
        <vertAlign val="subscript"/>
        <sz val="11"/>
        <color theme="1"/>
        <rFont val="宋体"/>
        <family val="2"/>
        <scheme val="minor"/>
      </rPr>
      <t>IOUT1</t>
    </r>
    <r>
      <rPr>
        <sz val="11"/>
        <color theme="1"/>
        <rFont val="宋体"/>
        <family val="2"/>
        <scheme val="minor"/>
      </rPr>
      <t>, R</t>
    </r>
    <r>
      <rPr>
        <vertAlign val="subscript"/>
        <sz val="11"/>
        <color theme="1"/>
        <rFont val="宋体"/>
        <family val="2"/>
        <scheme val="minor"/>
      </rPr>
      <t>IOUT2</t>
    </r>
    <r>
      <rPr>
        <sz val="11"/>
        <color theme="1"/>
        <rFont val="宋体"/>
        <family val="2"/>
        <scheme val="minor"/>
      </rPr>
      <t>)</t>
    </r>
  </si>
  <si>
    <r>
      <t>Calculated Dead Time Resistor (R</t>
    </r>
    <r>
      <rPr>
        <vertAlign val="subscript"/>
        <sz val="11"/>
        <color theme="1"/>
        <rFont val="宋体"/>
        <family val="2"/>
        <scheme val="minor"/>
      </rPr>
      <t>DT</t>
    </r>
    <r>
      <rPr>
        <sz val="11"/>
        <color theme="1"/>
        <rFont val="宋体"/>
        <family val="2"/>
        <scheme val="minor"/>
      </rPr>
      <t>)</t>
    </r>
  </si>
  <si>
    <r>
      <t>Suggested Loop Crossover Frequency (F</t>
    </r>
    <r>
      <rPr>
        <vertAlign val="subscript"/>
        <sz val="11"/>
        <color theme="1"/>
        <rFont val="宋体"/>
        <family val="2"/>
        <scheme val="minor"/>
      </rPr>
      <t>CO</t>
    </r>
    <r>
      <rPr>
        <sz val="11"/>
        <color theme="1"/>
        <rFont val="宋体"/>
        <family val="2"/>
        <scheme val="minor"/>
      </rPr>
      <t>)</t>
    </r>
  </si>
  <si>
    <r>
      <t>Selected Loop Crossover Frequency (F</t>
    </r>
    <r>
      <rPr>
        <vertAlign val="subscript"/>
        <sz val="11"/>
        <color theme="1"/>
        <rFont val="宋体"/>
        <family val="2"/>
        <scheme val="minor"/>
      </rPr>
      <t>CO</t>
    </r>
    <r>
      <rPr>
        <sz val="11"/>
        <color theme="1"/>
        <rFont val="宋体"/>
        <family val="2"/>
        <scheme val="minor"/>
      </rPr>
      <t>)</t>
    </r>
  </si>
  <si>
    <t xml:space="preserve">1. Design Parameters </t>
  </si>
  <si>
    <r>
      <t>Oscillator Set Resistor (R</t>
    </r>
    <r>
      <rPr>
        <vertAlign val="subscript"/>
        <sz val="11"/>
        <color theme="1"/>
        <rFont val="宋体"/>
        <family val="2"/>
        <scheme val="minor"/>
      </rPr>
      <t>OSC</t>
    </r>
    <r>
      <rPr>
        <sz val="11"/>
        <color theme="1"/>
        <rFont val="宋体"/>
        <family val="2"/>
        <scheme val="minor"/>
      </rPr>
      <t>)</t>
    </r>
  </si>
  <si>
    <t>Peak-to-Peak Ripple Ratio</t>
  </si>
  <si>
    <t>Calculated Inductance Value</t>
  </si>
  <si>
    <r>
      <t>Selected Inductance Value (L</t>
    </r>
    <r>
      <rPr>
        <vertAlign val="subscript"/>
        <sz val="11"/>
        <color theme="1"/>
        <rFont val="宋体"/>
        <family val="2"/>
        <scheme val="minor"/>
      </rPr>
      <t>M1</t>
    </r>
    <r>
      <rPr>
        <sz val="11"/>
        <color theme="1"/>
        <rFont val="宋体"/>
        <family val="2"/>
        <scheme val="minor"/>
      </rPr>
      <t>,L</t>
    </r>
    <r>
      <rPr>
        <vertAlign val="subscript"/>
        <sz val="11"/>
        <color theme="1"/>
        <rFont val="宋体"/>
        <family val="2"/>
        <scheme val="minor"/>
      </rPr>
      <t>M2</t>
    </r>
    <r>
      <rPr>
        <sz val="11"/>
        <color theme="1"/>
        <rFont val="宋体"/>
        <family val="2"/>
        <scheme val="minor"/>
      </rPr>
      <t>)</t>
    </r>
  </si>
  <si>
    <t>Maximum Inductor Peak Current</t>
  </si>
  <si>
    <t>RAMP Peak Voltage at HV Port Minimum</t>
  </si>
  <si>
    <t>RAMP Peak Voltage at HV Port Nominal</t>
  </si>
  <si>
    <t>RAMP Peak Voltage at HV Port Maximum</t>
  </si>
  <si>
    <r>
      <t>Maximum V</t>
    </r>
    <r>
      <rPr>
        <vertAlign val="subscript"/>
        <sz val="11"/>
        <color theme="1"/>
        <rFont val="宋体"/>
        <family val="2"/>
        <scheme val="minor"/>
      </rPr>
      <t>IOUT</t>
    </r>
    <r>
      <rPr>
        <sz val="11"/>
        <color theme="1"/>
        <rFont val="宋体"/>
        <family val="2"/>
        <scheme val="minor"/>
      </rPr>
      <t xml:space="preserve"> at V</t>
    </r>
    <r>
      <rPr>
        <vertAlign val="subscript"/>
        <sz val="11"/>
        <color theme="1"/>
        <rFont val="宋体"/>
        <family val="2"/>
        <scheme val="minor"/>
      </rPr>
      <t>RCS</t>
    </r>
    <r>
      <rPr>
        <sz val="11"/>
        <color theme="1"/>
        <rFont val="宋体"/>
        <family val="2"/>
        <scheme val="minor"/>
      </rPr>
      <t xml:space="preserve"> = 50mV</t>
    </r>
  </si>
  <si>
    <r>
      <t>V</t>
    </r>
    <r>
      <rPr>
        <vertAlign val="subscript"/>
        <sz val="11"/>
        <color theme="1"/>
        <rFont val="宋体"/>
        <family val="2"/>
        <scheme val="minor"/>
      </rPr>
      <t>IOUT</t>
    </r>
    <r>
      <rPr>
        <sz val="11"/>
        <color theme="1"/>
        <rFont val="宋体"/>
        <family val="2"/>
        <scheme val="minor"/>
      </rPr>
      <t xml:space="preserve"> at No Load (V</t>
    </r>
    <r>
      <rPr>
        <vertAlign val="subscript"/>
        <sz val="11"/>
        <color theme="1"/>
        <rFont val="宋体"/>
        <family val="2"/>
        <scheme val="minor"/>
      </rPr>
      <t>RCS</t>
    </r>
    <r>
      <rPr>
        <sz val="11"/>
        <color theme="1"/>
        <rFont val="宋体"/>
        <family val="2"/>
        <scheme val="minor"/>
      </rPr>
      <t xml:space="preserve"> = 0mV)</t>
    </r>
  </si>
  <si>
    <r>
      <t>V</t>
    </r>
    <r>
      <rPr>
        <vertAlign val="subscript"/>
        <sz val="11"/>
        <color theme="1"/>
        <rFont val="宋体"/>
        <family val="2"/>
        <scheme val="minor"/>
      </rPr>
      <t>IOUT</t>
    </r>
    <r>
      <rPr>
        <sz val="11"/>
        <color theme="1"/>
        <rFont val="宋体"/>
        <family val="2"/>
        <scheme val="minor"/>
      </rPr>
      <t xml:space="preserve"> at Full Load (V</t>
    </r>
    <r>
      <rPr>
        <vertAlign val="subscript"/>
        <sz val="11"/>
        <color theme="1"/>
        <rFont val="宋体"/>
        <family val="2"/>
        <scheme val="minor"/>
      </rPr>
      <t>RCS</t>
    </r>
    <r>
      <rPr>
        <sz val="11"/>
        <color theme="1"/>
        <rFont val="宋体"/>
        <family val="2"/>
        <scheme val="minor"/>
      </rPr>
      <t xml:space="preserve"> = 50mV)</t>
    </r>
  </si>
  <si>
    <r>
      <t>Delta V</t>
    </r>
    <r>
      <rPr>
        <vertAlign val="subscript"/>
        <sz val="11"/>
        <color theme="1"/>
        <rFont val="宋体"/>
        <family val="2"/>
        <scheme val="minor"/>
      </rPr>
      <t xml:space="preserve">IOUT </t>
    </r>
    <r>
      <rPr>
        <sz val="11"/>
        <color theme="1"/>
        <rFont val="宋体"/>
        <family val="2"/>
        <scheme val="minor"/>
      </rPr>
      <t>at Full Load</t>
    </r>
  </si>
  <si>
    <r>
      <t>R</t>
    </r>
    <r>
      <rPr>
        <vertAlign val="subscript"/>
        <sz val="11"/>
        <color theme="1"/>
        <rFont val="宋体"/>
        <family val="2"/>
        <scheme val="minor"/>
      </rPr>
      <t>IOUT</t>
    </r>
    <r>
      <rPr>
        <sz val="11"/>
        <color theme="1"/>
        <rFont val="宋体"/>
        <family val="2"/>
        <scheme val="minor"/>
      </rPr>
      <t xml:space="preserve"> C</t>
    </r>
    <r>
      <rPr>
        <vertAlign val="subscript"/>
        <sz val="11"/>
        <color theme="1"/>
        <rFont val="宋体"/>
        <family val="2"/>
        <scheme val="minor"/>
      </rPr>
      <t>IOUT</t>
    </r>
    <r>
      <rPr>
        <sz val="11"/>
        <color theme="1"/>
        <rFont val="宋体"/>
        <family val="2"/>
        <scheme val="minor"/>
      </rPr>
      <t xml:space="preserve"> Corner Frequency</t>
    </r>
  </si>
  <si>
    <t>12. Boost Mode Voltage Loop Compensation</t>
  </si>
  <si>
    <r>
      <t>Selected Reference Voltage (V</t>
    </r>
    <r>
      <rPr>
        <vertAlign val="subscript"/>
        <sz val="11"/>
        <color theme="1"/>
        <rFont val="宋体"/>
        <family val="2"/>
        <scheme val="minor"/>
      </rPr>
      <t>REF</t>
    </r>
    <r>
      <rPr>
        <sz val="11"/>
        <color theme="1"/>
        <rFont val="宋体"/>
        <family val="2"/>
        <scheme val="minor"/>
      </rPr>
      <t>)</t>
    </r>
  </si>
  <si>
    <r>
      <t>Selected Bottom Feedback Resistor(R</t>
    </r>
    <r>
      <rPr>
        <vertAlign val="subscript"/>
        <sz val="11"/>
        <color theme="1"/>
        <rFont val="宋体"/>
        <family val="2"/>
        <scheme val="minor"/>
      </rPr>
      <t>FB_Bottom</t>
    </r>
    <r>
      <rPr>
        <sz val="11"/>
        <color theme="1"/>
        <rFont val="宋体"/>
        <family val="2"/>
        <scheme val="minor"/>
      </rPr>
      <t>)</t>
    </r>
  </si>
  <si>
    <r>
      <t>Selected Resistor Top Feedback Resistor (R</t>
    </r>
    <r>
      <rPr>
        <vertAlign val="subscript"/>
        <sz val="11"/>
        <color theme="1"/>
        <rFont val="宋体"/>
        <family val="2"/>
        <scheme val="minor"/>
      </rPr>
      <t>FB_Top</t>
    </r>
    <r>
      <rPr>
        <sz val="11"/>
        <color theme="1"/>
        <rFont val="宋体"/>
        <family val="2"/>
        <scheme val="minor"/>
      </rPr>
      <t>)</t>
    </r>
  </si>
  <si>
    <r>
      <t>Suggested Top Feedback Resistor (R</t>
    </r>
    <r>
      <rPr>
        <vertAlign val="subscript"/>
        <sz val="11"/>
        <color theme="1"/>
        <rFont val="宋体"/>
        <family val="2"/>
        <scheme val="minor"/>
      </rPr>
      <t>FB_Top</t>
    </r>
    <r>
      <rPr>
        <sz val="11"/>
        <color theme="1"/>
        <rFont val="宋体"/>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</si>
</sst>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00000"/>
    <numFmt numFmtId="179" formatCode="0.0000"/>
    <numFmt numFmtId="180" formatCode="0.00000"/>
  </numFmts>
  <fonts count="21">
    <font>
      <sz val="11"/>
      <color theme="1"/>
      <name val="宋体"/>
      <family val="2"/>
      <scheme val="minor"/>
    </font>
    <font>
      <sz val="11"/>
      <color theme="1"/>
      <name val="Calibri"/>
      <family val="2"/>
    </font>
    <font>
      <sz val="9"/>
      <color indexed="81"/>
      <name val="Tahoma"/>
      <family val="2"/>
    </font>
    <font>
      <b/>
      <sz val="9"/>
      <color indexed="81"/>
      <name val="Tahoma"/>
      <family val="2"/>
    </font>
    <font>
      <sz val="24"/>
      <color theme="1"/>
      <name val="宋体"/>
      <family val="2"/>
      <scheme val="minor"/>
    </font>
    <font>
      <b/>
      <sz val="14"/>
      <color theme="1"/>
      <name val="宋体"/>
      <family val="2"/>
      <scheme val="minor"/>
    </font>
    <font>
      <u/>
      <sz val="11"/>
      <color theme="1"/>
      <name val="宋体"/>
      <family val="2"/>
      <scheme val="minor"/>
    </font>
    <font>
      <b/>
      <sz val="11"/>
      <color theme="1"/>
      <name val="宋体"/>
      <family val="2"/>
      <scheme val="minor"/>
    </font>
    <font>
      <sz val="11"/>
      <color theme="0"/>
      <name val="宋体"/>
      <family val="2"/>
      <scheme val="minor"/>
    </font>
    <font>
      <sz val="16"/>
      <color theme="1"/>
      <name val="宋体"/>
      <family val="2"/>
      <scheme val="minor"/>
    </font>
    <font>
      <sz val="28"/>
      <color theme="0"/>
      <name val="宋体"/>
      <family val="2"/>
      <scheme val="minor"/>
    </font>
    <font>
      <b/>
      <sz val="14"/>
      <color rgb="FF0070C0"/>
      <name val="宋体"/>
      <family val="2"/>
      <scheme val="minor"/>
    </font>
    <font>
      <vertAlign val="subscript"/>
      <sz val="11"/>
      <color theme="1"/>
      <name val="宋体"/>
      <family val="2"/>
      <scheme val="minor"/>
    </font>
    <font>
      <b/>
      <sz val="16"/>
      <color theme="1"/>
      <name val="宋体"/>
      <family val="2"/>
      <scheme val="minor"/>
    </font>
    <font>
      <b/>
      <u/>
      <sz val="9"/>
      <color indexed="81"/>
      <name val="Tahoma"/>
      <family val="2"/>
    </font>
    <font>
      <b/>
      <vertAlign val="subscript"/>
      <sz val="9"/>
      <color indexed="81"/>
      <name val="Tahoma"/>
      <family val="2"/>
    </font>
    <font>
      <vertAlign val="subscript"/>
      <sz val="9"/>
      <color indexed="81"/>
      <name val="Tahoma"/>
      <family val="2"/>
    </font>
    <font>
      <u/>
      <sz val="9"/>
      <color indexed="81"/>
      <name val="Tahoma"/>
      <family val="2"/>
    </font>
    <font>
      <u/>
      <sz val="9"/>
      <color indexed="81"/>
      <name val="Calibri"/>
      <family val="2"/>
    </font>
    <font>
      <sz val="9"/>
      <color indexed="81"/>
      <name val="Calibri"/>
      <family val="2"/>
    </font>
    <font>
      <sz val="9"/>
      <name val="宋体"/>
      <family val="3"/>
      <charset val="136"/>
      <scheme val="minor"/>
    </font>
  </fonts>
  <fills count="11">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1">
    <xf numFmtId="0" fontId="0" fillId="0" borderId="0"/>
  </cellStyleXfs>
  <cellXfs count="240">
    <xf numFmtId="0" fontId="0" fillId="0" borderId="0" xfId="0"/>
    <xf numFmtId="0" fontId="0" fillId="0" borderId="1" xfId="0" applyBorder="1"/>
    <xf numFmtId="0" fontId="0" fillId="0" borderId="0" xfId="0" applyAlignment="1">
      <alignment horizontal="center" wrapText="1"/>
    </xf>
    <xf numFmtId="0" fontId="0" fillId="0" borderId="6" xfId="0" applyBorder="1" applyAlignment="1">
      <alignment horizontal="center" wrapText="1"/>
    </xf>
    <xf numFmtId="0" fontId="0" fillId="0" borderId="0" xfId="0" applyBorder="1" applyAlignment="1">
      <alignment horizontal="center" wrapText="1"/>
    </xf>
    <xf numFmtId="0" fontId="0" fillId="0" borderId="7" xfId="0" applyBorder="1" applyAlignment="1">
      <alignment horizontal="center" wrapText="1"/>
    </xf>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0" fillId="0" borderId="24"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0" xfId="0" applyAlignment="1"/>
    <xf numFmtId="0" fontId="0" fillId="0" borderId="0" xfId="0" applyAlignment="1">
      <alignment wrapText="1"/>
    </xf>
    <xf numFmtId="0" fontId="0" fillId="0" borderId="0" xfId="0" applyAlignment="1">
      <alignment horizontal="center" vertical="center" wrapText="1"/>
    </xf>
    <xf numFmtId="0" fontId="0" fillId="0" borderId="28" xfId="0" applyBorder="1"/>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7" fontId="0" fillId="0" borderId="8" xfId="0" applyNumberFormat="1" applyBorder="1"/>
    <xf numFmtId="0" fontId="0" fillId="0" borderId="6" xfId="0" applyBorder="1"/>
    <xf numFmtId="0" fontId="0" fillId="0" borderId="29" xfId="0" applyBorder="1"/>
    <xf numFmtId="0" fontId="4" fillId="0" borderId="0" xfId="0" applyFont="1" applyAlignment="1"/>
    <xf numFmtId="0" fontId="4" fillId="0" borderId="0" xfId="0" applyFont="1" applyAlignment="1">
      <alignment horizontal="left" vertical="center"/>
    </xf>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left" vertical="center" wrapText="1"/>
    </xf>
    <xf numFmtId="0" fontId="0" fillId="5" borderId="0" xfId="0" applyFill="1"/>
    <xf numFmtId="0" fontId="0" fillId="6" borderId="0" xfId="0" applyFill="1"/>
    <xf numFmtId="0" fontId="0" fillId="2" borderId="0" xfId="0" applyFill="1"/>
    <xf numFmtId="0" fontId="0" fillId="7" borderId="0" xfId="0" applyFill="1"/>
    <xf numFmtId="0" fontId="0" fillId="0" borderId="0" xfId="0" applyAlignment="1">
      <alignment horizontal="center"/>
    </xf>
    <xf numFmtId="0" fontId="0" fillId="0" borderId="27" xfId="0" applyBorder="1" applyAlignment="1">
      <alignment horizontal="center"/>
    </xf>
    <xf numFmtId="0" fontId="0" fillId="0" borderId="9" xfId="0" applyBorder="1" applyAlignment="1">
      <alignment horizontal="left"/>
    </xf>
    <xf numFmtId="0" fontId="1" fillId="0" borderId="0" xfId="0" applyFont="1"/>
    <xf numFmtId="0" fontId="0" fillId="0" borderId="0" xfId="0" applyFill="1" applyBorder="1"/>
    <xf numFmtId="0" fontId="0" fillId="0" borderId="0" xfId="0" applyAlignment="1">
      <alignment horizontal="center"/>
    </xf>
    <xf numFmtId="0" fontId="0" fillId="0" borderId="0" xfId="0" applyBorder="1" applyAlignment="1">
      <alignment horizontal="left"/>
    </xf>
    <xf numFmtId="0" fontId="0" fillId="0" borderId="1"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0" xfId="0" applyAlignment="1">
      <alignment horizontal="left" wrapText="1"/>
    </xf>
    <xf numFmtId="0" fontId="0" fillId="5" borderId="1" xfId="0" applyFill="1" applyBorder="1" applyAlignment="1">
      <alignment horizontal="right"/>
    </xf>
    <xf numFmtId="0" fontId="0" fillId="6" borderId="1" xfId="0" applyFill="1" applyBorder="1" applyAlignment="1">
      <alignment horizontal="right"/>
    </xf>
    <xf numFmtId="48" fontId="0" fillId="2" borderId="1" xfId="0" applyNumberFormat="1" applyFill="1" applyBorder="1" applyAlignment="1">
      <alignment horizontal="right"/>
    </xf>
    <xf numFmtId="0" fontId="0" fillId="7" borderId="1" xfId="0" applyFill="1" applyBorder="1" applyAlignment="1">
      <alignment horizontal="right"/>
    </xf>
    <xf numFmtId="0" fontId="0" fillId="0" borderId="1" xfId="0" applyBorder="1" applyAlignment="1">
      <alignment horizontal="right"/>
    </xf>
    <xf numFmtId="2" fontId="0" fillId="6" borderId="1" xfId="0" applyNumberFormat="1" applyFill="1" applyBorder="1" applyAlignment="1">
      <alignment horizontal="right"/>
    </xf>
    <xf numFmtId="176" fontId="0" fillId="5" borderId="1" xfId="0" applyNumberFormat="1" applyFill="1" applyBorder="1" applyAlignment="1">
      <alignment horizontal="right"/>
    </xf>
    <xf numFmtId="176" fontId="0" fillId="6" borderId="1" xfId="0" applyNumberFormat="1" applyFill="1" applyBorder="1" applyAlignment="1">
      <alignment horizontal="right"/>
    </xf>
    <xf numFmtId="177" fontId="0" fillId="6" borderId="1" xfId="0" applyNumberFormat="1" applyFill="1" applyBorder="1" applyAlignment="1">
      <alignment horizontal="right"/>
    </xf>
    <xf numFmtId="178" fontId="0" fillId="6" borderId="1" xfId="0" applyNumberFormat="1" applyFill="1" applyBorder="1" applyAlignment="1">
      <alignment horizontal="right"/>
    </xf>
    <xf numFmtId="2" fontId="0" fillId="5" borderId="1" xfId="0" applyNumberFormat="1" applyFill="1" applyBorder="1" applyAlignment="1">
      <alignment horizontal="right"/>
    </xf>
    <xf numFmtId="2" fontId="0" fillId="0" borderId="1" xfId="0" applyNumberFormat="1" applyBorder="1" applyAlignment="1">
      <alignment horizontal="right"/>
    </xf>
    <xf numFmtId="179" fontId="0" fillId="6" borderId="1" xfId="0" applyNumberFormat="1" applyFill="1" applyBorder="1" applyAlignment="1">
      <alignment horizontal="right"/>
    </xf>
    <xf numFmtId="177" fontId="0" fillId="0" borderId="0" xfId="0" applyNumberFormat="1" applyAlignment="1">
      <alignment horizontal="right"/>
    </xf>
    <xf numFmtId="177" fontId="0" fillId="0" borderId="1" xfId="0" applyNumberFormat="1" applyBorder="1" applyAlignment="1">
      <alignment horizontal="right"/>
    </xf>
    <xf numFmtId="0" fontId="0" fillId="5" borderId="0" xfId="0" applyFill="1" applyAlignment="1">
      <alignment horizontal="right"/>
    </xf>
    <xf numFmtId="0" fontId="6" fillId="0" borderId="0" xfId="0" applyFont="1" applyAlignment="1">
      <alignment horizontal="left"/>
    </xf>
    <xf numFmtId="0" fontId="0" fillId="0" borderId="0" xfId="0" applyAlignment="1">
      <alignment horizontal="left" vertical="center"/>
    </xf>
    <xf numFmtId="0" fontId="0" fillId="0" borderId="1" xfId="0" applyFill="1" applyBorder="1" applyAlignment="1">
      <alignment horizontal="left"/>
    </xf>
    <xf numFmtId="0" fontId="1" fillId="0" borderId="1" xfId="0" applyFont="1" applyFill="1" applyBorder="1" applyAlignment="1">
      <alignment horizontal="left"/>
    </xf>
    <xf numFmtId="0" fontId="1" fillId="0" borderId="32" xfId="0" applyFont="1" applyFill="1" applyBorder="1" applyAlignment="1">
      <alignment horizontal="left"/>
    </xf>
    <xf numFmtId="0" fontId="0" fillId="0" borderId="1" xfId="0" applyBorder="1" applyAlignment="1">
      <alignment horizontal="left" vertical="center" wrapText="1"/>
    </xf>
    <xf numFmtId="2" fontId="0" fillId="0" borderId="1" xfId="0" applyNumberFormat="1"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180" fontId="0" fillId="0" borderId="1" xfId="0" applyNumberFormat="1" applyBorder="1"/>
    <xf numFmtId="0" fontId="7" fillId="0" borderId="0" xfId="0" applyFont="1" applyAlignment="1">
      <alignment horizontal="left"/>
    </xf>
    <xf numFmtId="0" fontId="0" fillId="0" borderId="13" xfId="0" applyBorder="1" applyAlignment="1">
      <alignment horizontal="left"/>
    </xf>
    <xf numFmtId="176" fontId="0" fillId="6" borderId="14" xfId="0" applyNumberFormat="1" applyFill="1" applyBorder="1" applyAlignment="1">
      <alignment horizontal="right"/>
    </xf>
    <xf numFmtId="0" fontId="0" fillId="0" borderId="15"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0" xfId="0" applyFill="1" applyBorder="1" applyAlignment="1">
      <alignment horizontal="center" vertical="center" wrapText="1"/>
    </xf>
    <xf numFmtId="0" fontId="0" fillId="4" borderId="4" xfId="0" applyFill="1" applyBorder="1" applyAlignment="1"/>
    <xf numFmtId="0" fontId="0" fillId="0" borderId="0" xfId="0" applyFill="1" applyBorder="1" applyAlignment="1"/>
    <xf numFmtId="0" fontId="0" fillId="9" borderId="0" xfId="0" applyFill="1"/>
    <xf numFmtId="177" fontId="0" fillId="0" borderId="1" xfId="0" applyNumberFormat="1" applyBorder="1"/>
    <xf numFmtId="0" fontId="0" fillId="0" borderId="1" xfId="0" applyFill="1" applyBorder="1"/>
    <xf numFmtId="177" fontId="0" fillId="0" borderId="1" xfId="0" applyNumberFormat="1" applyFill="1" applyBorder="1"/>
    <xf numFmtId="0" fontId="0" fillId="0" borderId="28" xfId="0" applyBorder="1" applyAlignment="1">
      <alignment horizontal="center" vertical="center" wrapText="1"/>
    </xf>
    <xf numFmtId="0" fontId="0" fillId="0" borderId="28" xfId="0" applyFill="1"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177" fontId="0" fillId="0" borderId="8" xfId="0" applyNumberFormat="1" applyFill="1" applyBorder="1"/>
    <xf numFmtId="0" fontId="0" fillId="0" borderId="9" xfId="0" applyFill="1" applyBorder="1"/>
    <xf numFmtId="0" fontId="0" fillId="0" borderId="11" xfId="0" applyFill="1" applyBorder="1"/>
    <xf numFmtId="0" fontId="0" fillId="0" borderId="12" xfId="0" applyFill="1" applyBorder="1"/>
    <xf numFmtId="0" fontId="0" fillId="0" borderId="8" xfId="0" applyFill="1" applyBorder="1"/>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1" xfId="0" applyFill="1" applyBorder="1"/>
    <xf numFmtId="177" fontId="0" fillId="5" borderId="1" xfId="0" applyNumberFormat="1" applyFill="1" applyBorder="1"/>
    <xf numFmtId="0" fontId="0" fillId="5" borderId="11" xfId="0" applyFill="1" applyBorder="1"/>
    <xf numFmtId="0" fontId="0" fillId="5" borderId="12" xfId="0" applyFill="1" applyBorder="1"/>
    <xf numFmtId="0" fontId="0" fillId="5" borderId="8" xfId="0" applyFill="1" applyBorder="1"/>
    <xf numFmtId="0" fontId="0" fillId="5" borderId="10" xfId="0" applyFill="1" applyBorder="1"/>
    <xf numFmtId="0" fontId="0" fillId="0" borderId="38" xfId="0" applyFill="1" applyBorder="1"/>
    <xf numFmtId="0" fontId="0" fillId="0" borderId="33" xfId="0" applyFill="1" applyBorder="1"/>
    <xf numFmtId="177" fontId="0" fillId="0" borderId="39" xfId="0" applyNumberFormat="1" applyFill="1" applyBorder="1"/>
    <xf numFmtId="0" fontId="0" fillId="0" borderId="40" xfId="0" applyFill="1" applyBorder="1"/>
    <xf numFmtId="0" fontId="0" fillId="0" borderId="39" xfId="0" applyBorder="1"/>
    <xf numFmtId="177" fontId="0" fillId="0" borderId="39" xfId="0" applyNumberFormat="1" applyBorder="1"/>
    <xf numFmtId="0" fontId="0" fillId="0" borderId="39" xfId="0" applyFill="1" applyBorder="1"/>
    <xf numFmtId="176" fontId="0" fillId="0" borderId="1" xfId="0" applyNumberFormat="1" applyBorder="1" applyAlignment="1">
      <alignment horizontal="right"/>
    </xf>
    <xf numFmtId="177" fontId="0" fillId="0" borderId="1" xfId="0" applyNumberFormat="1" applyBorder="1" applyAlignment="1">
      <alignment horizontal="left"/>
    </xf>
    <xf numFmtId="177" fontId="0" fillId="5" borderId="1" xfId="0" applyNumberFormat="1" applyFill="1" applyBorder="1" applyAlignment="1">
      <alignment horizontal="right"/>
    </xf>
    <xf numFmtId="0" fontId="0" fillId="5" borderId="13" xfId="0" applyFill="1" applyBorder="1"/>
    <xf numFmtId="0" fontId="0" fillId="5" borderId="14" xfId="0" applyFill="1" applyBorder="1"/>
    <xf numFmtId="177" fontId="0" fillId="5" borderId="14" xfId="0" applyNumberFormat="1" applyFill="1" applyBorder="1"/>
    <xf numFmtId="0" fontId="0" fillId="0" borderId="14" xfId="0" applyFill="1" applyBorder="1"/>
    <xf numFmtId="0" fontId="0" fillId="0" borderId="15" xfId="0" applyFill="1" applyBorder="1"/>
    <xf numFmtId="177" fontId="0" fillId="5" borderId="11" xfId="0" applyNumberFormat="1" applyFill="1" applyBorder="1"/>
    <xf numFmtId="0" fontId="0" fillId="5" borderId="15" xfId="0" applyFill="1" applyBorder="1"/>
    <xf numFmtId="0" fontId="0" fillId="5" borderId="9" xfId="0" applyFill="1" applyBorder="1"/>
    <xf numFmtId="2" fontId="0" fillId="0" borderId="0" xfId="0" applyNumberFormat="1"/>
    <xf numFmtId="0" fontId="0" fillId="0" borderId="38" xfId="0" applyBorder="1"/>
    <xf numFmtId="177" fontId="0" fillId="0" borderId="38" xfId="0" applyNumberFormat="1" applyBorder="1"/>
    <xf numFmtId="177" fontId="0" fillId="0" borderId="38" xfId="0" applyNumberFormat="1" applyFill="1" applyBorder="1"/>
    <xf numFmtId="2" fontId="0" fillId="0" borderId="6" xfId="0" applyNumberFormat="1" applyBorder="1"/>
    <xf numFmtId="0" fontId="0" fillId="10" borderId="6" xfId="0" applyFill="1" applyBorder="1" applyAlignment="1" applyProtection="1">
      <alignment horizontal="right"/>
      <protection hidden="1"/>
    </xf>
    <xf numFmtId="0" fontId="0" fillId="10" borderId="0" xfId="0" applyFill="1" applyBorder="1" applyProtection="1">
      <protection hidden="1"/>
    </xf>
    <xf numFmtId="0" fontId="0" fillId="10" borderId="0" xfId="0" applyFill="1" applyBorder="1" applyAlignment="1" applyProtection="1">
      <alignment vertical="center"/>
      <protection hidden="1"/>
    </xf>
    <xf numFmtId="0" fontId="0" fillId="10" borderId="36" xfId="0" applyFill="1" applyBorder="1" applyAlignment="1" applyProtection="1">
      <alignment vertical="center"/>
      <protection hidden="1"/>
    </xf>
    <xf numFmtId="0" fontId="0" fillId="10" borderId="6" xfId="0" applyFill="1" applyBorder="1" applyAlignment="1" applyProtection="1">
      <alignment horizontal="left"/>
      <protection hidden="1"/>
    </xf>
    <xf numFmtId="0" fontId="0" fillId="9" borderId="35" xfId="0" applyFill="1" applyBorder="1" applyProtection="1">
      <protection hidden="1"/>
    </xf>
    <xf numFmtId="0" fontId="8" fillId="10" borderId="0" xfId="0" applyFont="1" applyFill="1" applyBorder="1" applyProtection="1">
      <protection hidden="1"/>
    </xf>
    <xf numFmtId="0" fontId="8" fillId="10" borderId="0" xfId="0" applyFont="1" applyFill="1" applyBorder="1" applyAlignment="1" applyProtection="1">
      <alignment vertical="center"/>
      <protection hidden="1"/>
    </xf>
    <xf numFmtId="0" fontId="0" fillId="10" borderId="29" xfId="0" applyFill="1" applyBorder="1" applyAlignment="1" applyProtection="1">
      <alignment horizontal="right"/>
      <protection hidden="1"/>
    </xf>
    <xf numFmtId="0" fontId="0" fillId="10" borderId="27" xfId="0" applyFill="1" applyBorder="1" applyProtection="1">
      <protection hidden="1"/>
    </xf>
    <xf numFmtId="0" fontId="0" fillId="10" borderId="27" xfId="0" applyFill="1" applyBorder="1" applyAlignment="1" applyProtection="1">
      <alignment vertical="center"/>
      <protection hidden="1"/>
    </xf>
    <xf numFmtId="0" fontId="0" fillId="10" borderId="41" xfId="0" applyFill="1" applyBorder="1" applyAlignment="1" applyProtection="1">
      <alignment vertical="center"/>
      <protection hidden="1"/>
    </xf>
    <xf numFmtId="0" fontId="0" fillId="8" borderId="0" xfId="0" applyFill="1" applyAlignment="1" applyProtection="1">
      <alignment horizontal="right"/>
      <protection hidden="1"/>
    </xf>
    <xf numFmtId="0" fontId="0" fillId="8" borderId="0" xfId="0" applyFill="1" applyProtection="1">
      <protection hidden="1"/>
    </xf>
    <xf numFmtId="0" fontId="0" fillId="8" borderId="0" xfId="0" applyFill="1" applyBorder="1" applyProtection="1">
      <protection hidden="1"/>
    </xf>
    <xf numFmtId="0" fontId="0" fillId="8" borderId="0" xfId="0" applyFill="1" applyBorder="1" applyAlignment="1" applyProtection="1">
      <alignment vertical="center"/>
      <protection hidden="1"/>
    </xf>
    <xf numFmtId="0" fontId="0" fillId="8" borderId="36" xfId="0" applyFill="1" applyBorder="1" applyAlignment="1" applyProtection="1">
      <alignment vertical="center"/>
      <protection hidden="1"/>
    </xf>
    <xf numFmtId="0" fontId="11" fillId="8" borderId="0" xfId="0" applyFont="1" applyFill="1" applyBorder="1" applyAlignment="1" applyProtection="1">
      <alignment horizontal="left"/>
      <protection hidden="1"/>
    </xf>
    <xf numFmtId="0" fontId="9" fillId="8" borderId="0" xfId="0" applyFont="1" applyFill="1" applyBorder="1" applyAlignment="1" applyProtection="1">
      <alignment horizontal="center" vertical="center"/>
      <protection hidden="1"/>
    </xf>
    <xf numFmtId="0" fontId="0" fillId="8" borderId="6" xfId="0" applyFill="1" applyBorder="1" applyAlignment="1" applyProtection="1">
      <alignment horizontal="right"/>
      <protection hidden="1"/>
    </xf>
    <xf numFmtId="0" fontId="0" fillId="8" borderId="7" xfId="0" applyFill="1" applyBorder="1" applyProtection="1">
      <protection hidden="1"/>
    </xf>
    <xf numFmtId="0" fontId="0" fillId="8" borderId="29" xfId="0" applyFill="1" applyBorder="1" applyAlignment="1" applyProtection="1">
      <alignment horizontal="right"/>
      <protection hidden="1"/>
    </xf>
    <xf numFmtId="0" fontId="0" fillId="8" borderId="30" xfId="0" applyFill="1" applyBorder="1" applyProtection="1">
      <protection hidden="1"/>
    </xf>
    <xf numFmtId="0" fontId="0" fillId="8" borderId="0" xfId="0" applyFill="1" applyBorder="1" applyAlignment="1" applyProtection="1">
      <alignment horizontal="right"/>
      <protection hidden="1"/>
    </xf>
    <xf numFmtId="0" fontId="0" fillId="0" borderId="0" xfId="0" applyFill="1" applyBorder="1" applyProtection="1">
      <protection hidden="1"/>
    </xf>
    <xf numFmtId="0" fontId="0" fillId="8" borderId="27" xfId="0" applyFill="1" applyBorder="1" applyProtection="1">
      <protection hidden="1"/>
    </xf>
    <xf numFmtId="177" fontId="0" fillId="8" borderId="0" xfId="0" applyNumberFormat="1" applyFill="1" applyBorder="1" applyProtection="1">
      <protection hidden="1"/>
    </xf>
    <xf numFmtId="0" fontId="5" fillId="8" borderId="0" xfId="0" applyFont="1" applyFill="1" applyBorder="1" applyAlignment="1" applyProtection="1">
      <alignment horizontal="center"/>
      <protection hidden="1"/>
    </xf>
    <xf numFmtId="0" fontId="0" fillId="8" borderId="7" xfId="0" applyFill="1" applyBorder="1" applyAlignment="1" applyProtection="1">
      <alignment horizontal="center"/>
      <protection hidden="1"/>
    </xf>
    <xf numFmtId="48" fontId="0" fillId="8" borderId="0" xfId="0" applyNumberFormat="1" applyFill="1" applyProtection="1">
      <protection hidden="1"/>
    </xf>
    <xf numFmtId="2" fontId="0" fillId="8" borderId="27" xfId="0" applyNumberFormat="1" applyFill="1" applyBorder="1" applyProtection="1">
      <protection hidden="1"/>
    </xf>
    <xf numFmtId="2" fontId="0" fillId="8" borderId="0" xfId="0" applyNumberFormat="1" applyFill="1" applyBorder="1" applyProtection="1">
      <protection hidden="1"/>
    </xf>
    <xf numFmtId="0" fontId="0" fillId="8" borderId="7" xfId="0" applyFill="1" applyBorder="1" applyAlignment="1" applyProtection="1">
      <alignment horizontal="left"/>
      <protection hidden="1"/>
    </xf>
    <xf numFmtId="0" fontId="0" fillId="8" borderId="3" xfId="0" applyFill="1" applyBorder="1" applyAlignment="1" applyProtection="1">
      <alignment horizontal="right"/>
      <protection hidden="1"/>
    </xf>
    <xf numFmtId="0" fontId="0" fillId="8" borderId="5" xfId="0" applyFill="1" applyBorder="1" applyProtection="1">
      <protection hidden="1"/>
    </xf>
    <xf numFmtId="0" fontId="0" fillId="8" borderId="36" xfId="0" applyFill="1" applyBorder="1" applyProtection="1">
      <protection hidden="1"/>
    </xf>
    <xf numFmtId="0" fontId="0" fillId="8" borderId="0" xfId="0" applyFill="1" applyAlignment="1" applyProtection="1">
      <protection hidden="1"/>
    </xf>
    <xf numFmtId="0" fontId="0" fillId="8" borderId="36" xfId="0" applyFill="1" applyBorder="1" applyAlignment="1" applyProtection="1">
      <protection hidden="1"/>
    </xf>
    <xf numFmtId="176" fontId="0" fillId="8" borderId="0" xfId="0" applyNumberFormat="1" applyFill="1" applyBorder="1" applyProtection="1">
      <protection hidden="1"/>
    </xf>
    <xf numFmtId="0" fontId="0" fillId="8" borderId="0" xfId="0" applyFill="1" applyBorder="1" applyAlignment="1" applyProtection="1">
      <alignment horizontal="center"/>
      <protection hidden="1"/>
    </xf>
    <xf numFmtId="0" fontId="0" fillId="8" borderId="0" xfId="0" applyFill="1" applyAlignment="1" applyProtection="1">
      <alignment horizontal="center"/>
      <protection hidden="1"/>
    </xf>
    <xf numFmtId="0" fontId="0" fillId="8" borderId="0" xfId="0" applyFill="1" applyBorder="1" applyAlignment="1" applyProtection="1">
      <alignment horizontal="center" vertical="center"/>
      <protection hidden="1"/>
    </xf>
    <xf numFmtId="176" fontId="0" fillId="8" borderId="27" xfId="0" applyNumberFormat="1" applyFill="1" applyBorder="1" applyProtection="1">
      <protection hidden="1"/>
    </xf>
    <xf numFmtId="179" fontId="0" fillId="8" borderId="0" xfId="0" applyNumberFormat="1" applyFill="1" applyBorder="1" applyProtection="1">
      <protection hidden="1"/>
    </xf>
    <xf numFmtId="0" fontId="0" fillId="9" borderId="0" xfId="0" applyFill="1" applyBorder="1" applyProtection="1">
      <protection locked="0" hidden="1"/>
    </xf>
    <xf numFmtId="0" fontId="0" fillId="9" borderId="27" xfId="0" applyFill="1" applyBorder="1" applyProtection="1">
      <protection locked="0" hidden="1"/>
    </xf>
    <xf numFmtId="0" fontId="0" fillId="9" borderId="0" xfId="0" applyFill="1" applyBorder="1" applyAlignment="1" applyProtection="1">
      <alignment horizontal="right"/>
      <protection locked="0" hidden="1"/>
    </xf>
    <xf numFmtId="2" fontId="0" fillId="9" borderId="0" xfId="0" applyNumberFormat="1" applyFill="1" applyBorder="1" applyProtection="1">
      <protection locked="0" hidden="1"/>
    </xf>
    <xf numFmtId="0" fontId="0" fillId="9" borderId="4" xfId="0" applyFill="1" applyBorder="1" applyProtection="1">
      <protection locked="0" hidden="1"/>
    </xf>
    <xf numFmtId="177" fontId="0" fillId="9" borderId="0" xfId="0" applyNumberFormat="1" applyFill="1" applyBorder="1" applyProtection="1">
      <protection locked="0" hidden="1"/>
    </xf>
    <xf numFmtId="0" fontId="11" fillId="8" borderId="0" xfId="0" applyFont="1" applyFill="1" applyBorder="1" applyAlignment="1" applyProtection="1">
      <alignment horizontal="left"/>
      <protection hidden="1"/>
    </xf>
    <xf numFmtId="0" fontId="7" fillId="8" borderId="24" xfId="0" applyFont="1" applyFill="1" applyBorder="1" applyAlignment="1" applyProtection="1">
      <alignment horizontal="center"/>
      <protection hidden="1"/>
    </xf>
    <xf numFmtId="0" fontId="7" fillId="8" borderId="25" xfId="0" applyFont="1" applyFill="1" applyBorder="1" applyAlignment="1" applyProtection="1">
      <alignment horizontal="center"/>
      <protection hidden="1"/>
    </xf>
    <xf numFmtId="0" fontId="7" fillId="8" borderId="26" xfId="0" applyFont="1" applyFill="1" applyBorder="1" applyAlignment="1" applyProtection="1">
      <alignment horizontal="center"/>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10" fillId="3" borderId="6"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protection hidden="1"/>
    </xf>
    <xf numFmtId="0" fontId="5" fillId="8" borderId="0" xfId="0" applyFont="1" applyFill="1" applyBorder="1" applyAlignment="1" applyProtection="1">
      <alignment horizontal="center"/>
      <protection hidden="1"/>
    </xf>
    <xf numFmtId="0" fontId="0" fillId="9" borderId="0" xfId="0" applyFill="1" applyBorder="1" applyAlignment="1" applyProtection="1">
      <alignment horizontal="center"/>
      <protection locked="0" hidden="1"/>
    </xf>
    <xf numFmtId="0" fontId="0" fillId="9" borderId="7" xfId="0" applyFill="1" applyBorder="1" applyAlignment="1" applyProtection="1">
      <alignment horizontal="center"/>
      <protection locked="0" hidden="1"/>
    </xf>
    <xf numFmtId="0" fontId="13" fillId="8" borderId="0"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0" xfId="0" applyFont="1" applyFill="1" applyAlignment="1" applyProtection="1">
      <alignment horizontal="center"/>
      <protection hidden="1"/>
    </xf>
    <xf numFmtId="0" fontId="0" fillId="5" borderId="24" xfId="0" applyFill="1" applyBorder="1" applyAlignment="1" applyProtection="1">
      <alignment horizontal="right" vertical="center"/>
      <protection hidden="1"/>
    </xf>
    <xf numFmtId="0" fontId="0" fillId="5" borderId="26" xfId="0" applyFill="1" applyBorder="1" applyAlignment="1" applyProtection="1">
      <alignment horizontal="right" vertical="center"/>
      <protection hidden="1"/>
    </xf>
    <xf numFmtId="0" fontId="0" fillId="0" borderId="1"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9" xfId="0" applyBorder="1" applyAlignment="1">
      <alignment horizontal="center"/>
    </xf>
    <xf numFmtId="0" fontId="0" fillId="0" borderId="27" xfId="0" applyBorder="1" applyAlignment="1">
      <alignment horizontal="center"/>
    </xf>
    <xf numFmtId="0" fontId="0" fillId="4" borderId="4"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2" borderId="29" xfId="0" applyFill="1" applyBorder="1" applyAlignment="1">
      <alignment horizontal="center"/>
    </xf>
    <xf numFmtId="0" fontId="0" fillId="2" borderId="27" xfId="0" applyFill="1" applyBorder="1" applyAlignment="1">
      <alignment horizontal="center"/>
    </xf>
    <xf numFmtId="0" fontId="0" fillId="2" borderId="30" xfId="0" applyFill="1" applyBorder="1" applyAlignment="1">
      <alignment horizontal="center"/>
    </xf>
    <xf numFmtId="0" fontId="0" fillId="4" borderId="3"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
    <cellStyle name="常规" xfId="0" builtinId="0"/>
  </cellStyles>
  <dxfs count="16">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ont>
        <strike/>
      </font>
      <fill>
        <patternFill>
          <bgColor theme="0" tint="-0.14996795556505021"/>
        </patternFill>
      </fill>
    </dxf>
    <dxf>
      <font>
        <strike/>
      </font>
      <fill>
        <patternFill>
          <bgColor theme="0" tint="-0.24994659260841701"/>
        </patternFill>
      </fill>
    </dxf>
    <dxf>
      <font>
        <strike/>
      </font>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Inner Current Loop  </a:t>
            </a:r>
            <a:endParaRPr lang="en-US"/>
          </a:p>
        </c:rich>
      </c:tx>
      <c:overlay val="0"/>
    </c:title>
    <c:autoTitleDeleted val="0"/>
    <c:plotArea>
      <c:layout/>
      <c:scatterChart>
        <c:scatterStyle val="lineMarker"/>
        <c:varyColors val="0"/>
        <c:ser>
          <c:idx val="0"/>
          <c:order val="0"/>
          <c:tx>
            <c:v>Gain</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Compensation!$K$8:$K$62</c:f>
              <c:numCache>
                <c:formatCode>General</c:formatCode>
                <c:ptCount val="55"/>
                <c:pt idx="0">
                  <c:v>85.521790907260595</c:v>
                </c:pt>
                <c:pt idx="1">
                  <c:v>79.501203766976815</c:v>
                </c:pt>
                <c:pt idx="2">
                  <c:v>75.979399874090049</c:v>
                </c:pt>
                <c:pt idx="3">
                  <c:v>73.480654945232487</c:v>
                </c:pt>
                <c:pt idx="4">
                  <c:v>71.542493003252005</c:v>
                </c:pt>
                <c:pt idx="5">
                  <c:v>69.958914915083469</c:v>
                </c:pt>
                <c:pt idx="6">
                  <c:v>68.620034469529784</c:v>
                </c:pt>
                <c:pt idx="7">
                  <c:v>67.460259390920655</c:v>
                </c:pt>
                <c:pt idx="8">
                  <c:v>66.43728131635558</c:v>
                </c:pt>
                <c:pt idx="9">
                  <c:v>65.522212392454335</c:v>
                </c:pt>
                <c:pt idx="10">
                  <c:v>59.50288940899901</c:v>
                </c:pt>
                <c:pt idx="11">
                  <c:v>55.983191448962486</c:v>
                </c:pt>
                <c:pt idx="12">
                  <c:v>53.487392738439198</c:v>
                </c:pt>
                <c:pt idx="13">
                  <c:v>51.553015218029579</c:v>
                </c:pt>
                <c:pt idx="14">
                  <c:v>49.974057085192314</c:v>
                </c:pt>
                <c:pt idx="15">
                  <c:v>48.640628877752199</c:v>
                </c:pt>
                <c:pt idx="16">
                  <c:v>47.487134494506059</c:v>
                </c:pt>
                <c:pt idx="17">
                  <c:v>46.471261180601466</c:v>
                </c:pt>
                <c:pt idx="18">
                  <c:v>45.564116133578068</c:v>
                </c:pt>
                <c:pt idx="19">
                  <c:v>39.667620018853647</c:v>
                </c:pt>
                <c:pt idx="20">
                  <c:v>36.343598724674479</c:v>
                </c:pt>
                <c:pt idx="21">
                  <c:v>34.104574572790341</c:v>
                </c:pt>
                <c:pt idx="22">
                  <c:v>32.47453724690552</c:v>
                </c:pt>
                <c:pt idx="23">
                  <c:v>31.233905825213242</c:v>
                </c:pt>
                <c:pt idx="24">
                  <c:v>30.26040117109606</c:v>
                </c:pt>
                <c:pt idx="25">
                  <c:v>29.477896169411633</c:v>
                </c:pt>
                <c:pt idx="26">
                  <c:v>28.835610871745473</c:v>
                </c:pt>
                <c:pt idx="27">
                  <c:v>28.298152456847347</c:v>
                </c:pt>
                <c:pt idx="28">
                  <c:v>25.332571744309142</c:v>
                </c:pt>
                <c:pt idx="29">
                  <c:v>23.519373440135762</c:v>
                </c:pt>
                <c:pt idx="30">
                  <c:v>21.917596205818821</c:v>
                </c:pt>
                <c:pt idx="31">
                  <c:v>20.433611125467817</c:v>
                </c:pt>
                <c:pt idx="32">
                  <c:v>19.052269601041306</c:v>
                </c:pt>
                <c:pt idx="33">
                  <c:v>17.763071371170138</c:v>
                </c:pt>
                <c:pt idx="34">
                  <c:v>16.555038380180889</c:v>
                </c:pt>
                <c:pt idx="35">
                  <c:v>15.41787406174098</c:v>
                </c:pt>
                <c:pt idx="36">
                  <c:v>14.342685832232039</c:v>
                </c:pt>
                <c:pt idx="37">
                  <c:v>5.8717837465769405</c:v>
                </c:pt>
                <c:pt idx="38">
                  <c:v>-0.10277398316123142</c:v>
                </c:pt>
                <c:pt idx="39">
                  <c:v>-4.6621032920706789</c:v>
                </c:pt>
                <c:pt idx="40">
                  <c:v>-8.3211809092598656</c:v>
                </c:pt>
                <c:pt idx="41">
                  <c:v>-11.366070760610647</c:v>
                </c:pt>
                <c:pt idx="42">
                  <c:v>-13.968605427641039</c:v>
                </c:pt>
                <c:pt idx="43">
                  <c:v>-16.238736455702856</c:v>
                </c:pt>
                <c:pt idx="44">
                  <c:v>-18.250565424473521</c:v>
                </c:pt>
                <c:pt idx="45">
                  <c:v>-20.056197016527911</c:v>
                </c:pt>
                <c:pt idx="46">
                  <c:v>-32.01764722638773</c:v>
                </c:pt>
                <c:pt idx="47">
                  <c:v>-39.046379951946548</c:v>
                </c:pt>
                <c:pt idx="48">
                  <c:v>-44.038697066087479</c:v>
                </c:pt>
                <c:pt idx="49">
                  <c:v>-47.912673787125456</c:v>
                </c:pt>
                <c:pt idx="50">
                  <c:v>-51.078606474475279</c:v>
                </c:pt>
                <c:pt idx="51">
                  <c:v>-53.755683679043898</c:v>
                </c:pt>
                <c:pt idx="52">
                  <c:v>-56.074845902861924</c:v>
                </c:pt>
                <c:pt idx="53">
                  <c:v>-58.120593236572262</c:v>
                </c:pt>
                <c:pt idx="54">
                  <c:v>-59.950639940338029</c:v>
                </c:pt>
              </c:numCache>
            </c:numRef>
          </c:yVal>
          <c:smooth val="0"/>
          <c:extLst>
            <c:ext xmlns:c16="http://schemas.microsoft.com/office/drawing/2014/chart" uri="{C3380CC4-5D6E-409C-BE32-E72D297353CC}">
              <c16:uniqueId val="{00000000-AFBF-4F43-9238-3DC89E0E300B}"/>
            </c:ext>
          </c:extLst>
        </c:ser>
        <c:ser>
          <c:idx val="2"/>
          <c:order val="2"/>
          <c:tx>
            <c:v>FPPlant</c:v>
          </c:tx>
          <c:spPr>
            <a:ln>
              <a:solidFill>
                <a:schemeClr val="tx1"/>
              </a:solidFill>
            </a:ln>
          </c:spPr>
          <c:marker>
            <c:symbol val="x"/>
            <c:size val="9"/>
            <c:spPr>
              <a:noFill/>
              <a:ln w="31750">
                <a:solidFill>
                  <a:srgbClr val="FF0000"/>
                </a:solidFill>
              </a:ln>
            </c:spPr>
          </c:marker>
          <c:dPt>
            <c:idx val="0"/>
            <c:marker>
              <c:symbol val="x"/>
              <c:size val="12"/>
            </c:marker>
            <c:bubble3D val="0"/>
            <c:spPr>
              <a:ln w="25400">
                <a:solidFill>
                  <a:schemeClr val="tx1"/>
                </a:solidFill>
              </a:ln>
            </c:spPr>
            <c:extLst>
              <c:ext xmlns:c16="http://schemas.microsoft.com/office/drawing/2014/chart" uri="{C3380CC4-5D6E-409C-BE32-E72D297353CC}">
                <c16:uniqueId val="{00000002-AFBF-4F43-9238-3DC89E0E300B}"/>
              </c:ext>
            </c:extLst>
          </c:dPt>
          <c:dLbls>
            <c:dLbl>
              <c:idx val="0"/>
              <c:tx>
                <c:rich>
                  <a:bodyPr/>
                  <a:lstStyle/>
                  <a:p>
                    <a:r>
                      <a:rPr lang="en-US" sz="1400" b="1"/>
                      <a:t>F</a:t>
                    </a:r>
                    <a:r>
                      <a:rPr lang="en-US" sz="1400" b="1" baseline="-25000"/>
                      <a:t>Pplant</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FBF-4F43-9238-3DC89E0E300B}"/>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Compensation!$AA$9</c:f>
              <c:numCache>
                <c:formatCode>General</c:formatCode>
                <c:ptCount val="1"/>
                <c:pt idx="0">
                  <c:v>3328.9908930054776</c:v>
                </c:pt>
              </c:numCache>
            </c:numRef>
          </c:xVal>
          <c:yVal>
            <c:numRef>
              <c:f>Compensation!$AD$9</c:f>
              <c:numCache>
                <c:formatCode>General</c:formatCode>
                <c:ptCount val="1"/>
                <c:pt idx="0">
                  <c:v>22.977368082344185</c:v>
                </c:pt>
              </c:numCache>
            </c:numRef>
          </c:yVal>
          <c:smooth val="0"/>
          <c:extLst>
            <c:ext xmlns:c16="http://schemas.microsoft.com/office/drawing/2014/chart" uri="{C3380CC4-5D6E-409C-BE32-E72D297353CC}">
              <c16:uniqueId val="{00000003-AFBF-4F43-9238-3DC89E0E300B}"/>
            </c:ext>
          </c:extLst>
        </c:ser>
        <c:ser>
          <c:idx val="3"/>
          <c:order val="3"/>
          <c:tx>
            <c:v>Fzcomp</c:v>
          </c:tx>
          <c:marker>
            <c:symbol val="circle"/>
            <c:size val="9"/>
            <c:spPr>
              <a:noFill/>
              <a:ln w="22225">
                <a:solidFill>
                  <a:schemeClr val="tx1"/>
                </a:solidFill>
              </a:ln>
            </c:spPr>
          </c:marker>
          <c:dLbls>
            <c:dLbl>
              <c:idx val="0"/>
              <c:tx>
                <c:rich>
                  <a:bodyPr/>
                  <a:lstStyle/>
                  <a:p>
                    <a:r>
                      <a:rPr lang="en-US" sz="1400" b="1"/>
                      <a:t>F</a:t>
                    </a:r>
                    <a:r>
                      <a:rPr lang="en-US" sz="1400" b="1" baseline="-25000"/>
                      <a:t>Zcomp</a:t>
                    </a:r>
                    <a:endParaRPr lang="en-US" b="1" baseline="-25000"/>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FBF-4F43-9238-3DC89E0E300B}"/>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Compensation!$AA$10</c:f>
              <c:numCache>
                <c:formatCode>General</c:formatCode>
                <c:ptCount val="1"/>
                <c:pt idx="0">
                  <c:v>964.57541267815361</c:v>
                </c:pt>
              </c:numCache>
            </c:numRef>
          </c:xVal>
          <c:yVal>
            <c:numRef>
              <c:f>Compensation!$AD$10</c:f>
              <c:numCache>
                <c:formatCode>General</c:formatCode>
                <c:ptCount val="1"/>
                <c:pt idx="0">
                  <c:v>28.478318286845969</c:v>
                </c:pt>
              </c:numCache>
            </c:numRef>
          </c:yVal>
          <c:smooth val="0"/>
          <c:extLst>
            <c:ext xmlns:c16="http://schemas.microsoft.com/office/drawing/2014/chart" uri="{C3380CC4-5D6E-409C-BE32-E72D297353CC}">
              <c16:uniqueId val="{00000005-AFBF-4F43-9238-3DC89E0E300B}"/>
            </c:ext>
          </c:extLst>
        </c:ser>
        <c:ser>
          <c:idx val="4"/>
          <c:order val="4"/>
          <c:tx>
            <c:v>Fpcomp</c:v>
          </c:tx>
          <c:marker>
            <c:symbol val="x"/>
            <c:size val="10"/>
            <c:spPr>
              <a:ln w="25400">
                <a:solidFill>
                  <a:schemeClr val="tx1"/>
                </a:solidFill>
              </a:ln>
            </c:spPr>
          </c:marker>
          <c:dLbls>
            <c:dLbl>
              <c:idx val="0"/>
              <c:tx>
                <c:rich>
                  <a:bodyPr/>
                  <a:lstStyle/>
                  <a:p>
                    <a:r>
                      <a:rPr lang="en-US" sz="1200" b="1"/>
                      <a:t>F</a:t>
                    </a:r>
                    <a:r>
                      <a:rPr lang="en-US" sz="1200" b="1" baseline="-25000"/>
                      <a:t>Pcomp</a:t>
                    </a:r>
                    <a:endParaRPr lang="en-US" b="1" baseline="-25000"/>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FBF-4F43-9238-3DC89E0E300B}"/>
                </c:ext>
              </c:extLst>
            </c:dLbl>
            <c:spPr>
              <a:noFill/>
              <a:ln>
                <a:noFill/>
              </a:ln>
              <a:effectLst/>
            </c:spPr>
            <c:txPr>
              <a:bodyPr/>
              <a:lstStyle/>
              <a:p>
                <a:pPr>
                  <a:defRPr sz="1200"/>
                </a:pPr>
                <a:endParaRPr lang="zh-CN"/>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Compensation!$AA$11</c:f>
              <c:numCache>
                <c:formatCode>General</c:formatCode>
                <c:ptCount val="1"/>
                <c:pt idx="0">
                  <c:v>14468.631190172304</c:v>
                </c:pt>
              </c:numCache>
            </c:numRef>
          </c:xVal>
          <c:yVal>
            <c:numRef>
              <c:f>Compensation!$AD$11</c:f>
              <c:numCache>
                <c:formatCode>General</c:formatCode>
                <c:ptCount val="1"/>
                <c:pt idx="0">
                  <c:v>10.128944814715462</c:v>
                </c:pt>
              </c:numCache>
            </c:numRef>
          </c:yVal>
          <c:smooth val="0"/>
          <c:extLst>
            <c:ext xmlns:c16="http://schemas.microsoft.com/office/drawing/2014/chart" uri="{C3380CC4-5D6E-409C-BE32-E72D297353CC}">
              <c16:uniqueId val="{00000007-AFBF-4F43-9238-3DC89E0E300B}"/>
            </c:ext>
          </c:extLst>
        </c:ser>
        <c:dLbls>
          <c:showLegendKey val="0"/>
          <c:showVal val="0"/>
          <c:showCatName val="0"/>
          <c:showSerName val="0"/>
          <c:showPercent val="0"/>
          <c:showBubbleSize val="0"/>
        </c:dLbls>
        <c:axId val="180812800"/>
        <c:axId val="182049408"/>
      </c:scatterChart>
      <c:scatterChart>
        <c:scatterStyle val="lineMarker"/>
        <c:varyColors val="0"/>
        <c:ser>
          <c:idx val="1"/>
          <c:order val="1"/>
          <c:tx>
            <c:v>Phase</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Compensation!$L$8:$L$62</c:f>
              <c:numCache>
                <c:formatCode>General</c:formatCode>
                <c:ptCount val="55"/>
                <c:pt idx="0">
                  <c:v>90.038476323863364</c:v>
                </c:pt>
                <c:pt idx="1">
                  <c:v>90.076952523178178</c:v>
                </c:pt>
                <c:pt idx="2">
                  <c:v>90.115428473397543</c:v>
                </c:pt>
                <c:pt idx="3">
                  <c:v>90.153904049977825</c:v>
                </c:pt>
                <c:pt idx="4">
                  <c:v>90.192379128380338</c:v>
                </c:pt>
                <c:pt idx="5">
                  <c:v>90.23085358407296</c:v>
                </c:pt>
                <c:pt idx="6">
                  <c:v>90.269327292531798</c:v>
                </c:pt>
                <c:pt idx="7">
                  <c:v>90.307800129242821</c:v>
                </c:pt>
                <c:pt idx="8">
                  <c:v>90.346271969703466</c:v>
                </c:pt>
                <c:pt idx="9">
                  <c:v>90.384742689424343</c:v>
                </c:pt>
                <c:pt idx="10">
                  <c:v>90.769360870960966</c:v>
                </c:pt>
                <c:pt idx="11">
                  <c:v>91.153730200893364</c:v>
                </c:pt>
                <c:pt idx="12">
                  <c:v>91.537726663318011</c:v>
                </c:pt>
                <c:pt idx="13">
                  <c:v>91.921226732730091</c:v>
                </c:pt>
                <c:pt idx="14">
                  <c:v>92.304107535032912</c:v>
                </c:pt>
                <c:pt idx="15">
                  <c:v>92.686247006461016</c:v>
                </c:pt>
                <c:pt idx="16">
                  <c:v>93.067524049917935</c:v>
                </c:pt>
                <c:pt idx="17">
                  <c:v>93.447818688246358</c:v>
                </c:pt>
                <c:pt idx="18">
                  <c:v>93.827012213964991</c:v>
                </c:pt>
                <c:pt idx="19">
                  <c:v>97.533455778066084</c:v>
                </c:pt>
                <c:pt idx="20">
                  <c:v>101.01357041557195</c:v>
                </c:pt>
                <c:pt idx="21">
                  <c:v>104.18702535596307</c:v>
                </c:pt>
                <c:pt idx="22">
                  <c:v>107.00321260108743</c:v>
                </c:pt>
                <c:pt idx="23">
                  <c:v>109.43968964541632</c:v>
                </c:pt>
                <c:pt idx="24">
                  <c:v>111.49690809885008</c:v>
                </c:pt>
                <c:pt idx="25">
                  <c:v>113.1916123984482</c:v>
                </c:pt>
                <c:pt idx="26">
                  <c:v>114.55062933631903</c:v>
                </c:pt>
                <c:pt idx="27">
                  <c:v>115.60589727554699</c:v>
                </c:pt>
                <c:pt idx="28">
                  <c:v>115.87199084219066</c:v>
                </c:pt>
                <c:pt idx="29">
                  <c:v>109.1514262412484</c:v>
                </c:pt>
                <c:pt idx="30">
                  <c:v>101.68088239799636</c:v>
                </c:pt>
                <c:pt idx="31">
                  <c:v>94.785402612099418</c:v>
                </c:pt>
                <c:pt idx="32">
                  <c:v>88.64534154275421</c:v>
                </c:pt>
                <c:pt idx="33">
                  <c:v>83.191119787060543</c:v>
                </c:pt>
                <c:pt idx="34">
                  <c:v>78.317742102358181</c:v>
                </c:pt>
                <c:pt idx="35">
                  <c:v>73.932548927696473</c:v>
                </c:pt>
                <c:pt idx="36">
                  <c:v>69.961628037131732</c:v>
                </c:pt>
                <c:pt idx="37">
                  <c:v>44.344996768477827</c:v>
                </c:pt>
                <c:pt idx="38">
                  <c:v>31.713542375477001</c:v>
                </c:pt>
                <c:pt idx="39">
                  <c:v>24.474198483656462</c:v>
                </c:pt>
                <c:pt idx="40">
                  <c:v>19.857516647250883</c:v>
                </c:pt>
                <c:pt idx="41">
                  <c:v>16.679598599494511</c:v>
                </c:pt>
                <c:pt idx="42">
                  <c:v>14.366640077476024</c:v>
                </c:pt>
                <c:pt idx="43">
                  <c:v>12.611129642587628</c:v>
                </c:pt>
                <c:pt idx="44">
                  <c:v>11.234736553118918</c:v>
                </c:pt>
                <c:pt idx="45">
                  <c:v>10.12738056889911</c:v>
                </c:pt>
                <c:pt idx="46">
                  <c:v>5.0898127947871865</c:v>
                </c:pt>
                <c:pt idx="47">
                  <c:v>3.3964739012469143</c:v>
                </c:pt>
                <c:pt idx="48">
                  <c:v>2.548214856785286</c:v>
                </c:pt>
                <c:pt idx="49">
                  <c:v>2.0388904404384212</c:v>
                </c:pt>
                <c:pt idx="50">
                  <c:v>1.6992196397288279</c:v>
                </c:pt>
                <c:pt idx="51">
                  <c:v>1.4565485620571359</c:v>
                </c:pt>
                <c:pt idx="52">
                  <c:v>1.2745223566358679</c:v>
                </c:pt>
                <c:pt idx="53">
                  <c:v>1.1329345823489303</c:v>
                </c:pt>
                <c:pt idx="54">
                  <c:v>1.0196577480183648</c:v>
                </c:pt>
              </c:numCache>
            </c:numRef>
          </c:yVal>
          <c:smooth val="0"/>
          <c:extLst>
            <c:ext xmlns:c16="http://schemas.microsoft.com/office/drawing/2014/chart" uri="{C3380CC4-5D6E-409C-BE32-E72D297353CC}">
              <c16:uniqueId val="{00000008-AFBF-4F43-9238-3DC89E0E300B}"/>
            </c:ext>
          </c:extLst>
        </c:ser>
        <c:dLbls>
          <c:showLegendKey val="0"/>
          <c:showVal val="0"/>
          <c:showCatName val="0"/>
          <c:showSerName val="0"/>
          <c:showPercent val="0"/>
          <c:showBubbleSize val="0"/>
        </c:dLbls>
        <c:axId val="182350592"/>
        <c:axId val="182310016"/>
      </c:scatterChart>
      <c:valAx>
        <c:axId val="180812800"/>
        <c:scaling>
          <c:logBase val="10"/>
          <c:orientation val="minMax"/>
          <c:min val="10"/>
        </c:scaling>
        <c:delete val="0"/>
        <c:axPos val="b"/>
        <c:majorGridlines/>
        <c:minorGridlines/>
        <c:title>
          <c:tx>
            <c:rich>
              <a:bodyPr/>
              <a:lstStyle/>
              <a:p>
                <a:pPr>
                  <a:defRPr/>
                </a:pPr>
                <a:r>
                  <a:rPr lang="en-US"/>
                  <a:t>Frequency</a:t>
                </a:r>
                <a:r>
                  <a:rPr lang="en-US" baseline="0"/>
                  <a:t> (Hz)</a:t>
                </a:r>
                <a:endParaRPr lang="en-US"/>
              </a:p>
            </c:rich>
          </c:tx>
          <c:overlay val="0"/>
        </c:title>
        <c:numFmt formatCode="General" sourceLinked="1"/>
        <c:majorTickMark val="out"/>
        <c:minorTickMark val="cross"/>
        <c:tickLblPos val="low"/>
        <c:crossAx val="182049408"/>
        <c:crosses val="autoZero"/>
        <c:crossBetween val="midCat"/>
      </c:valAx>
      <c:valAx>
        <c:axId val="182049408"/>
        <c:scaling>
          <c:orientation val="minMax"/>
          <c:max val="60"/>
          <c:min val="-40"/>
        </c:scaling>
        <c:delete val="0"/>
        <c:axPos val="l"/>
        <c:majorGridlines/>
        <c:title>
          <c:tx>
            <c:rich>
              <a:bodyPr rot="-5400000" vert="horz"/>
              <a:lstStyle/>
              <a:p>
                <a:pPr>
                  <a:defRPr/>
                </a:pPr>
                <a:r>
                  <a:rPr lang="en-US"/>
                  <a:t>Loop Gain (dB)</a:t>
                </a:r>
              </a:p>
            </c:rich>
          </c:tx>
          <c:overlay val="0"/>
        </c:title>
        <c:numFmt formatCode="General" sourceLinked="1"/>
        <c:majorTickMark val="out"/>
        <c:minorTickMark val="none"/>
        <c:tickLblPos val="nextTo"/>
        <c:crossAx val="180812800"/>
        <c:crosses val="autoZero"/>
        <c:crossBetween val="midCat"/>
        <c:majorUnit val="20"/>
      </c:valAx>
      <c:valAx>
        <c:axId val="182310016"/>
        <c:scaling>
          <c:orientation val="minMax"/>
          <c:max val="180"/>
          <c:min val="-180"/>
        </c:scaling>
        <c:delete val="0"/>
        <c:axPos val="r"/>
        <c:title>
          <c:tx>
            <c:rich>
              <a:bodyPr rot="-5400000" vert="horz"/>
              <a:lstStyle/>
              <a:p>
                <a:pPr>
                  <a:defRPr/>
                </a:pPr>
                <a:r>
                  <a:rPr lang="en-US"/>
                  <a:t>Loop Phase Margin (deg)</a:t>
                </a:r>
              </a:p>
            </c:rich>
          </c:tx>
          <c:overlay val="0"/>
        </c:title>
        <c:numFmt formatCode="General" sourceLinked="1"/>
        <c:majorTickMark val="out"/>
        <c:minorTickMark val="none"/>
        <c:tickLblPos val="nextTo"/>
        <c:crossAx val="182350592"/>
        <c:crosses val="max"/>
        <c:crossBetween val="midCat"/>
        <c:majorUnit val="45"/>
      </c:valAx>
      <c:valAx>
        <c:axId val="182350592"/>
        <c:scaling>
          <c:logBase val="10"/>
          <c:orientation val="minMax"/>
        </c:scaling>
        <c:delete val="1"/>
        <c:axPos val="b"/>
        <c:numFmt formatCode="General" sourceLinked="1"/>
        <c:majorTickMark val="out"/>
        <c:minorTickMark val="none"/>
        <c:tickLblPos val="nextTo"/>
        <c:crossAx val="182310016"/>
        <c:crosses val="autoZero"/>
        <c:crossBetween val="midCat"/>
      </c:valAx>
    </c:plotArea>
    <c:legend>
      <c:legendPos val="l"/>
      <c:legendEntry>
        <c:idx val="1"/>
        <c:delete val="1"/>
      </c:legendEntry>
      <c:legendEntry>
        <c:idx val="2"/>
        <c:delete val="1"/>
      </c:legendEntry>
      <c:legendEntry>
        <c:idx val="3"/>
        <c:delete val="1"/>
      </c:legendEntry>
      <c:layout>
        <c:manualLayout>
          <c:xMode val="edge"/>
          <c:yMode val="edge"/>
          <c:x val="0.79304241813100085"/>
          <c:y val="2.6664513567886527E-2"/>
          <c:w val="0.11678001490904641"/>
          <c:h val="9.5033720657239265E-2"/>
        </c:manualLayout>
      </c:layout>
      <c:overlay val="1"/>
      <c:spPr>
        <a:no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Boost Mode Duty Cycle</a:t>
            </a:r>
          </a:p>
        </c:rich>
      </c:tx>
      <c:overlay val="0"/>
    </c:title>
    <c:autoTitleDeleted val="0"/>
    <c:plotArea>
      <c:layout/>
      <c:scatterChart>
        <c:scatterStyle val="smoothMarker"/>
        <c:varyColors val="0"/>
        <c:ser>
          <c:idx val="0"/>
          <c:order val="0"/>
          <c:tx>
            <c:v>LV Port Min</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Calculations!$AC$6:$AC$56</c:f>
              <c:numCache>
                <c:formatCode>General</c:formatCode>
                <c:ptCount val="51"/>
                <c:pt idx="0">
                  <c:v>0</c:v>
                </c:pt>
                <c:pt idx="1">
                  <c:v>0.38409746705430237</c:v>
                </c:pt>
                <c:pt idx="2">
                  <c:v>0.5431958471813475</c:v>
                </c:pt>
                <c:pt idx="3">
                  <c:v>0.66527632799656466</c:v>
                </c:pt>
                <c:pt idx="4">
                  <c:v>0.74687499999999996</c:v>
                </c:pt>
                <c:pt idx="5">
                  <c:v>0.74687499999999996</c:v>
                </c:pt>
                <c:pt idx="6">
                  <c:v>0.74687499999999996</c:v>
                </c:pt>
                <c:pt idx="7">
                  <c:v>0.74687499999999996</c:v>
                </c:pt>
                <c:pt idx="8">
                  <c:v>0.74687499999999996</c:v>
                </c:pt>
                <c:pt idx="9">
                  <c:v>0.74687499999999996</c:v>
                </c:pt>
                <c:pt idx="10">
                  <c:v>0.74687499999999996</c:v>
                </c:pt>
                <c:pt idx="11">
                  <c:v>0.74687499999999996</c:v>
                </c:pt>
                <c:pt idx="12">
                  <c:v>0.74687499999999996</c:v>
                </c:pt>
                <c:pt idx="13">
                  <c:v>0.74687499999999996</c:v>
                </c:pt>
                <c:pt idx="14">
                  <c:v>0.74687499999999996</c:v>
                </c:pt>
                <c:pt idx="15">
                  <c:v>0.74687499999999996</c:v>
                </c:pt>
                <c:pt idx="16">
                  <c:v>0.74687499999999996</c:v>
                </c:pt>
                <c:pt idx="17">
                  <c:v>0.74687499999999996</c:v>
                </c:pt>
                <c:pt idx="18">
                  <c:v>0.74687499999999996</c:v>
                </c:pt>
                <c:pt idx="19">
                  <c:v>0.74687499999999996</c:v>
                </c:pt>
                <c:pt idx="20">
                  <c:v>0.74687499999999996</c:v>
                </c:pt>
                <c:pt idx="21">
                  <c:v>0.74687499999999996</c:v>
                </c:pt>
                <c:pt idx="22">
                  <c:v>0.74687499999999996</c:v>
                </c:pt>
                <c:pt idx="23">
                  <c:v>0.74687499999999996</c:v>
                </c:pt>
                <c:pt idx="24">
                  <c:v>0.74687499999999996</c:v>
                </c:pt>
                <c:pt idx="25">
                  <c:v>0.74687499999999996</c:v>
                </c:pt>
                <c:pt idx="26">
                  <c:v>0.74687499999999996</c:v>
                </c:pt>
                <c:pt idx="27">
                  <c:v>0.74687499999999996</c:v>
                </c:pt>
                <c:pt idx="28">
                  <c:v>0.74687499999999996</c:v>
                </c:pt>
                <c:pt idx="29">
                  <c:v>0.74687499999999996</c:v>
                </c:pt>
                <c:pt idx="30">
                  <c:v>0.74687499999999996</c:v>
                </c:pt>
                <c:pt idx="31">
                  <c:v>0.74687499999999996</c:v>
                </c:pt>
                <c:pt idx="32">
                  <c:v>0.74687499999999996</c:v>
                </c:pt>
                <c:pt idx="33">
                  <c:v>0.74687499999999996</c:v>
                </c:pt>
                <c:pt idx="34">
                  <c:v>0.74687499999999996</c:v>
                </c:pt>
                <c:pt idx="35">
                  <c:v>0.74687499999999996</c:v>
                </c:pt>
                <c:pt idx="36">
                  <c:v>0.74687499999999996</c:v>
                </c:pt>
                <c:pt idx="37">
                  <c:v>0.74687499999999996</c:v>
                </c:pt>
                <c:pt idx="38">
                  <c:v>0.74687499999999996</c:v>
                </c:pt>
                <c:pt idx="39">
                  <c:v>0.74687499999999996</c:v>
                </c:pt>
                <c:pt idx="40">
                  <c:v>0.74687499999999996</c:v>
                </c:pt>
                <c:pt idx="41">
                  <c:v>0.74687499999999996</c:v>
                </c:pt>
                <c:pt idx="42">
                  <c:v>0.74687499999999996</c:v>
                </c:pt>
                <c:pt idx="43">
                  <c:v>0.74687499999999996</c:v>
                </c:pt>
                <c:pt idx="44">
                  <c:v>0.74687499999999996</c:v>
                </c:pt>
                <c:pt idx="45">
                  <c:v>0.74687499999999996</c:v>
                </c:pt>
                <c:pt idx="46">
                  <c:v>0.74687499999999996</c:v>
                </c:pt>
                <c:pt idx="47">
                  <c:v>0.74687499999999996</c:v>
                </c:pt>
                <c:pt idx="48">
                  <c:v>0.74687499999999996</c:v>
                </c:pt>
                <c:pt idx="49">
                  <c:v>0.74687499999999996</c:v>
                </c:pt>
                <c:pt idx="50">
                  <c:v>0.74687499999999996</c:v>
                </c:pt>
              </c:numCache>
            </c:numRef>
          </c:yVal>
          <c:smooth val="1"/>
          <c:extLst>
            <c:ext xmlns:c16="http://schemas.microsoft.com/office/drawing/2014/chart" uri="{C3380CC4-5D6E-409C-BE32-E72D297353CC}">
              <c16:uniqueId val="{00000000-A323-49AC-B224-9F9FD111EEB5}"/>
            </c:ext>
          </c:extLst>
        </c:ser>
        <c:ser>
          <c:idx val="1"/>
          <c:order val="1"/>
          <c:tx>
            <c:v>LV Port Nom</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Calculations!$AG$6:$AG$56</c:f>
              <c:numCache>
                <c:formatCode>General</c:formatCode>
                <c:ptCount val="51"/>
                <c:pt idx="0">
                  <c:v>0</c:v>
                </c:pt>
                <c:pt idx="1">
                  <c:v>0.38304217976015364</c:v>
                </c:pt>
                <c:pt idx="2">
                  <c:v>0.54170344557776218</c:v>
                </c:pt>
                <c:pt idx="3">
                  <c:v>0.66344851678651717</c:v>
                </c:pt>
                <c:pt idx="4">
                  <c:v>0.74583333333333335</c:v>
                </c:pt>
                <c:pt idx="5">
                  <c:v>0.74583333333333335</c:v>
                </c:pt>
                <c:pt idx="6">
                  <c:v>0.74583333333333335</c:v>
                </c:pt>
                <c:pt idx="7">
                  <c:v>0.74583333333333335</c:v>
                </c:pt>
                <c:pt idx="8">
                  <c:v>0.74583333333333335</c:v>
                </c:pt>
                <c:pt idx="9">
                  <c:v>0.74583333333333335</c:v>
                </c:pt>
                <c:pt idx="10">
                  <c:v>0.74583333333333335</c:v>
                </c:pt>
                <c:pt idx="11">
                  <c:v>0.74583333333333335</c:v>
                </c:pt>
                <c:pt idx="12">
                  <c:v>0.74583333333333335</c:v>
                </c:pt>
                <c:pt idx="13">
                  <c:v>0.74583333333333335</c:v>
                </c:pt>
                <c:pt idx="14">
                  <c:v>0.74583333333333335</c:v>
                </c:pt>
                <c:pt idx="15">
                  <c:v>0.74583333333333335</c:v>
                </c:pt>
                <c:pt idx="16">
                  <c:v>0.74583333333333335</c:v>
                </c:pt>
                <c:pt idx="17">
                  <c:v>0.74583333333333335</c:v>
                </c:pt>
                <c:pt idx="18">
                  <c:v>0.74583333333333335</c:v>
                </c:pt>
                <c:pt idx="19">
                  <c:v>0.74583333333333335</c:v>
                </c:pt>
                <c:pt idx="20">
                  <c:v>0.74583333333333335</c:v>
                </c:pt>
                <c:pt idx="21">
                  <c:v>0.74583333333333335</c:v>
                </c:pt>
                <c:pt idx="22">
                  <c:v>0.74583333333333335</c:v>
                </c:pt>
                <c:pt idx="23">
                  <c:v>0.74583333333333335</c:v>
                </c:pt>
                <c:pt idx="24">
                  <c:v>0.74583333333333335</c:v>
                </c:pt>
                <c:pt idx="25">
                  <c:v>0.74583333333333335</c:v>
                </c:pt>
                <c:pt idx="26">
                  <c:v>0.74583333333333335</c:v>
                </c:pt>
                <c:pt idx="27">
                  <c:v>0.74583333333333335</c:v>
                </c:pt>
                <c:pt idx="28">
                  <c:v>0.74583333333333335</c:v>
                </c:pt>
                <c:pt idx="29">
                  <c:v>0.74583333333333335</c:v>
                </c:pt>
                <c:pt idx="30">
                  <c:v>0.74583333333333335</c:v>
                </c:pt>
                <c:pt idx="31">
                  <c:v>0.74583333333333335</c:v>
                </c:pt>
                <c:pt idx="32">
                  <c:v>0.74583333333333335</c:v>
                </c:pt>
                <c:pt idx="33">
                  <c:v>0.74583333333333335</c:v>
                </c:pt>
                <c:pt idx="34">
                  <c:v>0.74583333333333335</c:v>
                </c:pt>
                <c:pt idx="35">
                  <c:v>0.74583333333333335</c:v>
                </c:pt>
                <c:pt idx="36">
                  <c:v>0.74583333333333335</c:v>
                </c:pt>
                <c:pt idx="37">
                  <c:v>0.74583333333333335</c:v>
                </c:pt>
                <c:pt idx="38">
                  <c:v>0.74583333333333335</c:v>
                </c:pt>
                <c:pt idx="39">
                  <c:v>0.74583333333333335</c:v>
                </c:pt>
                <c:pt idx="40">
                  <c:v>0.74583333333333335</c:v>
                </c:pt>
                <c:pt idx="41">
                  <c:v>0.74583333333333335</c:v>
                </c:pt>
                <c:pt idx="42">
                  <c:v>0.74583333333333335</c:v>
                </c:pt>
                <c:pt idx="43">
                  <c:v>0.74583333333333335</c:v>
                </c:pt>
                <c:pt idx="44">
                  <c:v>0.74583333333333335</c:v>
                </c:pt>
                <c:pt idx="45">
                  <c:v>0.74583333333333335</c:v>
                </c:pt>
                <c:pt idx="46">
                  <c:v>0.74583333333333335</c:v>
                </c:pt>
                <c:pt idx="47">
                  <c:v>0.74583333333333335</c:v>
                </c:pt>
                <c:pt idx="48">
                  <c:v>0.74583333333333335</c:v>
                </c:pt>
                <c:pt idx="49">
                  <c:v>0.74583333333333335</c:v>
                </c:pt>
                <c:pt idx="50">
                  <c:v>0.74583333333333335</c:v>
                </c:pt>
              </c:numCache>
            </c:numRef>
          </c:yVal>
          <c:smooth val="1"/>
          <c:extLst>
            <c:ext xmlns:c16="http://schemas.microsoft.com/office/drawing/2014/chart" uri="{C3380CC4-5D6E-409C-BE32-E72D297353CC}">
              <c16:uniqueId val="{00000001-A323-49AC-B224-9F9FD111EEB5}"/>
            </c:ext>
          </c:extLst>
        </c:ser>
        <c:ser>
          <c:idx val="2"/>
          <c:order val="2"/>
          <c:tx>
            <c:v>LV Port Max</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Calculations!$AK$6:$AK$56</c:f>
              <c:numCache>
                <c:formatCode>General</c:formatCode>
                <c:ptCount val="51"/>
                <c:pt idx="0">
                  <c:v>0</c:v>
                </c:pt>
                <c:pt idx="1">
                  <c:v>0.38199262734631251</c:v>
                </c:pt>
                <c:pt idx="2">
                  <c:v>0.5402191543196867</c:v>
                </c:pt>
                <c:pt idx="3">
                  <c:v>0.66163063868053773</c:v>
                </c:pt>
                <c:pt idx="4">
                  <c:v>0.74479166666666674</c:v>
                </c:pt>
                <c:pt idx="5">
                  <c:v>0.74479166666666674</c:v>
                </c:pt>
                <c:pt idx="6">
                  <c:v>0.74479166666666674</c:v>
                </c:pt>
                <c:pt idx="7">
                  <c:v>0.74479166666666674</c:v>
                </c:pt>
                <c:pt idx="8">
                  <c:v>0.74479166666666674</c:v>
                </c:pt>
                <c:pt idx="9">
                  <c:v>0.74479166666666674</c:v>
                </c:pt>
                <c:pt idx="10">
                  <c:v>0.74479166666666674</c:v>
                </c:pt>
                <c:pt idx="11">
                  <c:v>0.74479166666666674</c:v>
                </c:pt>
                <c:pt idx="12">
                  <c:v>0.74479166666666674</c:v>
                </c:pt>
                <c:pt idx="13">
                  <c:v>0.74479166666666674</c:v>
                </c:pt>
                <c:pt idx="14">
                  <c:v>0.74479166666666674</c:v>
                </c:pt>
                <c:pt idx="15">
                  <c:v>0.74479166666666674</c:v>
                </c:pt>
                <c:pt idx="16">
                  <c:v>0.74479166666666674</c:v>
                </c:pt>
                <c:pt idx="17">
                  <c:v>0.74479166666666674</c:v>
                </c:pt>
                <c:pt idx="18">
                  <c:v>0.74479166666666674</c:v>
                </c:pt>
                <c:pt idx="19">
                  <c:v>0.74479166666666674</c:v>
                </c:pt>
                <c:pt idx="20">
                  <c:v>0.74479166666666674</c:v>
                </c:pt>
                <c:pt idx="21">
                  <c:v>0.74479166666666674</c:v>
                </c:pt>
                <c:pt idx="22">
                  <c:v>0.74479166666666674</c:v>
                </c:pt>
                <c:pt idx="23">
                  <c:v>0.74479166666666674</c:v>
                </c:pt>
                <c:pt idx="24">
                  <c:v>0.74479166666666674</c:v>
                </c:pt>
                <c:pt idx="25">
                  <c:v>0.74479166666666674</c:v>
                </c:pt>
                <c:pt idx="26">
                  <c:v>0.74479166666666674</c:v>
                </c:pt>
                <c:pt idx="27">
                  <c:v>0.74479166666666674</c:v>
                </c:pt>
                <c:pt idx="28">
                  <c:v>0.74479166666666674</c:v>
                </c:pt>
                <c:pt idx="29">
                  <c:v>0.74479166666666674</c:v>
                </c:pt>
                <c:pt idx="30">
                  <c:v>0.74479166666666674</c:v>
                </c:pt>
                <c:pt idx="31">
                  <c:v>0.74479166666666674</c:v>
                </c:pt>
                <c:pt idx="32">
                  <c:v>0.74479166666666674</c:v>
                </c:pt>
                <c:pt idx="33">
                  <c:v>0.74479166666666674</c:v>
                </c:pt>
                <c:pt idx="34">
                  <c:v>0.74479166666666674</c:v>
                </c:pt>
                <c:pt idx="35">
                  <c:v>0.74479166666666674</c:v>
                </c:pt>
                <c:pt idx="36">
                  <c:v>0.74479166666666674</c:v>
                </c:pt>
                <c:pt idx="37">
                  <c:v>0.74479166666666674</c:v>
                </c:pt>
                <c:pt idx="38">
                  <c:v>0.74479166666666674</c:v>
                </c:pt>
                <c:pt idx="39">
                  <c:v>0.74479166666666674</c:v>
                </c:pt>
                <c:pt idx="40">
                  <c:v>0.74479166666666674</c:v>
                </c:pt>
                <c:pt idx="41">
                  <c:v>0.74479166666666674</c:v>
                </c:pt>
                <c:pt idx="42">
                  <c:v>0.74479166666666674</c:v>
                </c:pt>
                <c:pt idx="43">
                  <c:v>0.74479166666666674</c:v>
                </c:pt>
                <c:pt idx="44">
                  <c:v>0.74479166666666674</c:v>
                </c:pt>
                <c:pt idx="45">
                  <c:v>0.74479166666666674</c:v>
                </c:pt>
                <c:pt idx="46">
                  <c:v>0.74479166666666674</c:v>
                </c:pt>
                <c:pt idx="47">
                  <c:v>0.74479166666666674</c:v>
                </c:pt>
                <c:pt idx="48">
                  <c:v>0.74479166666666674</c:v>
                </c:pt>
                <c:pt idx="49">
                  <c:v>0.74479166666666674</c:v>
                </c:pt>
                <c:pt idx="50">
                  <c:v>0.74479166666666674</c:v>
                </c:pt>
              </c:numCache>
            </c:numRef>
          </c:yVal>
          <c:smooth val="1"/>
          <c:extLst>
            <c:ext xmlns:c16="http://schemas.microsoft.com/office/drawing/2014/chart" uri="{C3380CC4-5D6E-409C-BE32-E72D297353CC}">
              <c16:uniqueId val="{00000002-A323-49AC-B224-9F9FD111EEB5}"/>
            </c:ext>
          </c:extLst>
        </c:ser>
        <c:ser>
          <c:idx val="3"/>
          <c:order val="3"/>
          <c:tx>
            <c:v>LV Min</c:v>
          </c:tx>
          <c:marker>
            <c:symbol val="circle"/>
            <c:size val="11"/>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Calculations!$B$51</c:f>
              <c:numCache>
                <c:formatCode>0.000</c:formatCode>
                <c:ptCount val="1"/>
                <c:pt idx="0">
                  <c:v>18.9052734375</c:v>
                </c:pt>
              </c:numCache>
            </c:numRef>
          </c:xVal>
          <c:yVal>
            <c:numRef>
              <c:f>Calculations!$B$52</c:f>
              <c:numCache>
                <c:formatCode>General</c:formatCode>
                <c:ptCount val="1"/>
                <c:pt idx="0">
                  <c:v>0.74687499999999996</c:v>
                </c:pt>
              </c:numCache>
            </c:numRef>
          </c:yVal>
          <c:smooth val="0"/>
          <c:extLst>
            <c:ext xmlns:c16="http://schemas.microsoft.com/office/drawing/2014/chart" uri="{C3380CC4-5D6E-409C-BE32-E72D297353CC}">
              <c16:uniqueId val="{00000003-A323-49AC-B224-9F9FD111EEB5}"/>
            </c:ext>
          </c:extLst>
        </c:ser>
        <c:ser>
          <c:idx val="4"/>
          <c:order val="4"/>
          <c:tx>
            <c:v>LV Nom</c:v>
          </c:tx>
          <c:spPr>
            <a:ln w="47625"/>
          </c:spPr>
          <c:marker>
            <c:symbol val="circle"/>
            <c:size val="11"/>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Calculations!$B$54</c:f>
              <c:numCache>
                <c:formatCode>0.000</c:formatCode>
                <c:ptCount val="1"/>
                <c:pt idx="0">
                  <c:v>18.956597222222221</c:v>
                </c:pt>
              </c:numCache>
            </c:numRef>
          </c:xVal>
          <c:yVal>
            <c:numRef>
              <c:f>Calculations!$B$55</c:f>
              <c:numCache>
                <c:formatCode>0.000</c:formatCode>
                <c:ptCount val="1"/>
                <c:pt idx="0">
                  <c:v>0.74583333333333335</c:v>
                </c:pt>
              </c:numCache>
            </c:numRef>
          </c:yVal>
          <c:smooth val="0"/>
          <c:extLst>
            <c:ext xmlns:c16="http://schemas.microsoft.com/office/drawing/2014/chart" uri="{C3380CC4-5D6E-409C-BE32-E72D297353CC}">
              <c16:uniqueId val="{00000004-A323-49AC-B224-9F9FD111EEB5}"/>
            </c:ext>
          </c:extLst>
        </c:ser>
        <c:ser>
          <c:idx val="5"/>
          <c:order val="5"/>
          <c:tx>
            <c:v>LV Max</c:v>
          </c:tx>
          <c:marker>
            <c:symbol val="circle"/>
            <c:size val="11"/>
            <c:spPr>
              <a:noFill/>
              <a:ln w="25400">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Calculations!$B$57</c:f>
              <c:numCache>
                <c:formatCode>0.000</c:formatCode>
                <c:ptCount val="1"/>
                <c:pt idx="0">
                  <c:v>19.007703993055554</c:v>
                </c:pt>
              </c:numCache>
            </c:numRef>
          </c:xVal>
          <c:yVal>
            <c:numRef>
              <c:f>Calculations!$B$58</c:f>
              <c:numCache>
                <c:formatCode>General</c:formatCode>
                <c:ptCount val="1"/>
                <c:pt idx="0">
                  <c:v>0.74479166666666674</c:v>
                </c:pt>
              </c:numCache>
            </c:numRef>
          </c:yVal>
          <c:smooth val="1"/>
          <c:extLst>
            <c:ext xmlns:c16="http://schemas.microsoft.com/office/drawing/2014/chart" uri="{C3380CC4-5D6E-409C-BE32-E72D297353CC}">
              <c16:uniqueId val="{00000005-A323-49AC-B224-9F9FD111EEB5}"/>
            </c:ext>
          </c:extLst>
        </c:ser>
        <c:dLbls>
          <c:showLegendKey val="0"/>
          <c:showVal val="0"/>
          <c:showCatName val="0"/>
          <c:showSerName val="0"/>
          <c:showPercent val="0"/>
          <c:showBubbleSize val="0"/>
        </c:dLbls>
        <c:axId val="185636352"/>
        <c:axId val="186201216"/>
      </c:scatterChart>
      <c:valAx>
        <c:axId val="185636352"/>
        <c:scaling>
          <c:orientation val="minMax"/>
        </c:scaling>
        <c:delete val="0"/>
        <c:axPos val="b"/>
        <c:majorGridlines/>
        <c:title>
          <c:tx>
            <c:rich>
              <a:bodyPr/>
              <a:lstStyle/>
              <a:p>
                <a:pPr>
                  <a:defRPr/>
                </a:pPr>
                <a:r>
                  <a:rPr lang="en-US"/>
                  <a:t>Per Phase Average Inductor Current  (A)</a:t>
                </a:r>
              </a:p>
            </c:rich>
          </c:tx>
          <c:overlay val="0"/>
        </c:title>
        <c:numFmt formatCode="General" sourceLinked="1"/>
        <c:majorTickMark val="out"/>
        <c:minorTickMark val="none"/>
        <c:tickLblPos val="nextTo"/>
        <c:crossAx val="186201216"/>
        <c:crosses val="autoZero"/>
        <c:crossBetween val="midCat"/>
      </c:valAx>
      <c:valAx>
        <c:axId val="186201216"/>
        <c:scaling>
          <c:orientation val="minMax"/>
          <c:max val="1"/>
          <c:min val="0"/>
        </c:scaling>
        <c:delete val="0"/>
        <c:axPos val="l"/>
        <c:majorGridlines/>
        <c:title>
          <c:tx>
            <c:rich>
              <a:bodyPr rot="-5400000" vert="horz"/>
              <a:lstStyle/>
              <a:p>
                <a:pPr>
                  <a:defRPr/>
                </a:pPr>
                <a:r>
                  <a:rPr lang="en-US"/>
                  <a:t>LO</a:t>
                </a:r>
                <a:r>
                  <a:rPr lang="en-US" baseline="0"/>
                  <a:t> Duty Cycle</a:t>
                </a:r>
                <a:endParaRPr lang="en-US"/>
              </a:p>
            </c:rich>
          </c:tx>
          <c:overlay val="0"/>
        </c:title>
        <c:numFmt formatCode="General" sourceLinked="1"/>
        <c:majorTickMark val="out"/>
        <c:minorTickMark val="none"/>
        <c:tickLblPos val="nextTo"/>
        <c:crossAx val="185636352"/>
        <c:crosses val="autoZero"/>
        <c:crossBetween val="midCat"/>
      </c:valAx>
    </c:plotArea>
    <c:legend>
      <c:legendPos val="b"/>
      <c:legendEntry>
        <c:idx val="3"/>
        <c:delete val="1"/>
      </c:legendEntry>
      <c:legendEntry>
        <c:idx val="4"/>
        <c:delete val="1"/>
      </c:legendEntry>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Buck Mode Duty Cycle</a:t>
            </a:r>
          </a:p>
        </c:rich>
      </c:tx>
      <c:overlay val="0"/>
    </c:title>
    <c:autoTitleDeleted val="0"/>
    <c:plotArea>
      <c:layout/>
      <c:scatterChart>
        <c:scatterStyle val="smoothMarker"/>
        <c:varyColors val="0"/>
        <c:ser>
          <c:idx val="0"/>
          <c:order val="0"/>
          <c:tx>
            <c:v>HV Port Min</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Calculations!$P$6:$P$56</c:f>
              <c:numCache>
                <c:formatCode>General</c:formatCode>
                <c:ptCount val="51"/>
                <c:pt idx="0">
                  <c:v>0</c:v>
                </c:pt>
                <c:pt idx="1">
                  <c:v>0.19155085309992298</c:v>
                </c:pt>
                <c:pt idx="2">
                  <c:v>0.27089381433804749</c:v>
                </c:pt>
                <c:pt idx="3">
                  <c:v>0.33177580980222898</c:v>
                </c:pt>
                <c:pt idx="4">
                  <c:v>0.34857142857142853</c:v>
                </c:pt>
                <c:pt idx="5">
                  <c:v>0.34857142857142853</c:v>
                </c:pt>
                <c:pt idx="6">
                  <c:v>0.34857142857142853</c:v>
                </c:pt>
                <c:pt idx="7">
                  <c:v>0.34857142857142853</c:v>
                </c:pt>
                <c:pt idx="8">
                  <c:v>0.34857142857142853</c:v>
                </c:pt>
                <c:pt idx="9">
                  <c:v>0.34857142857142853</c:v>
                </c:pt>
                <c:pt idx="10">
                  <c:v>0.34857142857142853</c:v>
                </c:pt>
                <c:pt idx="11">
                  <c:v>0.34857142857142853</c:v>
                </c:pt>
                <c:pt idx="12">
                  <c:v>0.34857142857142853</c:v>
                </c:pt>
                <c:pt idx="13">
                  <c:v>0.34857142857142853</c:v>
                </c:pt>
                <c:pt idx="14">
                  <c:v>0.34857142857142853</c:v>
                </c:pt>
                <c:pt idx="15">
                  <c:v>0.34857142857142853</c:v>
                </c:pt>
                <c:pt idx="16">
                  <c:v>0.34857142857142853</c:v>
                </c:pt>
                <c:pt idx="17">
                  <c:v>0.34857142857142853</c:v>
                </c:pt>
                <c:pt idx="18">
                  <c:v>0.34857142857142853</c:v>
                </c:pt>
                <c:pt idx="19">
                  <c:v>0.34857142857142853</c:v>
                </c:pt>
                <c:pt idx="20">
                  <c:v>0.34857142857142853</c:v>
                </c:pt>
                <c:pt idx="21">
                  <c:v>0.34857142857142853</c:v>
                </c:pt>
                <c:pt idx="22">
                  <c:v>0.34857142857142853</c:v>
                </c:pt>
                <c:pt idx="23">
                  <c:v>0.34857142857142853</c:v>
                </c:pt>
                <c:pt idx="24">
                  <c:v>0.34857142857142853</c:v>
                </c:pt>
                <c:pt idx="25">
                  <c:v>0.34857142857142853</c:v>
                </c:pt>
                <c:pt idx="26">
                  <c:v>0.34857142857142853</c:v>
                </c:pt>
                <c:pt idx="27">
                  <c:v>0.34857142857142853</c:v>
                </c:pt>
                <c:pt idx="28">
                  <c:v>0.34857142857142853</c:v>
                </c:pt>
                <c:pt idx="29">
                  <c:v>0.34857142857142853</c:v>
                </c:pt>
                <c:pt idx="30">
                  <c:v>0.34857142857142853</c:v>
                </c:pt>
                <c:pt idx="31">
                  <c:v>0.34857142857142853</c:v>
                </c:pt>
                <c:pt idx="32">
                  <c:v>0.34857142857142853</c:v>
                </c:pt>
                <c:pt idx="33">
                  <c:v>0.34857142857142853</c:v>
                </c:pt>
                <c:pt idx="34">
                  <c:v>0.34857142857142853</c:v>
                </c:pt>
                <c:pt idx="35">
                  <c:v>0.34857142857142853</c:v>
                </c:pt>
                <c:pt idx="36">
                  <c:v>0.34857142857142853</c:v>
                </c:pt>
                <c:pt idx="37">
                  <c:v>0.34857142857142853</c:v>
                </c:pt>
                <c:pt idx="38">
                  <c:v>0.34857142857142853</c:v>
                </c:pt>
                <c:pt idx="39">
                  <c:v>0.34857142857142853</c:v>
                </c:pt>
                <c:pt idx="40">
                  <c:v>0.34857142857142853</c:v>
                </c:pt>
                <c:pt idx="41">
                  <c:v>0.34857142857142853</c:v>
                </c:pt>
                <c:pt idx="42">
                  <c:v>0.34857142857142853</c:v>
                </c:pt>
                <c:pt idx="43">
                  <c:v>0.34857142857142853</c:v>
                </c:pt>
                <c:pt idx="44">
                  <c:v>0.34857142857142853</c:v>
                </c:pt>
                <c:pt idx="45">
                  <c:v>0.34857142857142853</c:v>
                </c:pt>
                <c:pt idx="46">
                  <c:v>0.34857142857142853</c:v>
                </c:pt>
                <c:pt idx="47">
                  <c:v>0.34857142857142853</c:v>
                </c:pt>
                <c:pt idx="48">
                  <c:v>0.34857142857142853</c:v>
                </c:pt>
                <c:pt idx="49">
                  <c:v>0.34857142857142853</c:v>
                </c:pt>
                <c:pt idx="50">
                  <c:v>0.34857142857142853</c:v>
                </c:pt>
              </c:numCache>
            </c:numRef>
          </c:yVal>
          <c:smooth val="1"/>
          <c:extLst>
            <c:ext xmlns:c16="http://schemas.microsoft.com/office/drawing/2014/chart" uri="{C3380CC4-5D6E-409C-BE32-E72D297353CC}">
              <c16:uniqueId val="{00000000-5F62-4FB1-A7F0-ED0ECA156D97}"/>
            </c:ext>
          </c:extLst>
        </c:ser>
        <c:ser>
          <c:idx val="1"/>
          <c:order val="1"/>
          <c:tx>
            <c:v>HV Port Nom</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Calculations!$T$6:$T$56</c:f>
              <c:numCache>
                <c:formatCode>General</c:formatCode>
                <c:ptCount val="51"/>
                <c:pt idx="0">
                  <c:v>0</c:v>
                </c:pt>
                <c:pt idx="1">
                  <c:v>0.13053392718083448</c:v>
                </c:pt>
                <c:pt idx="2">
                  <c:v>0.18460285016895808</c:v>
                </c:pt>
                <c:pt idx="3">
                  <c:v>0.2260913939887014</c:v>
                </c:pt>
                <c:pt idx="4">
                  <c:v>0.25416666666666665</c:v>
                </c:pt>
                <c:pt idx="5">
                  <c:v>0.25416666666666665</c:v>
                </c:pt>
                <c:pt idx="6">
                  <c:v>0.25416666666666665</c:v>
                </c:pt>
                <c:pt idx="7">
                  <c:v>0.25416666666666665</c:v>
                </c:pt>
                <c:pt idx="8">
                  <c:v>0.25416666666666665</c:v>
                </c:pt>
                <c:pt idx="9">
                  <c:v>0.25416666666666665</c:v>
                </c:pt>
                <c:pt idx="10">
                  <c:v>0.25416666666666665</c:v>
                </c:pt>
                <c:pt idx="11">
                  <c:v>0.25416666666666665</c:v>
                </c:pt>
                <c:pt idx="12">
                  <c:v>0.25416666666666665</c:v>
                </c:pt>
                <c:pt idx="13">
                  <c:v>0.25416666666666665</c:v>
                </c:pt>
                <c:pt idx="14">
                  <c:v>0.25416666666666665</c:v>
                </c:pt>
                <c:pt idx="15">
                  <c:v>0.25416666666666665</c:v>
                </c:pt>
                <c:pt idx="16">
                  <c:v>0.25416666666666665</c:v>
                </c:pt>
                <c:pt idx="17">
                  <c:v>0.25416666666666665</c:v>
                </c:pt>
                <c:pt idx="18">
                  <c:v>0.25416666666666665</c:v>
                </c:pt>
                <c:pt idx="19">
                  <c:v>0.25416666666666665</c:v>
                </c:pt>
                <c:pt idx="20">
                  <c:v>0.25416666666666665</c:v>
                </c:pt>
                <c:pt idx="21">
                  <c:v>0.25416666666666665</c:v>
                </c:pt>
                <c:pt idx="22">
                  <c:v>0.25416666666666665</c:v>
                </c:pt>
                <c:pt idx="23">
                  <c:v>0.25416666666666665</c:v>
                </c:pt>
                <c:pt idx="24">
                  <c:v>0.25416666666666665</c:v>
                </c:pt>
                <c:pt idx="25">
                  <c:v>0.25416666666666665</c:v>
                </c:pt>
                <c:pt idx="26">
                  <c:v>0.25416666666666665</c:v>
                </c:pt>
                <c:pt idx="27">
                  <c:v>0.25416666666666665</c:v>
                </c:pt>
                <c:pt idx="28">
                  <c:v>0.25416666666666665</c:v>
                </c:pt>
                <c:pt idx="29">
                  <c:v>0.25416666666666665</c:v>
                </c:pt>
                <c:pt idx="30">
                  <c:v>0.25416666666666665</c:v>
                </c:pt>
                <c:pt idx="31">
                  <c:v>0.25416666666666665</c:v>
                </c:pt>
                <c:pt idx="32">
                  <c:v>0.25416666666666665</c:v>
                </c:pt>
                <c:pt idx="33">
                  <c:v>0.25416666666666665</c:v>
                </c:pt>
                <c:pt idx="34">
                  <c:v>0.25416666666666665</c:v>
                </c:pt>
                <c:pt idx="35">
                  <c:v>0.25416666666666665</c:v>
                </c:pt>
                <c:pt idx="36">
                  <c:v>0.25416666666666665</c:v>
                </c:pt>
                <c:pt idx="37">
                  <c:v>0.25416666666666665</c:v>
                </c:pt>
                <c:pt idx="38">
                  <c:v>0.25416666666666665</c:v>
                </c:pt>
                <c:pt idx="39">
                  <c:v>0.25416666666666665</c:v>
                </c:pt>
                <c:pt idx="40">
                  <c:v>0.25416666666666665</c:v>
                </c:pt>
                <c:pt idx="41">
                  <c:v>0.25416666666666665</c:v>
                </c:pt>
                <c:pt idx="42">
                  <c:v>0.25416666666666665</c:v>
                </c:pt>
                <c:pt idx="43">
                  <c:v>0.25416666666666665</c:v>
                </c:pt>
                <c:pt idx="44">
                  <c:v>0.25416666666666665</c:v>
                </c:pt>
                <c:pt idx="45">
                  <c:v>0.25416666666666665</c:v>
                </c:pt>
                <c:pt idx="46">
                  <c:v>0.25416666666666665</c:v>
                </c:pt>
                <c:pt idx="47">
                  <c:v>0.25416666666666665</c:v>
                </c:pt>
                <c:pt idx="48">
                  <c:v>0.25416666666666665</c:v>
                </c:pt>
                <c:pt idx="49">
                  <c:v>0.25416666666666665</c:v>
                </c:pt>
                <c:pt idx="50">
                  <c:v>0.25416666666666665</c:v>
                </c:pt>
              </c:numCache>
            </c:numRef>
          </c:yVal>
          <c:smooth val="1"/>
          <c:extLst>
            <c:ext xmlns:c16="http://schemas.microsoft.com/office/drawing/2014/chart" uri="{C3380CC4-5D6E-409C-BE32-E72D297353CC}">
              <c16:uniqueId val="{00000001-5F62-4FB1-A7F0-ED0ECA156D97}"/>
            </c:ext>
          </c:extLst>
        </c:ser>
        <c:ser>
          <c:idx val="2"/>
          <c:order val="2"/>
          <c:tx>
            <c:v>HV Port Max</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Calculations!$X$6:$X$56</c:f>
              <c:numCache>
                <c:formatCode>General</c:formatCode>
                <c:ptCount val="51"/>
                <c:pt idx="0">
                  <c:v>0</c:v>
                </c:pt>
                <c:pt idx="1">
                  <c:v>0.10925830719356011</c:v>
                </c:pt>
                <c:pt idx="2">
                  <c:v>0.15451457983505859</c:v>
                </c:pt>
                <c:pt idx="3">
                  <c:v>0.18924093920821428</c:v>
                </c:pt>
                <c:pt idx="4">
                  <c:v>0.21785714285714283</c:v>
                </c:pt>
                <c:pt idx="5">
                  <c:v>0.21785714285714283</c:v>
                </c:pt>
                <c:pt idx="6">
                  <c:v>0.21785714285714283</c:v>
                </c:pt>
                <c:pt idx="7">
                  <c:v>0.21785714285714283</c:v>
                </c:pt>
                <c:pt idx="8">
                  <c:v>0.21785714285714283</c:v>
                </c:pt>
                <c:pt idx="9">
                  <c:v>0.21785714285714283</c:v>
                </c:pt>
                <c:pt idx="10">
                  <c:v>0.21785714285714283</c:v>
                </c:pt>
                <c:pt idx="11">
                  <c:v>0.21785714285714283</c:v>
                </c:pt>
                <c:pt idx="12">
                  <c:v>0.21785714285714283</c:v>
                </c:pt>
                <c:pt idx="13">
                  <c:v>0.21785714285714283</c:v>
                </c:pt>
                <c:pt idx="14">
                  <c:v>0.21785714285714283</c:v>
                </c:pt>
                <c:pt idx="15">
                  <c:v>0.21785714285714283</c:v>
                </c:pt>
                <c:pt idx="16">
                  <c:v>0.21785714285714283</c:v>
                </c:pt>
                <c:pt idx="17">
                  <c:v>0.21785714285714283</c:v>
                </c:pt>
                <c:pt idx="18">
                  <c:v>0.21785714285714283</c:v>
                </c:pt>
                <c:pt idx="19">
                  <c:v>0.21785714285714283</c:v>
                </c:pt>
                <c:pt idx="20">
                  <c:v>0.21785714285714283</c:v>
                </c:pt>
                <c:pt idx="21">
                  <c:v>0.21785714285714283</c:v>
                </c:pt>
                <c:pt idx="22">
                  <c:v>0.21785714285714283</c:v>
                </c:pt>
                <c:pt idx="23">
                  <c:v>0.21785714285714283</c:v>
                </c:pt>
                <c:pt idx="24">
                  <c:v>0.21785714285714283</c:v>
                </c:pt>
                <c:pt idx="25">
                  <c:v>0.21785714285714283</c:v>
                </c:pt>
                <c:pt idx="26">
                  <c:v>0.21785714285714283</c:v>
                </c:pt>
                <c:pt idx="27">
                  <c:v>0.21785714285714283</c:v>
                </c:pt>
                <c:pt idx="28">
                  <c:v>0.21785714285714283</c:v>
                </c:pt>
                <c:pt idx="29">
                  <c:v>0.21785714285714283</c:v>
                </c:pt>
                <c:pt idx="30">
                  <c:v>0.21785714285714283</c:v>
                </c:pt>
                <c:pt idx="31">
                  <c:v>0.21785714285714283</c:v>
                </c:pt>
                <c:pt idx="32">
                  <c:v>0.21785714285714283</c:v>
                </c:pt>
                <c:pt idx="33">
                  <c:v>0.21785714285714283</c:v>
                </c:pt>
                <c:pt idx="34">
                  <c:v>0.21785714285714283</c:v>
                </c:pt>
                <c:pt idx="35">
                  <c:v>0.21785714285714283</c:v>
                </c:pt>
                <c:pt idx="36">
                  <c:v>0.21785714285714283</c:v>
                </c:pt>
                <c:pt idx="37">
                  <c:v>0.21785714285714283</c:v>
                </c:pt>
                <c:pt idx="38">
                  <c:v>0.21785714285714283</c:v>
                </c:pt>
                <c:pt idx="39">
                  <c:v>0.21785714285714283</c:v>
                </c:pt>
                <c:pt idx="40">
                  <c:v>0.21785714285714283</c:v>
                </c:pt>
                <c:pt idx="41">
                  <c:v>0.21785714285714283</c:v>
                </c:pt>
                <c:pt idx="42">
                  <c:v>0.21785714285714283</c:v>
                </c:pt>
                <c:pt idx="43">
                  <c:v>0.21785714285714283</c:v>
                </c:pt>
                <c:pt idx="44">
                  <c:v>0.21785714285714283</c:v>
                </c:pt>
                <c:pt idx="45">
                  <c:v>0.21785714285714283</c:v>
                </c:pt>
                <c:pt idx="46">
                  <c:v>0.21785714285714283</c:v>
                </c:pt>
                <c:pt idx="47">
                  <c:v>0.21785714285714283</c:v>
                </c:pt>
                <c:pt idx="48">
                  <c:v>0.21785714285714283</c:v>
                </c:pt>
                <c:pt idx="49">
                  <c:v>0.21785714285714283</c:v>
                </c:pt>
                <c:pt idx="50">
                  <c:v>0.21785714285714283</c:v>
                </c:pt>
              </c:numCache>
            </c:numRef>
          </c:yVal>
          <c:smooth val="1"/>
          <c:extLst>
            <c:ext xmlns:c16="http://schemas.microsoft.com/office/drawing/2014/chart" uri="{C3380CC4-5D6E-409C-BE32-E72D297353CC}">
              <c16:uniqueId val="{00000002-5F62-4FB1-A7F0-ED0ECA156D97}"/>
            </c:ext>
          </c:extLst>
        </c:ser>
        <c:ser>
          <c:idx val="3"/>
          <c:order val="3"/>
          <c:tx>
            <c:v>HV MIN</c:v>
          </c:tx>
          <c:marker>
            <c:symbol val="circle"/>
            <c:size val="10"/>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Calculations!$B$42</c:f>
              <c:numCache>
                <c:formatCode>0.000</c:formatCode>
                <c:ptCount val="1"/>
                <c:pt idx="0">
                  <c:v>16.557142857142857</c:v>
                </c:pt>
              </c:numCache>
            </c:numRef>
          </c:xVal>
          <c:yVal>
            <c:numRef>
              <c:f>Calculations!$B$43</c:f>
              <c:numCache>
                <c:formatCode>General</c:formatCode>
                <c:ptCount val="1"/>
                <c:pt idx="0">
                  <c:v>0.34857142857142853</c:v>
                </c:pt>
              </c:numCache>
            </c:numRef>
          </c:yVal>
          <c:smooth val="1"/>
          <c:extLst>
            <c:ext xmlns:c16="http://schemas.microsoft.com/office/drawing/2014/chart" uri="{C3380CC4-5D6E-409C-BE32-E72D297353CC}">
              <c16:uniqueId val="{00000003-5F62-4FB1-A7F0-ED0ECA156D97}"/>
            </c:ext>
          </c:extLst>
        </c:ser>
        <c:ser>
          <c:idx val="4"/>
          <c:order val="4"/>
          <c:tx>
            <c:v>HV Nom</c:v>
          </c:tx>
          <c:marker>
            <c:symbol val="circle"/>
            <c:size val="10"/>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Calculations!$B$45</c:f>
              <c:numCache>
                <c:formatCode>0.000</c:formatCode>
                <c:ptCount val="1"/>
                <c:pt idx="0">
                  <c:v>18.956597222222221</c:v>
                </c:pt>
              </c:numCache>
            </c:numRef>
          </c:xVal>
          <c:yVal>
            <c:numRef>
              <c:f>Calculations!$B$46</c:f>
              <c:numCache>
                <c:formatCode>0.0000</c:formatCode>
                <c:ptCount val="1"/>
                <c:pt idx="0">
                  <c:v>0.25416666666666665</c:v>
                </c:pt>
              </c:numCache>
            </c:numRef>
          </c:yVal>
          <c:smooth val="1"/>
          <c:extLst>
            <c:ext xmlns:c16="http://schemas.microsoft.com/office/drawing/2014/chart" uri="{C3380CC4-5D6E-409C-BE32-E72D297353CC}">
              <c16:uniqueId val="{00000004-5F62-4FB1-A7F0-ED0ECA156D97}"/>
            </c:ext>
          </c:extLst>
        </c:ser>
        <c:ser>
          <c:idx val="5"/>
          <c:order val="5"/>
          <c:tx>
            <c:v>HV Max</c:v>
          </c:tx>
          <c:marker>
            <c:symbol val="circle"/>
            <c:size val="10"/>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Calculations!$B$48</c:f>
              <c:numCache>
                <c:formatCode>0.000</c:formatCode>
                <c:ptCount val="1"/>
                <c:pt idx="0">
                  <c:v>19.879464285714281</c:v>
                </c:pt>
              </c:numCache>
            </c:numRef>
          </c:xVal>
          <c:yVal>
            <c:numRef>
              <c:f>Calculations!$B$49</c:f>
              <c:numCache>
                <c:formatCode>0.000</c:formatCode>
                <c:ptCount val="1"/>
                <c:pt idx="0">
                  <c:v>0.21785714285714283</c:v>
                </c:pt>
              </c:numCache>
            </c:numRef>
          </c:yVal>
          <c:smooth val="1"/>
          <c:extLst>
            <c:ext xmlns:c16="http://schemas.microsoft.com/office/drawing/2014/chart" uri="{C3380CC4-5D6E-409C-BE32-E72D297353CC}">
              <c16:uniqueId val="{00000005-5F62-4FB1-A7F0-ED0ECA156D97}"/>
            </c:ext>
          </c:extLst>
        </c:ser>
        <c:dLbls>
          <c:showLegendKey val="0"/>
          <c:showVal val="0"/>
          <c:showCatName val="0"/>
          <c:showSerName val="0"/>
          <c:showPercent val="0"/>
          <c:showBubbleSize val="0"/>
        </c:dLbls>
        <c:axId val="187404288"/>
        <c:axId val="187406208"/>
      </c:scatterChart>
      <c:valAx>
        <c:axId val="187404288"/>
        <c:scaling>
          <c:orientation val="minMax"/>
        </c:scaling>
        <c:delete val="0"/>
        <c:axPos val="b"/>
        <c:majorGridlines/>
        <c:title>
          <c:tx>
            <c:rich>
              <a:bodyPr/>
              <a:lstStyle/>
              <a:p>
                <a:pPr>
                  <a:defRPr/>
                </a:pPr>
                <a:r>
                  <a:rPr lang="en-US"/>
                  <a:t>Per</a:t>
                </a:r>
                <a:r>
                  <a:rPr lang="en-US" baseline="0"/>
                  <a:t> Phase Average Inductor Current (A)</a:t>
                </a:r>
                <a:endParaRPr lang="en-US"/>
              </a:p>
            </c:rich>
          </c:tx>
          <c:overlay val="0"/>
        </c:title>
        <c:numFmt formatCode="General" sourceLinked="1"/>
        <c:majorTickMark val="out"/>
        <c:minorTickMark val="none"/>
        <c:tickLblPos val="nextTo"/>
        <c:crossAx val="187406208"/>
        <c:crosses val="autoZero"/>
        <c:crossBetween val="midCat"/>
      </c:valAx>
      <c:valAx>
        <c:axId val="187406208"/>
        <c:scaling>
          <c:orientation val="minMax"/>
          <c:max val="1"/>
          <c:min val="0"/>
        </c:scaling>
        <c:delete val="0"/>
        <c:axPos val="l"/>
        <c:majorGridlines/>
        <c:title>
          <c:tx>
            <c:rich>
              <a:bodyPr rot="-5400000" vert="horz"/>
              <a:lstStyle/>
              <a:p>
                <a:pPr>
                  <a:defRPr/>
                </a:pPr>
                <a:r>
                  <a:rPr lang="en-US"/>
                  <a:t>HO</a:t>
                </a:r>
                <a:r>
                  <a:rPr lang="en-US" baseline="0"/>
                  <a:t> Duty Cycle</a:t>
                </a:r>
                <a:endParaRPr lang="en-US"/>
              </a:p>
            </c:rich>
          </c:tx>
          <c:overlay val="0"/>
        </c:title>
        <c:numFmt formatCode="General" sourceLinked="1"/>
        <c:majorTickMark val="out"/>
        <c:minorTickMark val="none"/>
        <c:tickLblPos val="nextTo"/>
        <c:crossAx val="187404288"/>
        <c:crosses val="autoZero"/>
        <c:crossBetween val="midCat"/>
      </c:valAx>
    </c:plotArea>
    <c:legend>
      <c:legendPos val="b"/>
      <c:legendEntry>
        <c:idx val="3"/>
        <c:delete val="1"/>
      </c:legendEntry>
      <c:legendEntry>
        <c:idx val="4"/>
        <c:delete val="1"/>
      </c:legendEntry>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Buck Mode Voltage Loop</a:t>
            </a:r>
            <a:endParaRPr lang="en-US"/>
          </a:p>
        </c:rich>
      </c:tx>
      <c:overlay val="0"/>
    </c:title>
    <c:autoTitleDeleted val="0"/>
    <c:plotArea>
      <c:layout/>
      <c:scatterChart>
        <c:scatterStyle val="lineMarker"/>
        <c:varyColors val="0"/>
        <c:ser>
          <c:idx val="0"/>
          <c:order val="0"/>
          <c:tx>
            <c:v>Gain</c:v>
          </c:tx>
          <c:marker>
            <c:symbol val="none"/>
          </c:marker>
          <c:xVal>
            <c:numRef>
              <c:f>Compensation!$B$79:$B$133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Compensation!$Y$79:$Y$133</c:f>
              <c:numCache>
                <c:formatCode>General</c:formatCode>
                <c:ptCount val="55"/>
                <c:pt idx="0">
                  <c:v>82.142448069041123</c:v>
                </c:pt>
                <c:pt idx="1">
                  <c:v>76.121823393837573</c:v>
                </c:pt>
                <c:pt idx="2">
                  <c:v>72.599956943518137</c:v>
                </c:pt>
                <c:pt idx="3">
                  <c:v>70.101124435866325</c:v>
                </c:pt>
                <c:pt idx="4">
                  <c:v>68.16284989534131</c:v>
                </c:pt>
                <c:pt idx="5">
                  <c:v>66.579134190949119</c:v>
                </c:pt>
                <c:pt idx="6">
                  <c:v>65.240091114024153</c:v>
                </c:pt>
                <c:pt idx="7">
                  <c:v>64.080128391887541</c:v>
                </c:pt>
                <c:pt idx="8">
                  <c:v>63.056937665089833</c:v>
                </c:pt>
                <c:pt idx="9">
                  <c:v>62.141631084161645</c:v>
                </c:pt>
                <c:pt idx="10">
                  <c:v>56.118557455102987</c:v>
                </c:pt>
                <c:pt idx="11">
                  <c:v>52.592616071365505</c:v>
                </c:pt>
                <c:pt idx="12">
                  <c:v>50.088092590123409</c:v>
                </c:pt>
                <c:pt idx="13">
                  <c:v>48.142524861339204</c:v>
                </c:pt>
                <c:pt idx="14">
                  <c:v>46.549931377356771</c:v>
                </c:pt>
                <c:pt idx="15">
                  <c:v>45.20044723910749</c:v>
                </c:pt>
                <c:pt idx="16">
                  <c:v>44.028505036278951</c:v>
                </c:pt>
                <c:pt idx="17">
                  <c:v>42.991824670787999</c:v>
                </c:pt>
                <c:pt idx="18">
                  <c:v>42.06154978132907</c:v>
                </c:pt>
                <c:pt idx="19">
                  <c:v>35.816288293524565</c:v>
                </c:pt>
                <c:pt idx="20">
                  <c:v>31.970559602321668</c:v>
                </c:pt>
                <c:pt idx="21">
                  <c:v>29.099521193293626</c:v>
                </c:pt>
                <c:pt idx="22">
                  <c:v>26.782394487257051</c:v>
                </c:pt>
                <c:pt idx="23">
                  <c:v>24.840312201215767</c:v>
                </c:pt>
                <c:pt idx="24">
                  <c:v>23.1775700216307</c:v>
                </c:pt>
                <c:pt idx="25">
                  <c:v>21.733769382207694</c:v>
                </c:pt>
                <c:pt idx="26">
                  <c:v>20.466485919908159</c:v>
                </c:pt>
                <c:pt idx="27">
                  <c:v>19.344012330746374</c:v>
                </c:pt>
                <c:pt idx="28">
                  <c:v>12.497618191715254</c:v>
                </c:pt>
                <c:pt idx="29">
                  <c:v>9.0888174936948314</c:v>
                </c:pt>
                <c:pt idx="30">
                  <c:v>7.0092020776656341</c:v>
                </c:pt>
                <c:pt idx="31">
                  <c:v>5.6338124865026264</c:v>
                </c:pt>
                <c:pt idx="32">
                  <c:v>4.6899291157982024</c:v>
                </c:pt>
                <c:pt idx="33">
                  <c:v>4.031787798315527</c:v>
                </c:pt>
                <c:pt idx="34">
                  <c:v>3.5726398566391797</c:v>
                </c:pt>
                <c:pt idx="35">
                  <c:v>3.2576553655472349</c:v>
                </c:pt>
                <c:pt idx="36">
                  <c:v>3.0508831761988384</c:v>
                </c:pt>
                <c:pt idx="37">
                  <c:v>4.0004220107429536</c:v>
                </c:pt>
                <c:pt idx="38">
                  <c:v>5.8705477396738743</c:v>
                </c:pt>
                <c:pt idx="39">
                  <c:v>-1.3035425041289121</c:v>
                </c:pt>
                <c:pt idx="40">
                  <c:v>-8.2785516161869168</c:v>
                </c:pt>
                <c:pt idx="41">
                  <c:v>-13.564018101173168</c:v>
                </c:pt>
                <c:pt idx="42">
                  <c:v>-17.835883555065298</c:v>
                </c:pt>
                <c:pt idx="43">
                  <c:v>-21.448512369121925</c:v>
                </c:pt>
                <c:pt idx="44">
                  <c:v>-24.592710678489848</c:v>
                </c:pt>
                <c:pt idx="45">
                  <c:v>-27.38322860498608</c:v>
                </c:pt>
                <c:pt idx="46">
                  <c:v>-45.536781446890508</c:v>
                </c:pt>
                <c:pt idx="47">
                  <c:v>-56.109819594416976</c:v>
                </c:pt>
                <c:pt idx="48">
                  <c:v>-63.608047537936727</c:v>
                </c:pt>
                <c:pt idx="49">
                  <c:v>-69.423396964447676</c:v>
                </c:pt>
                <c:pt idx="50">
                  <c:v>-74.17464302785217</c:v>
                </c:pt>
                <c:pt idx="51">
                  <c:v>-78.19166221539497</c:v>
                </c:pt>
                <c:pt idx="52">
                  <c:v>-81.671311637145152</c:v>
                </c:pt>
                <c:pt idx="53">
                  <c:v>-84.740551678720507</c:v>
                </c:pt>
                <c:pt idx="54">
                  <c:v>-87.486063447663724</c:v>
                </c:pt>
              </c:numCache>
            </c:numRef>
          </c:yVal>
          <c:smooth val="0"/>
          <c:extLst>
            <c:ext xmlns:c16="http://schemas.microsoft.com/office/drawing/2014/chart" uri="{C3380CC4-5D6E-409C-BE32-E72D297353CC}">
              <c16:uniqueId val="{00000000-74F1-4341-83BD-4CC26E3F09D6}"/>
            </c:ext>
          </c:extLst>
        </c:ser>
        <c:ser>
          <c:idx val="2"/>
          <c:order val="2"/>
          <c:tx>
            <c:v>FPPlant</c:v>
          </c:tx>
          <c:spPr>
            <a:ln>
              <a:solidFill>
                <a:schemeClr val="tx1"/>
              </a:solidFill>
            </a:ln>
          </c:spPr>
          <c:marker>
            <c:symbol val="x"/>
            <c:size val="9"/>
            <c:spPr>
              <a:noFill/>
              <a:ln w="31750">
                <a:solidFill>
                  <a:srgbClr val="FF0000"/>
                </a:solidFill>
              </a:ln>
            </c:spPr>
          </c:marker>
          <c:dPt>
            <c:idx val="0"/>
            <c:marker>
              <c:symbol val="x"/>
              <c:size val="12"/>
            </c:marker>
            <c:bubble3D val="0"/>
            <c:spPr>
              <a:ln w="25400">
                <a:solidFill>
                  <a:schemeClr val="tx1"/>
                </a:solidFill>
              </a:ln>
            </c:spPr>
            <c:extLst>
              <c:ext xmlns:c16="http://schemas.microsoft.com/office/drawing/2014/chart" uri="{C3380CC4-5D6E-409C-BE32-E72D297353CC}">
                <c16:uniqueId val="{00000002-74F1-4341-83BD-4CC26E3F09D6}"/>
              </c:ext>
            </c:extLst>
          </c:dPt>
          <c:dLbls>
            <c:dLbl>
              <c:idx val="0"/>
              <c:tx>
                <c:rich>
                  <a:bodyPr/>
                  <a:lstStyle/>
                  <a:p>
                    <a:r>
                      <a:rPr lang="en-US" sz="1400" b="1"/>
                      <a:t>F</a:t>
                    </a:r>
                    <a:r>
                      <a:rPr lang="en-US" sz="1400" b="1" baseline="-25000"/>
                      <a:t>Pplant</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F1-4341-83BD-4CC26E3F09D6}"/>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Compensation!$B$137</c:f>
              <c:numCache>
                <c:formatCode>0.00</c:formatCode>
                <c:ptCount val="1"/>
                <c:pt idx="0">
                  <c:v>795.45653284633818</c:v>
                </c:pt>
              </c:numCache>
            </c:numRef>
          </c:xVal>
          <c:yVal>
            <c:numRef>
              <c:f>Compensation!$Y$137</c:f>
              <c:numCache>
                <c:formatCode>General</c:formatCode>
                <c:ptCount val="1"/>
                <c:pt idx="0">
                  <c:v>21.795266284451777</c:v>
                </c:pt>
              </c:numCache>
            </c:numRef>
          </c:yVal>
          <c:smooth val="0"/>
          <c:extLst>
            <c:ext xmlns:c16="http://schemas.microsoft.com/office/drawing/2014/chart" uri="{C3380CC4-5D6E-409C-BE32-E72D297353CC}">
              <c16:uniqueId val="{00000003-74F1-4341-83BD-4CC26E3F09D6}"/>
            </c:ext>
          </c:extLst>
        </c:ser>
        <c:ser>
          <c:idx val="3"/>
          <c:order val="3"/>
          <c:tx>
            <c:v>Fzcomp</c:v>
          </c:tx>
          <c:marker>
            <c:symbol val="circle"/>
            <c:size val="9"/>
            <c:spPr>
              <a:noFill/>
              <a:ln w="22225">
                <a:solidFill>
                  <a:schemeClr val="tx1"/>
                </a:solidFill>
              </a:ln>
            </c:spPr>
          </c:marker>
          <c:dLbls>
            <c:dLbl>
              <c:idx val="0"/>
              <c:tx>
                <c:rich>
                  <a:bodyPr/>
                  <a:lstStyle/>
                  <a:p>
                    <a:r>
                      <a:rPr lang="en-US" sz="1400" b="1"/>
                      <a:t>F</a:t>
                    </a:r>
                    <a:r>
                      <a:rPr lang="en-US" sz="1400" b="1" baseline="-25000"/>
                      <a:t>Zcomp</a:t>
                    </a:r>
                    <a:endParaRPr lang="en-US" b="1" baseline="-25000"/>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F1-4341-83BD-4CC26E3F09D6}"/>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Compensation!$B$135</c:f>
              <c:numCache>
                <c:formatCode>General</c:formatCode>
                <c:ptCount val="1"/>
                <c:pt idx="0">
                  <c:v>1205.719265847692</c:v>
                </c:pt>
              </c:numCache>
            </c:numRef>
          </c:xVal>
          <c:yVal>
            <c:numRef>
              <c:f>Compensation!$Y$135</c:f>
              <c:numCache>
                <c:formatCode>General</c:formatCode>
                <c:ptCount val="1"/>
                <c:pt idx="0">
                  <c:v>17.39172870313968</c:v>
                </c:pt>
              </c:numCache>
            </c:numRef>
          </c:yVal>
          <c:smooth val="0"/>
          <c:extLst>
            <c:ext xmlns:c16="http://schemas.microsoft.com/office/drawing/2014/chart" uri="{C3380CC4-5D6E-409C-BE32-E72D297353CC}">
              <c16:uniqueId val="{00000005-74F1-4341-83BD-4CC26E3F09D6}"/>
            </c:ext>
          </c:extLst>
        </c:ser>
        <c:ser>
          <c:idx val="4"/>
          <c:order val="4"/>
          <c:tx>
            <c:v>Fpcomp</c:v>
          </c:tx>
          <c:marker>
            <c:symbol val="x"/>
            <c:size val="10"/>
            <c:spPr>
              <a:ln w="25400">
                <a:solidFill>
                  <a:schemeClr val="tx1"/>
                </a:solidFill>
              </a:ln>
            </c:spPr>
          </c:marker>
          <c:dLbls>
            <c:dLbl>
              <c:idx val="0"/>
              <c:tx>
                <c:rich>
                  <a:bodyPr/>
                  <a:lstStyle/>
                  <a:p>
                    <a:r>
                      <a:rPr lang="en-US" sz="1200" b="1"/>
                      <a:t>F</a:t>
                    </a:r>
                    <a:r>
                      <a:rPr lang="en-US" sz="1200" b="1" baseline="-25000"/>
                      <a:t>Pcomp</a:t>
                    </a:r>
                    <a:endParaRPr lang="en-US" b="1" baseline="-25000"/>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F1-4341-83BD-4CC26E3F09D6}"/>
                </c:ext>
              </c:extLst>
            </c:dLbl>
            <c:spPr>
              <a:noFill/>
              <a:ln>
                <a:noFill/>
              </a:ln>
              <a:effectLst/>
            </c:spPr>
            <c:txPr>
              <a:bodyPr/>
              <a:lstStyle/>
              <a:p>
                <a:pPr>
                  <a:defRPr sz="1200"/>
                </a:pPr>
                <a:endParaRPr lang="zh-CN"/>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Compensation!$B$136</c:f>
              <c:numCache>
                <c:formatCode>General</c:formatCode>
                <c:ptCount val="1"/>
                <c:pt idx="0">
                  <c:v>39788.735772973829</c:v>
                </c:pt>
              </c:numCache>
            </c:numRef>
          </c:xVal>
          <c:yVal>
            <c:numRef>
              <c:f>Compensation!$Y$136</c:f>
              <c:numCache>
                <c:formatCode>General</c:formatCode>
                <c:ptCount val="1"/>
                <c:pt idx="0">
                  <c:v>-1.1327207566551016</c:v>
                </c:pt>
              </c:numCache>
            </c:numRef>
          </c:yVal>
          <c:smooth val="0"/>
          <c:extLst>
            <c:ext xmlns:c16="http://schemas.microsoft.com/office/drawing/2014/chart" uri="{C3380CC4-5D6E-409C-BE32-E72D297353CC}">
              <c16:uniqueId val="{00000007-74F1-4341-83BD-4CC26E3F09D6}"/>
            </c:ext>
          </c:extLst>
        </c:ser>
        <c:dLbls>
          <c:showLegendKey val="0"/>
          <c:showVal val="0"/>
          <c:showCatName val="0"/>
          <c:showSerName val="0"/>
          <c:showPercent val="0"/>
          <c:showBubbleSize val="0"/>
        </c:dLbls>
        <c:axId val="187990400"/>
        <c:axId val="187992320"/>
      </c:scatterChart>
      <c:scatterChart>
        <c:scatterStyle val="lineMarker"/>
        <c:varyColors val="0"/>
        <c:ser>
          <c:idx val="1"/>
          <c:order val="1"/>
          <c:tx>
            <c:v>Phase</c:v>
          </c:tx>
          <c:marker>
            <c:symbol val="none"/>
          </c:marker>
          <c:xVal>
            <c:numRef>
              <c:f>Compensation!$B$79:$B$133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Compensation!$Z$79:$Z$133</c:f>
              <c:numCache>
                <c:formatCode>General</c:formatCode>
                <c:ptCount val="55"/>
                <c:pt idx="0">
                  <c:v>89.965654379436486</c:v>
                </c:pt>
                <c:pt idx="1">
                  <c:v>89.931309220764049</c:v>
                </c:pt>
                <c:pt idx="2">
                  <c:v>89.896964985854524</c:v>
                </c:pt>
                <c:pt idx="3">
                  <c:v>89.862622136541219</c:v>
                </c:pt>
                <c:pt idx="4">
                  <c:v>89.82828113459972</c:v>
                </c:pt>
                <c:pt idx="5">
                  <c:v>89.793942441728547</c:v>
                </c:pt>
                <c:pt idx="6">
                  <c:v>89.759606519530067</c:v>
                </c:pt>
                <c:pt idx="7">
                  <c:v>89.725273829491087</c:v>
                </c:pt>
                <c:pt idx="8">
                  <c:v>89.690944832963808</c:v>
                </c:pt>
                <c:pt idx="9">
                  <c:v>89.656619991146485</c:v>
                </c:pt>
                <c:pt idx="10">
                  <c:v>89.313701397246788</c:v>
                </c:pt>
                <c:pt idx="11">
                  <c:v>88.971703713679673</c:v>
                </c:pt>
                <c:pt idx="12">
                  <c:v>88.63108261457981</c:v>
                </c:pt>
                <c:pt idx="13">
                  <c:v>88.292288086681111</c:v>
                </c:pt>
                <c:pt idx="14">
                  <c:v>87.955762615683014</c:v>
                </c:pt>
                <c:pt idx="15">
                  <c:v>87.621939441282038</c:v>
                </c:pt>
                <c:pt idx="16">
                  <c:v>87.291240895881401</c:v>
                </c:pt>
                <c:pt idx="17">
                  <c:v>86.964076840646882</c:v>
                </c:pt>
                <c:pt idx="18">
                  <c:v>86.640843211027487</c:v>
                </c:pt>
                <c:pt idx="19">
                  <c:v>83.699560801764761</c:v>
                </c:pt>
                <c:pt idx="20">
                  <c:v>81.449569623200958</c:v>
                </c:pt>
                <c:pt idx="21">
                  <c:v>79.972872956775177</c:v>
                </c:pt>
                <c:pt idx="22">
                  <c:v>79.206929679651353</c:v>
                </c:pt>
                <c:pt idx="23">
                  <c:v>79.020032891132473</c:v>
                </c:pt>
                <c:pt idx="24">
                  <c:v>79.268423635606567</c:v>
                </c:pt>
                <c:pt idx="25">
                  <c:v>79.825452262306982</c:v>
                </c:pt>
                <c:pt idx="26">
                  <c:v>80.590888175856676</c:v>
                </c:pt>
                <c:pt idx="27">
                  <c:v>81.490164932486238</c:v>
                </c:pt>
                <c:pt idx="28">
                  <c:v>91.438291513749789</c:v>
                </c:pt>
                <c:pt idx="29">
                  <c:v>99.279114131080945</c:v>
                </c:pt>
                <c:pt idx="30">
                  <c:v>105.23437147544165</c:v>
                </c:pt>
                <c:pt idx="31">
                  <c:v>109.81075328478346</c:v>
                </c:pt>
                <c:pt idx="32">
                  <c:v>113.29579899008216</c:v>
                </c:pt>
                <c:pt idx="33">
                  <c:v>115.88320058825451</c:v>
                </c:pt>
                <c:pt idx="34">
                  <c:v>117.72097257374156</c:v>
                </c:pt>
                <c:pt idx="35">
                  <c:v>118.92708071408944</c:v>
                </c:pt>
                <c:pt idx="36">
                  <c:v>119.59565625502651</c:v>
                </c:pt>
                <c:pt idx="37">
                  <c:v>105.99433168515522</c:v>
                </c:pt>
                <c:pt idx="38">
                  <c:v>46.335417527428554</c:v>
                </c:pt>
                <c:pt idx="39">
                  <c:v>-13.288663724154105</c:v>
                </c:pt>
                <c:pt idx="40">
                  <c:v>-34.149103471026486</c:v>
                </c:pt>
                <c:pt idx="41">
                  <c:v>-44.61011847253117</c:v>
                </c:pt>
                <c:pt idx="42">
                  <c:v>-51.340221603364895</c:v>
                </c:pt>
                <c:pt idx="43">
                  <c:v>-56.193556117315225</c:v>
                </c:pt>
                <c:pt idx="44">
                  <c:v>-59.91454049012232</c:v>
                </c:pt>
                <c:pt idx="45">
                  <c:v>-62.878543641176236</c:v>
                </c:pt>
                <c:pt idx="46">
                  <c:v>-76.304893416930156</c:v>
                </c:pt>
                <c:pt idx="47">
                  <c:v>-80.845994196749032</c:v>
                </c:pt>
                <c:pt idx="48">
                  <c:v>-83.127787567127243</c:v>
                </c:pt>
                <c:pt idx="49">
                  <c:v>-84.499685721329485</c:v>
                </c:pt>
                <c:pt idx="50">
                  <c:v>-85.415239590886898</c:v>
                </c:pt>
                <c:pt idx="51">
                  <c:v>-86.069599241352591</c:v>
                </c:pt>
                <c:pt idx="52">
                  <c:v>-86.560553729848266</c:v>
                </c:pt>
                <c:pt idx="53">
                  <c:v>-86.942503247180284</c:v>
                </c:pt>
                <c:pt idx="54">
                  <c:v>-87.248116720891403</c:v>
                </c:pt>
              </c:numCache>
            </c:numRef>
          </c:yVal>
          <c:smooth val="0"/>
          <c:extLst>
            <c:ext xmlns:c16="http://schemas.microsoft.com/office/drawing/2014/chart" uri="{C3380CC4-5D6E-409C-BE32-E72D297353CC}">
              <c16:uniqueId val="{00000008-74F1-4341-83BD-4CC26E3F09D6}"/>
            </c:ext>
          </c:extLst>
        </c:ser>
        <c:dLbls>
          <c:showLegendKey val="0"/>
          <c:showVal val="0"/>
          <c:showCatName val="0"/>
          <c:showSerName val="0"/>
          <c:showPercent val="0"/>
          <c:showBubbleSize val="0"/>
        </c:dLbls>
        <c:axId val="195000960"/>
        <c:axId val="188226176"/>
      </c:scatterChart>
      <c:valAx>
        <c:axId val="187990400"/>
        <c:scaling>
          <c:logBase val="10"/>
          <c:orientation val="minMax"/>
          <c:min val="10"/>
        </c:scaling>
        <c:delete val="0"/>
        <c:axPos val="b"/>
        <c:majorGridlines/>
        <c:minorGridlines/>
        <c:title>
          <c:tx>
            <c:rich>
              <a:bodyPr/>
              <a:lstStyle/>
              <a:p>
                <a:pPr>
                  <a:defRPr/>
                </a:pPr>
                <a:r>
                  <a:rPr lang="en-US"/>
                  <a:t>Frequency</a:t>
                </a:r>
                <a:r>
                  <a:rPr lang="en-US" baseline="0"/>
                  <a:t> (Hz)</a:t>
                </a:r>
                <a:endParaRPr lang="en-US"/>
              </a:p>
            </c:rich>
          </c:tx>
          <c:overlay val="0"/>
        </c:title>
        <c:numFmt formatCode="General" sourceLinked="1"/>
        <c:majorTickMark val="out"/>
        <c:minorTickMark val="cross"/>
        <c:tickLblPos val="low"/>
        <c:crossAx val="187992320"/>
        <c:crosses val="autoZero"/>
        <c:crossBetween val="midCat"/>
      </c:valAx>
      <c:valAx>
        <c:axId val="187992320"/>
        <c:scaling>
          <c:orientation val="minMax"/>
          <c:max val="60"/>
          <c:min val="-40"/>
        </c:scaling>
        <c:delete val="0"/>
        <c:axPos val="l"/>
        <c:majorGridlines/>
        <c:title>
          <c:tx>
            <c:rich>
              <a:bodyPr rot="-5400000" vert="horz"/>
              <a:lstStyle/>
              <a:p>
                <a:pPr>
                  <a:defRPr/>
                </a:pPr>
                <a:r>
                  <a:rPr lang="en-US"/>
                  <a:t>Loop Gain (dB)</a:t>
                </a:r>
              </a:p>
            </c:rich>
          </c:tx>
          <c:overlay val="0"/>
        </c:title>
        <c:numFmt formatCode="General" sourceLinked="1"/>
        <c:majorTickMark val="out"/>
        <c:minorTickMark val="none"/>
        <c:tickLblPos val="nextTo"/>
        <c:crossAx val="187990400"/>
        <c:crosses val="autoZero"/>
        <c:crossBetween val="midCat"/>
        <c:majorUnit val="20"/>
      </c:valAx>
      <c:valAx>
        <c:axId val="188226176"/>
        <c:scaling>
          <c:orientation val="minMax"/>
          <c:max val="180"/>
          <c:min val="-180"/>
        </c:scaling>
        <c:delete val="0"/>
        <c:axPos val="r"/>
        <c:title>
          <c:tx>
            <c:rich>
              <a:bodyPr rot="-5400000" vert="horz"/>
              <a:lstStyle/>
              <a:p>
                <a:pPr>
                  <a:defRPr/>
                </a:pPr>
                <a:r>
                  <a:rPr lang="en-US"/>
                  <a:t>Loop Phase Margin (deg)</a:t>
                </a:r>
              </a:p>
            </c:rich>
          </c:tx>
          <c:overlay val="0"/>
        </c:title>
        <c:numFmt formatCode="General" sourceLinked="1"/>
        <c:majorTickMark val="out"/>
        <c:minorTickMark val="none"/>
        <c:tickLblPos val="nextTo"/>
        <c:crossAx val="195000960"/>
        <c:crosses val="max"/>
        <c:crossBetween val="midCat"/>
        <c:majorUnit val="45"/>
      </c:valAx>
      <c:valAx>
        <c:axId val="195000960"/>
        <c:scaling>
          <c:logBase val="10"/>
          <c:orientation val="minMax"/>
        </c:scaling>
        <c:delete val="1"/>
        <c:axPos val="b"/>
        <c:numFmt formatCode="General" sourceLinked="1"/>
        <c:majorTickMark val="out"/>
        <c:minorTickMark val="none"/>
        <c:tickLblPos val="nextTo"/>
        <c:crossAx val="188226176"/>
        <c:crosses val="autoZero"/>
        <c:crossBetween val="midCat"/>
      </c:valAx>
    </c:plotArea>
    <c:legend>
      <c:legendPos val="l"/>
      <c:legendEntry>
        <c:idx val="1"/>
        <c:delete val="1"/>
      </c:legendEntry>
      <c:legendEntry>
        <c:idx val="2"/>
        <c:delete val="1"/>
      </c:legendEntry>
      <c:legendEntry>
        <c:idx val="3"/>
        <c:delete val="1"/>
      </c:legendEntry>
      <c:layout>
        <c:manualLayout>
          <c:xMode val="edge"/>
          <c:yMode val="edge"/>
          <c:x val="0.79304241813100085"/>
          <c:y val="2.6664513567886527E-2"/>
          <c:w val="0.11678001490904641"/>
          <c:h val="9.5033720657239265E-2"/>
        </c:manualLayout>
      </c:layout>
      <c:overlay val="1"/>
      <c:spPr>
        <a:noFill/>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Boost Mode Voltage Loop  </a:t>
            </a:r>
            <a:endParaRPr lang="en-US"/>
          </a:p>
        </c:rich>
      </c:tx>
      <c:overlay val="0"/>
    </c:title>
    <c:autoTitleDeleted val="0"/>
    <c:plotArea>
      <c:layout/>
      <c:scatterChart>
        <c:scatterStyle val="lineMarker"/>
        <c:varyColors val="0"/>
        <c:ser>
          <c:idx val="0"/>
          <c:order val="0"/>
          <c:tx>
            <c:v>Gain</c:v>
          </c:tx>
          <c:marker>
            <c:symbol val="none"/>
          </c:marker>
          <c:xVal>
            <c:numRef>
              <c:f>Compensation!$B$169:$B$223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Compensation!$Y$169:$Y$223</c:f>
              <c:numCache>
                <c:formatCode>General</c:formatCode>
                <c:ptCount val="55"/>
                <c:pt idx="0">
                  <c:v>83.475157785916963</c:v>
                </c:pt>
                <c:pt idx="1">
                  <c:v>77.455091214922575</c:v>
                </c:pt>
                <c:pt idx="2">
                  <c:v>73.934154594599647</c:v>
                </c:pt>
                <c:pt idx="3">
                  <c:v>71.436623127755794</c:v>
                </c:pt>
                <c:pt idx="4">
                  <c:v>69.500020118989397</c:v>
                </c:pt>
                <c:pt idx="5">
                  <c:v>67.918345513660256</c:v>
                </c:pt>
                <c:pt idx="6">
                  <c:v>66.581711977081071</c:v>
                </c:pt>
                <c:pt idx="7">
                  <c:v>65.424525909888686</c:v>
                </c:pt>
                <c:pt idx="8">
                  <c:v>64.404477427301487</c:v>
                </c:pt>
                <c:pt idx="9">
                  <c:v>63.492676958175316</c:v>
                </c:pt>
                <c:pt idx="10">
                  <c:v>57.524164011189285</c:v>
                </c:pt>
                <c:pt idx="11">
                  <c:v>54.085950808151146</c:v>
                </c:pt>
                <c:pt idx="12">
                  <c:v>51.69798764323474</c:v>
                </c:pt>
                <c:pt idx="13">
                  <c:v>49.892562807937693</c:v>
                </c:pt>
                <c:pt idx="14">
                  <c:v>48.458105922684631</c:v>
                </c:pt>
                <c:pt idx="15">
                  <c:v>47.279319865597749</c:v>
                </c:pt>
                <c:pt idx="16">
                  <c:v>46.285720168640843</c:v>
                </c:pt>
                <c:pt idx="17">
                  <c:v>45.430833357280676</c:v>
                </c:pt>
                <c:pt idx="18">
                  <c:v>44.682411629373306</c:v>
                </c:pt>
                <c:pt idx="19">
                  <c:v>39.953274737276075</c:v>
                </c:pt>
                <c:pt idx="20">
                  <c:v>37.073831214812564</c:v>
                </c:pt>
                <c:pt idx="21">
                  <c:v>34.901335330815684</c:v>
                </c:pt>
                <c:pt idx="22">
                  <c:v>33.151543416221983</c:v>
                </c:pt>
                <c:pt idx="23">
                  <c:v>31.691173430229917</c:v>
                </c:pt>
                <c:pt idx="24">
                  <c:v>30.441620363739151</c:v>
                </c:pt>
                <c:pt idx="25">
                  <c:v>29.35202107590079</c:v>
                </c:pt>
                <c:pt idx="26">
                  <c:v>28.387647424293117</c:v>
                </c:pt>
                <c:pt idx="27">
                  <c:v>27.52384599195819</c:v>
                </c:pt>
                <c:pt idx="28">
                  <c:v>21.9128657007284</c:v>
                </c:pt>
                <c:pt idx="29">
                  <c:v>18.851637533075806</c:v>
                </c:pt>
                <c:pt idx="30">
                  <c:v>16.923165668776569</c:v>
                </c:pt>
                <c:pt idx="31">
                  <c:v>15.652904528751588</c:v>
                </c:pt>
                <c:pt idx="32">
                  <c:v>14.812383111287499</c:v>
                </c:pt>
                <c:pt idx="33">
                  <c:v>14.269675309271292</c:v>
                </c:pt>
                <c:pt idx="34">
                  <c:v>13.940695376859747</c:v>
                </c:pt>
                <c:pt idx="35">
                  <c:v>13.768942867756328</c:v>
                </c:pt>
                <c:pt idx="36">
                  <c:v>13.715415109762084</c:v>
                </c:pt>
                <c:pt idx="37">
                  <c:v>16.331563970507151</c:v>
                </c:pt>
                <c:pt idx="38">
                  <c:v>19.919429296394995</c:v>
                </c:pt>
                <c:pt idx="39">
                  <c:v>13.59507472595717</c:v>
                </c:pt>
                <c:pt idx="40">
                  <c:v>7.6598467878028966</c:v>
                </c:pt>
                <c:pt idx="41">
                  <c:v>3.4193683183879262</c:v>
                </c:pt>
                <c:pt idx="42">
                  <c:v>0.12991432315882648</c:v>
                </c:pt>
                <c:pt idx="43">
                  <c:v>-2.5711471454940886</c:v>
                </c:pt>
                <c:pt idx="44">
                  <c:v>-4.8715758333194072</c:v>
                </c:pt>
                <c:pt idx="45">
                  <c:v>-6.8802429833806151</c:v>
                </c:pt>
                <c:pt idx="46">
                  <c:v>-19.472168681175997</c:v>
                </c:pt>
                <c:pt idx="47">
                  <c:v>-26.614589688185298</c:v>
                </c:pt>
                <c:pt idx="48">
                  <c:v>-31.646475646113252</c:v>
                </c:pt>
                <c:pt idx="49">
                  <c:v>-35.538728294629472</c:v>
                </c:pt>
                <c:pt idx="50">
                  <c:v>-38.714578376301745</c:v>
                </c:pt>
                <c:pt idx="51">
                  <c:v>-41.39763196620806</c:v>
                </c:pt>
                <c:pt idx="52">
                  <c:v>-43.72067168944865</c:v>
                </c:pt>
                <c:pt idx="53">
                  <c:v>-45.769076785390858</c:v>
                </c:pt>
                <c:pt idx="54">
                  <c:v>-47.601024252232726</c:v>
                </c:pt>
              </c:numCache>
            </c:numRef>
          </c:yVal>
          <c:smooth val="1"/>
          <c:extLst>
            <c:ext xmlns:c16="http://schemas.microsoft.com/office/drawing/2014/chart" uri="{C3380CC4-5D6E-409C-BE32-E72D297353CC}">
              <c16:uniqueId val="{00000000-396C-45B9-A8B4-ABF0CB6F5A8C}"/>
            </c:ext>
          </c:extLst>
        </c:ser>
        <c:ser>
          <c:idx val="2"/>
          <c:order val="2"/>
          <c:tx>
            <c:v>FPPlant</c:v>
          </c:tx>
          <c:spPr>
            <a:ln>
              <a:solidFill>
                <a:schemeClr val="tx1"/>
              </a:solidFill>
            </a:ln>
          </c:spPr>
          <c:marker>
            <c:symbol val="x"/>
            <c:size val="9"/>
            <c:spPr>
              <a:noFill/>
              <a:ln w="31750">
                <a:solidFill>
                  <a:srgbClr val="FF0000"/>
                </a:solidFill>
              </a:ln>
            </c:spPr>
          </c:marker>
          <c:dPt>
            <c:idx val="0"/>
            <c:marker>
              <c:symbol val="x"/>
              <c:size val="12"/>
            </c:marker>
            <c:bubble3D val="0"/>
            <c:spPr>
              <a:ln w="25400">
                <a:solidFill>
                  <a:schemeClr val="tx1"/>
                </a:solidFill>
              </a:ln>
            </c:spPr>
            <c:extLst>
              <c:ext xmlns:c16="http://schemas.microsoft.com/office/drawing/2014/chart" uri="{C3380CC4-5D6E-409C-BE32-E72D297353CC}">
                <c16:uniqueId val="{00000002-396C-45B9-A8B4-ABF0CB6F5A8C}"/>
              </c:ext>
            </c:extLst>
          </c:dPt>
          <c:dLbls>
            <c:dLbl>
              <c:idx val="0"/>
              <c:tx>
                <c:rich>
                  <a:bodyPr/>
                  <a:lstStyle/>
                  <a:p>
                    <a:r>
                      <a:rPr lang="en-US" sz="1400" b="1"/>
                      <a:t>F</a:t>
                    </a:r>
                    <a:r>
                      <a:rPr lang="en-US" sz="1400" b="1" baseline="-25000"/>
                      <a:t>Pplant</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6C-45B9-A8B4-ABF0CB6F5A8C}"/>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Compensation!$B$227</c:f>
              <c:numCache>
                <c:formatCode>General</c:formatCode>
                <c:ptCount val="1"/>
                <c:pt idx="0">
                  <c:v>196.49015105278153</c:v>
                </c:pt>
              </c:numCache>
            </c:numRef>
          </c:xVal>
          <c:yVal>
            <c:numRef>
              <c:f>Compensation!$Y$227</c:f>
              <c:numCache>
                <c:formatCode>General</c:formatCode>
                <c:ptCount val="1"/>
                <c:pt idx="0">
                  <c:v>40.074789397091493</c:v>
                </c:pt>
              </c:numCache>
            </c:numRef>
          </c:yVal>
          <c:smooth val="0"/>
          <c:extLst>
            <c:ext xmlns:c16="http://schemas.microsoft.com/office/drawing/2014/chart" uri="{C3380CC4-5D6E-409C-BE32-E72D297353CC}">
              <c16:uniqueId val="{00000003-396C-45B9-A8B4-ABF0CB6F5A8C}"/>
            </c:ext>
          </c:extLst>
        </c:ser>
        <c:ser>
          <c:idx val="3"/>
          <c:order val="3"/>
          <c:tx>
            <c:v>Fzcomp</c:v>
          </c:tx>
          <c:marker>
            <c:symbol val="circle"/>
            <c:size val="9"/>
            <c:spPr>
              <a:noFill/>
              <a:ln w="22225">
                <a:solidFill>
                  <a:schemeClr val="tx1"/>
                </a:solidFill>
              </a:ln>
            </c:spPr>
          </c:marker>
          <c:dLbls>
            <c:dLbl>
              <c:idx val="0"/>
              <c:tx>
                <c:rich>
                  <a:bodyPr/>
                  <a:lstStyle/>
                  <a:p>
                    <a:r>
                      <a:rPr lang="en-US" sz="1400" b="1"/>
                      <a:t>F</a:t>
                    </a:r>
                    <a:r>
                      <a:rPr lang="en-US" sz="1400" b="1" baseline="-25000"/>
                      <a:t>Zcomp</a:t>
                    </a:r>
                    <a:endParaRPr lang="en-US" b="1" baseline="-25000"/>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96C-45B9-A8B4-ABF0CB6F5A8C}"/>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Compensation!$B$225</c:f>
              <c:numCache>
                <c:formatCode>0.00</c:formatCode>
                <c:ptCount val="1"/>
                <c:pt idx="0">
                  <c:v>120.5719265847692</c:v>
                </c:pt>
              </c:numCache>
            </c:numRef>
          </c:xVal>
          <c:yVal>
            <c:numRef>
              <c:f>Compensation!$Y$225</c:f>
              <c:numCache>
                <c:formatCode>General</c:formatCode>
                <c:ptCount val="1"/>
                <c:pt idx="0">
                  <c:v>43.385823982233717</c:v>
                </c:pt>
              </c:numCache>
            </c:numRef>
          </c:yVal>
          <c:smooth val="0"/>
          <c:extLst>
            <c:ext xmlns:c16="http://schemas.microsoft.com/office/drawing/2014/chart" uri="{C3380CC4-5D6E-409C-BE32-E72D297353CC}">
              <c16:uniqueId val="{00000005-396C-45B9-A8B4-ABF0CB6F5A8C}"/>
            </c:ext>
          </c:extLst>
        </c:ser>
        <c:ser>
          <c:idx val="4"/>
          <c:order val="4"/>
          <c:tx>
            <c:v>Fpcomp</c:v>
          </c:tx>
          <c:marker>
            <c:symbol val="x"/>
            <c:size val="10"/>
            <c:spPr>
              <a:ln w="25400">
                <a:solidFill>
                  <a:schemeClr val="tx1"/>
                </a:solidFill>
              </a:ln>
            </c:spPr>
          </c:marker>
          <c:dLbls>
            <c:dLbl>
              <c:idx val="0"/>
              <c:tx>
                <c:rich>
                  <a:bodyPr/>
                  <a:lstStyle/>
                  <a:p>
                    <a:r>
                      <a:rPr lang="en-US" sz="1200" b="1"/>
                      <a:t>F</a:t>
                    </a:r>
                    <a:r>
                      <a:rPr lang="en-US" sz="1200" b="1" baseline="-25000"/>
                      <a:t>Pcomp</a:t>
                    </a:r>
                    <a:endParaRPr lang="en-US" b="1" baseline="-25000"/>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96C-45B9-A8B4-ABF0CB6F5A8C}"/>
                </c:ext>
              </c:extLst>
            </c:dLbl>
            <c:spPr>
              <a:noFill/>
              <a:ln>
                <a:noFill/>
              </a:ln>
              <a:effectLst/>
            </c:spPr>
            <c:txPr>
              <a:bodyPr/>
              <a:lstStyle/>
              <a:p>
                <a:pPr>
                  <a:defRPr sz="1200"/>
                </a:pPr>
                <a:endParaRPr lang="zh-CN"/>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Compensation!$B$226</c:f>
              <c:numCache>
                <c:formatCode>General</c:formatCode>
                <c:ptCount val="1"/>
                <c:pt idx="0">
                  <c:v>15915.494309189533</c:v>
                </c:pt>
              </c:numCache>
            </c:numRef>
          </c:xVal>
          <c:yVal>
            <c:numRef>
              <c:f>Compensation!$Y$226</c:f>
              <c:numCache>
                <c:formatCode>General</c:formatCode>
                <c:ptCount val="1"/>
                <c:pt idx="0">
                  <c:v>14.777892312683669</c:v>
                </c:pt>
              </c:numCache>
            </c:numRef>
          </c:yVal>
          <c:smooth val="0"/>
          <c:extLst>
            <c:ext xmlns:c16="http://schemas.microsoft.com/office/drawing/2014/chart" uri="{C3380CC4-5D6E-409C-BE32-E72D297353CC}">
              <c16:uniqueId val="{00000007-396C-45B9-A8B4-ABF0CB6F5A8C}"/>
            </c:ext>
          </c:extLst>
        </c:ser>
        <c:ser>
          <c:idx val="5"/>
          <c:order val="5"/>
          <c:tx>
            <c:v>FRHPZERO</c:v>
          </c:tx>
          <c:spPr>
            <a:ln>
              <a:solidFill>
                <a:srgbClr val="FFC000"/>
              </a:solidFill>
            </a:ln>
          </c:spPr>
          <c:marker>
            <c:symbol val="circle"/>
            <c:size val="10"/>
            <c:spPr>
              <a:noFill/>
              <a:ln w="28575">
                <a:solidFill>
                  <a:srgbClr val="FF0000"/>
                </a:solidFill>
              </a:ln>
            </c:spPr>
          </c:marker>
          <c:dLbls>
            <c:dLbl>
              <c:idx val="0"/>
              <c:tx>
                <c:rich>
                  <a:bodyPr/>
                  <a:lstStyle/>
                  <a:p>
                    <a:r>
                      <a:rPr lang="en-US" sz="1400" b="1"/>
                      <a:t>F</a:t>
                    </a:r>
                    <a:r>
                      <a:rPr lang="en-US" sz="1400" b="1" baseline="-25000"/>
                      <a:t>RHPzero</a:t>
                    </a:r>
                    <a:endParaRPr lang="en-US" b="1" baseline="-25000"/>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96C-45B9-A8B4-ABF0CB6F5A8C}"/>
                </c:ext>
              </c:extLst>
            </c:dLbl>
            <c:spPr>
              <a:noFill/>
              <a:ln>
                <a:noFill/>
              </a:ln>
              <a:effectLst/>
            </c:spPr>
            <c:txPr>
              <a:bodyPr/>
              <a:lstStyle/>
              <a:p>
                <a:pPr>
                  <a:defRPr sz="1400"/>
                </a:pPr>
                <a:endParaRPr lang="zh-CN"/>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Compensation!$B$228</c:f>
              <c:numCache>
                <c:formatCode>General</c:formatCode>
                <c:ptCount val="1"/>
                <c:pt idx="0">
                  <c:v>9208.2502788882321</c:v>
                </c:pt>
              </c:numCache>
            </c:numRef>
          </c:xVal>
          <c:yVal>
            <c:numRef>
              <c:f>Compensation!$Y$228</c:f>
              <c:numCache>
                <c:formatCode>General</c:formatCode>
                <c:ptCount val="1"/>
                <c:pt idx="0">
                  <c:v>13.749100412004761</c:v>
                </c:pt>
              </c:numCache>
            </c:numRef>
          </c:yVal>
          <c:smooth val="0"/>
          <c:extLst>
            <c:ext xmlns:c16="http://schemas.microsoft.com/office/drawing/2014/chart" uri="{C3380CC4-5D6E-409C-BE32-E72D297353CC}">
              <c16:uniqueId val="{00000009-396C-45B9-A8B4-ABF0CB6F5A8C}"/>
            </c:ext>
          </c:extLst>
        </c:ser>
        <c:dLbls>
          <c:showLegendKey val="0"/>
          <c:showVal val="0"/>
          <c:showCatName val="0"/>
          <c:showSerName val="0"/>
          <c:showPercent val="0"/>
          <c:showBubbleSize val="0"/>
        </c:dLbls>
        <c:axId val="205768960"/>
        <c:axId val="205775616"/>
      </c:scatterChart>
      <c:scatterChart>
        <c:scatterStyle val="lineMarker"/>
        <c:varyColors val="0"/>
        <c:ser>
          <c:idx val="1"/>
          <c:order val="1"/>
          <c:tx>
            <c:v>Phase</c:v>
          </c:tx>
          <c:marker>
            <c:symbol val="none"/>
          </c:marker>
          <c:xVal>
            <c:numRef>
              <c:f>Compensation!$B$169:$B$223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Compensation!$Z$169:$Z$223</c:f>
              <c:numCache>
                <c:formatCode>General</c:formatCode>
                <c:ptCount val="55"/>
                <c:pt idx="0">
                  <c:v>90.169598219588622</c:v>
                </c:pt>
                <c:pt idx="1">
                  <c:v>90.339147975351096</c:v>
                </c:pt>
                <c:pt idx="2">
                  <c:v>90.508600851723116</c:v>
                </c:pt>
                <c:pt idx="3">
                  <c:v>90.6779085295573</c:v>
                </c:pt>
                <c:pt idx="4">
                  <c:v>90.847022834066308</c:v>
                </c:pt>
                <c:pt idx="5">
                  <c:v>91.015895782447956</c:v>
                </c:pt>
                <c:pt idx="6">
                  <c:v>91.184479631088891</c:v>
                </c:pt>
                <c:pt idx="7">
                  <c:v>91.352726922244273</c:v>
                </c:pt>
                <c:pt idx="8">
                  <c:v>91.520590530093941</c:v>
                </c:pt>
                <c:pt idx="9">
                  <c:v>91.688023706075668</c:v>
                </c:pt>
                <c:pt idx="10">
                  <c:v>93.328752872120319</c:v>
                </c:pt>
                <c:pt idx="11">
                  <c:v>94.879386740818433</c:v>
                </c:pt>
                <c:pt idx="12">
                  <c:v>96.305202775463798</c:v>
                </c:pt>
                <c:pt idx="13">
                  <c:v>97.581635765297875</c:v>
                </c:pt>
                <c:pt idx="14">
                  <c:v>98.694721397403782</c:v>
                </c:pt>
                <c:pt idx="15">
                  <c:v>99.640183099817577</c:v>
                </c:pt>
                <c:pt idx="16">
                  <c:v>100.42166014254049</c:v>
                </c:pt>
                <c:pt idx="17">
                  <c:v>101.04859217384977</c:v>
                </c:pt>
                <c:pt idx="18">
                  <c:v>101.53416067114124</c:v>
                </c:pt>
                <c:pt idx="19">
                  <c:v>101.75422465813078</c:v>
                </c:pt>
                <c:pt idx="20">
                  <c:v>99.457291921305227</c:v>
                </c:pt>
                <c:pt idx="21">
                  <c:v>97.316789392601123</c:v>
                </c:pt>
                <c:pt idx="22">
                  <c:v>95.582696708262432</c:v>
                </c:pt>
                <c:pt idx="23">
                  <c:v>94.165148767325277</c:v>
                </c:pt>
                <c:pt idx="24">
                  <c:v>92.967745503640174</c:v>
                </c:pt>
                <c:pt idx="25">
                  <c:v>91.923051951843505</c:v>
                </c:pt>
                <c:pt idx="26">
                  <c:v>90.986918282040818</c:v>
                </c:pt>
                <c:pt idx="27">
                  <c:v>90.130418729994702</c:v>
                </c:pt>
                <c:pt idx="28">
                  <c:v>83.525739559106995</c:v>
                </c:pt>
                <c:pt idx="29">
                  <c:v>78.232897666911612</c:v>
                </c:pt>
                <c:pt idx="30">
                  <c:v>73.412844023858796</c:v>
                </c:pt>
                <c:pt idx="31">
                  <c:v>68.865856187764805</c:v>
                </c:pt>
                <c:pt idx="32">
                  <c:v>64.521138765228997</c:v>
                </c:pt>
                <c:pt idx="33">
                  <c:v>60.345423618064096</c:v>
                </c:pt>
                <c:pt idx="34">
                  <c:v>56.317673516394564</c:v>
                </c:pt>
                <c:pt idx="35">
                  <c:v>52.420526954097227</c:v>
                </c:pt>
                <c:pt idx="36">
                  <c:v>48.636998874768764</c:v>
                </c:pt>
                <c:pt idx="37">
                  <c:v>11.811139576113044</c:v>
                </c:pt>
                <c:pt idx="38">
                  <c:v>-56.482589642421352</c:v>
                </c:pt>
                <c:pt idx="39">
                  <c:v>-119.11059497753781</c:v>
                </c:pt>
                <c:pt idx="40">
                  <c:v>-139.02833706459555</c:v>
                </c:pt>
                <c:pt idx="41">
                  <c:v>-148.27726086255629</c:v>
                </c:pt>
                <c:pt idx="42">
                  <c:v>-153.8282455218297</c:v>
                </c:pt>
                <c:pt idx="43">
                  <c:v>-157.61122353244636</c:v>
                </c:pt>
                <c:pt idx="44">
                  <c:v>-160.38649903493882</c:v>
                </c:pt>
                <c:pt idx="45">
                  <c:v>-162.52303928481791</c:v>
                </c:pt>
                <c:pt idx="46">
                  <c:v>-171.51631258353268</c:v>
                </c:pt>
                <c:pt idx="47">
                  <c:v>-174.37307527401998</c:v>
                </c:pt>
                <c:pt idx="48">
                  <c:v>-175.78725042146971</c:v>
                </c:pt>
                <c:pt idx="49">
                  <c:v>-176.63253825839422</c:v>
                </c:pt>
                <c:pt idx="50">
                  <c:v>-177.19501721192393</c:v>
                </c:pt>
                <c:pt idx="51">
                  <c:v>-177.5963663146641</c:v>
                </c:pt>
                <c:pt idx="52">
                  <c:v>-177.89718202493253</c:v>
                </c:pt>
                <c:pt idx="53">
                  <c:v>-178.13104860388972</c:v>
                </c:pt>
                <c:pt idx="54">
                  <c:v>-178.31808538491816</c:v>
                </c:pt>
              </c:numCache>
            </c:numRef>
          </c:yVal>
          <c:smooth val="1"/>
          <c:extLst>
            <c:ext xmlns:c16="http://schemas.microsoft.com/office/drawing/2014/chart" uri="{C3380CC4-5D6E-409C-BE32-E72D297353CC}">
              <c16:uniqueId val="{0000000A-396C-45B9-A8B4-ABF0CB6F5A8C}"/>
            </c:ext>
          </c:extLst>
        </c:ser>
        <c:dLbls>
          <c:showLegendKey val="0"/>
          <c:showVal val="0"/>
          <c:showCatName val="0"/>
          <c:showSerName val="0"/>
          <c:showPercent val="0"/>
          <c:showBubbleSize val="0"/>
        </c:dLbls>
        <c:axId val="205821440"/>
        <c:axId val="205777920"/>
      </c:scatterChart>
      <c:valAx>
        <c:axId val="205768960"/>
        <c:scaling>
          <c:logBase val="10"/>
          <c:orientation val="minMax"/>
          <c:min val="10"/>
        </c:scaling>
        <c:delete val="0"/>
        <c:axPos val="b"/>
        <c:majorGridlines/>
        <c:minorGridlines/>
        <c:title>
          <c:tx>
            <c:rich>
              <a:bodyPr/>
              <a:lstStyle/>
              <a:p>
                <a:pPr>
                  <a:defRPr/>
                </a:pPr>
                <a:r>
                  <a:rPr lang="en-US"/>
                  <a:t>Frequency</a:t>
                </a:r>
                <a:r>
                  <a:rPr lang="en-US" baseline="0"/>
                  <a:t> (Hz)</a:t>
                </a:r>
                <a:endParaRPr lang="en-US"/>
              </a:p>
            </c:rich>
          </c:tx>
          <c:overlay val="0"/>
        </c:title>
        <c:numFmt formatCode="General" sourceLinked="1"/>
        <c:majorTickMark val="out"/>
        <c:minorTickMark val="cross"/>
        <c:tickLblPos val="low"/>
        <c:crossAx val="205775616"/>
        <c:crosses val="autoZero"/>
        <c:crossBetween val="midCat"/>
      </c:valAx>
      <c:valAx>
        <c:axId val="205775616"/>
        <c:scaling>
          <c:orientation val="minMax"/>
          <c:max val="60"/>
          <c:min val="-40"/>
        </c:scaling>
        <c:delete val="0"/>
        <c:axPos val="l"/>
        <c:majorGridlines/>
        <c:title>
          <c:tx>
            <c:rich>
              <a:bodyPr rot="-5400000" vert="horz"/>
              <a:lstStyle/>
              <a:p>
                <a:pPr>
                  <a:defRPr/>
                </a:pPr>
                <a:r>
                  <a:rPr lang="en-US"/>
                  <a:t>Loop Gain (dB)</a:t>
                </a:r>
              </a:p>
            </c:rich>
          </c:tx>
          <c:overlay val="0"/>
        </c:title>
        <c:numFmt formatCode="General" sourceLinked="1"/>
        <c:majorTickMark val="out"/>
        <c:minorTickMark val="none"/>
        <c:tickLblPos val="nextTo"/>
        <c:crossAx val="205768960"/>
        <c:crosses val="autoZero"/>
        <c:crossBetween val="midCat"/>
        <c:majorUnit val="20"/>
      </c:valAx>
      <c:valAx>
        <c:axId val="205777920"/>
        <c:scaling>
          <c:orientation val="minMax"/>
          <c:max val="180"/>
          <c:min val="-180"/>
        </c:scaling>
        <c:delete val="0"/>
        <c:axPos val="r"/>
        <c:title>
          <c:tx>
            <c:rich>
              <a:bodyPr rot="-5400000" vert="horz"/>
              <a:lstStyle/>
              <a:p>
                <a:pPr>
                  <a:defRPr/>
                </a:pPr>
                <a:r>
                  <a:rPr lang="en-US"/>
                  <a:t>Loop Phase Margin (deg)</a:t>
                </a:r>
              </a:p>
            </c:rich>
          </c:tx>
          <c:overlay val="0"/>
        </c:title>
        <c:numFmt formatCode="General" sourceLinked="1"/>
        <c:majorTickMark val="out"/>
        <c:minorTickMark val="none"/>
        <c:tickLblPos val="nextTo"/>
        <c:crossAx val="205821440"/>
        <c:crosses val="max"/>
        <c:crossBetween val="midCat"/>
        <c:majorUnit val="45"/>
      </c:valAx>
      <c:valAx>
        <c:axId val="205821440"/>
        <c:scaling>
          <c:logBase val="10"/>
          <c:orientation val="minMax"/>
        </c:scaling>
        <c:delete val="1"/>
        <c:axPos val="b"/>
        <c:numFmt formatCode="General" sourceLinked="1"/>
        <c:majorTickMark val="out"/>
        <c:minorTickMark val="none"/>
        <c:tickLblPos val="nextTo"/>
        <c:crossAx val="205777920"/>
        <c:crosses val="autoZero"/>
        <c:crossBetween val="midCat"/>
      </c:valAx>
    </c:plotArea>
    <c:legend>
      <c:legendPos val="l"/>
      <c:legendEntry>
        <c:idx val="1"/>
        <c:delete val="1"/>
      </c:legendEntry>
      <c:legendEntry>
        <c:idx val="2"/>
        <c:delete val="1"/>
      </c:legendEntry>
      <c:legendEntry>
        <c:idx val="3"/>
        <c:delete val="1"/>
      </c:legendEntry>
      <c:legendEntry>
        <c:idx val="4"/>
        <c:delete val="1"/>
      </c:legendEntry>
      <c:layout>
        <c:manualLayout>
          <c:xMode val="edge"/>
          <c:yMode val="edge"/>
          <c:x val="0.79304241813100085"/>
          <c:y val="2.6664513567886527E-2"/>
          <c:w val="9.4543330754408461E-2"/>
          <c:h val="0.12361639853858421"/>
        </c:manualLayout>
      </c:layout>
      <c:overlay val="1"/>
      <c:spPr>
        <a:noFill/>
      </c:sp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Boost Mode Duty Cycle</a:t>
            </a:r>
          </a:p>
        </c:rich>
      </c:tx>
      <c:overlay val="0"/>
    </c:title>
    <c:autoTitleDeleted val="0"/>
    <c:plotArea>
      <c:layout/>
      <c:scatterChart>
        <c:scatterStyle val="smoothMarker"/>
        <c:varyColors val="0"/>
        <c:ser>
          <c:idx val="0"/>
          <c:order val="0"/>
          <c:tx>
            <c:v>LV Port Min</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Calculations!$AC$6:$AC$56</c:f>
              <c:numCache>
                <c:formatCode>General</c:formatCode>
                <c:ptCount val="51"/>
                <c:pt idx="0">
                  <c:v>0</c:v>
                </c:pt>
                <c:pt idx="1">
                  <c:v>0.38409746705430237</c:v>
                </c:pt>
                <c:pt idx="2">
                  <c:v>0.5431958471813475</c:v>
                </c:pt>
                <c:pt idx="3">
                  <c:v>0.66527632799656466</c:v>
                </c:pt>
                <c:pt idx="4">
                  <c:v>0.74687499999999996</c:v>
                </c:pt>
                <c:pt idx="5">
                  <c:v>0.74687499999999996</c:v>
                </c:pt>
                <c:pt idx="6">
                  <c:v>0.74687499999999996</c:v>
                </c:pt>
                <c:pt idx="7">
                  <c:v>0.74687499999999996</c:v>
                </c:pt>
                <c:pt idx="8">
                  <c:v>0.74687499999999996</c:v>
                </c:pt>
                <c:pt idx="9">
                  <c:v>0.74687499999999996</c:v>
                </c:pt>
                <c:pt idx="10">
                  <c:v>0.74687499999999996</c:v>
                </c:pt>
                <c:pt idx="11">
                  <c:v>0.74687499999999996</c:v>
                </c:pt>
                <c:pt idx="12">
                  <c:v>0.74687499999999996</c:v>
                </c:pt>
                <c:pt idx="13">
                  <c:v>0.74687499999999996</c:v>
                </c:pt>
                <c:pt idx="14">
                  <c:v>0.74687499999999996</c:v>
                </c:pt>
                <c:pt idx="15">
                  <c:v>0.74687499999999996</c:v>
                </c:pt>
                <c:pt idx="16">
                  <c:v>0.74687499999999996</c:v>
                </c:pt>
                <c:pt idx="17">
                  <c:v>0.74687499999999996</c:v>
                </c:pt>
                <c:pt idx="18">
                  <c:v>0.74687499999999996</c:v>
                </c:pt>
                <c:pt idx="19">
                  <c:v>0.74687499999999996</c:v>
                </c:pt>
                <c:pt idx="20">
                  <c:v>0.74687499999999996</c:v>
                </c:pt>
                <c:pt idx="21">
                  <c:v>0.74687499999999996</c:v>
                </c:pt>
                <c:pt idx="22">
                  <c:v>0.74687499999999996</c:v>
                </c:pt>
                <c:pt idx="23">
                  <c:v>0.74687499999999996</c:v>
                </c:pt>
                <c:pt idx="24">
                  <c:v>0.74687499999999996</c:v>
                </c:pt>
                <c:pt idx="25">
                  <c:v>0.74687499999999996</c:v>
                </c:pt>
                <c:pt idx="26">
                  <c:v>0.74687499999999996</c:v>
                </c:pt>
                <c:pt idx="27">
                  <c:v>0.74687499999999996</c:v>
                </c:pt>
                <c:pt idx="28">
                  <c:v>0.74687499999999996</c:v>
                </c:pt>
                <c:pt idx="29">
                  <c:v>0.74687499999999996</c:v>
                </c:pt>
                <c:pt idx="30">
                  <c:v>0.74687499999999996</c:v>
                </c:pt>
                <c:pt idx="31">
                  <c:v>0.74687499999999996</c:v>
                </c:pt>
                <c:pt idx="32">
                  <c:v>0.74687499999999996</c:v>
                </c:pt>
                <c:pt idx="33">
                  <c:v>0.74687499999999996</c:v>
                </c:pt>
                <c:pt idx="34">
                  <c:v>0.74687499999999996</c:v>
                </c:pt>
                <c:pt idx="35">
                  <c:v>0.74687499999999996</c:v>
                </c:pt>
                <c:pt idx="36">
                  <c:v>0.74687499999999996</c:v>
                </c:pt>
                <c:pt idx="37">
                  <c:v>0.74687499999999996</c:v>
                </c:pt>
                <c:pt idx="38">
                  <c:v>0.74687499999999996</c:v>
                </c:pt>
                <c:pt idx="39">
                  <c:v>0.74687499999999996</c:v>
                </c:pt>
                <c:pt idx="40">
                  <c:v>0.74687499999999996</c:v>
                </c:pt>
                <c:pt idx="41">
                  <c:v>0.74687499999999996</c:v>
                </c:pt>
                <c:pt idx="42">
                  <c:v>0.74687499999999996</c:v>
                </c:pt>
                <c:pt idx="43">
                  <c:v>0.74687499999999996</c:v>
                </c:pt>
                <c:pt idx="44">
                  <c:v>0.74687499999999996</c:v>
                </c:pt>
                <c:pt idx="45">
                  <c:v>0.74687499999999996</c:v>
                </c:pt>
                <c:pt idx="46">
                  <c:v>0.74687499999999996</c:v>
                </c:pt>
                <c:pt idx="47">
                  <c:v>0.74687499999999996</c:v>
                </c:pt>
                <c:pt idx="48">
                  <c:v>0.74687499999999996</c:v>
                </c:pt>
                <c:pt idx="49">
                  <c:v>0.74687499999999996</c:v>
                </c:pt>
                <c:pt idx="50">
                  <c:v>0.74687499999999996</c:v>
                </c:pt>
              </c:numCache>
            </c:numRef>
          </c:yVal>
          <c:smooth val="1"/>
          <c:extLst>
            <c:ext xmlns:c16="http://schemas.microsoft.com/office/drawing/2014/chart" uri="{C3380CC4-5D6E-409C-BE32-E72D297353CC}">
              <c16:uniqueId val="{00000000-4466-40D3-AD81-80DD3FBEAB67}"/>
            </c:ext>
          </c:extLst>
        </c:ser>
        <c:ser>
          <c:idx val="1"/>
          <c:order val="1"/>
          <c:tx>
            <c:v>LV Port Nom</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Calculations!$AG$6:$AG$56</c:f>
              <c:numCache>
                <c:formatCode>General</c:formatCode>
                <c:ptCount val="51"/>
                <c:pt idx="0">
                  <c:v>0</c:v>
                </c:pt>
                <c:pt idx="1">
                  <c:v>0.38304217976015364</c:v>
                </c:pt>
                <c:pt idx="2">
                  <c:v>0.54170344557776218</c:v>
                </c:pt>
                <c:pt idx="3">
                  <c:v>0.66344851678651717</c:v>
                </c:pt>
                <c:pt idx="4">
                  <c:v>0.74583333333333335</c:v>
                </c:pt>
                <c:pt idx="5">
                  <c:v>0.74583333333333335</c:v>
                </c:pt>
                <c:pt idx="6">
                  <c:v>0.74583333333333335</c:v>
                </c:pt>
                <c:pt idx="7">
                  <c:v>0.74583333333333335</c:v>
                </c:pt>
                <c:pt idx="8">
                  <c:v>0.74583333333333335</c:v>
                </c:pt>
                <c:pt idx="9">
                  <c:v>0.74583333333333335</c:v>
                </c:pt>
                <c:pt idx="10">
                  <c:v>0.74583333333333335</c:v>
                </c:pt>
                <c:pt idx="11">
                  <c:v>0.74583333333333335</c:v>
                </c:pt>
                <c:pt idx="12">
                  <c:v>0.74583333333333335</c:v>
                </c:pt>
                <c:pt idx="13">
                  <c:v>0.74583333333333335</c:v>
                </c:pt>
                <c:pt idx="14">
                  <c:v>0.74583333333333335</c:v>
                </c:pt>
                <c:pt idx="15">
                  <c:v>0.74583333333333335</c:v>
                </c:pt>
                <c:pt idx="16">
                  <c:v>0.74583333333333335</c:v>
                </c:pt>
                <c:pt idx="17">
                  <c:v>0.74583333333333335</c:v>
                </c:pt>
                <c:pt idx="18">
                  <c:v>0.74583333333333335</c:v>
                </c:pt>
                <c:pt idx="19">
                  <c:v>0.74583333333333335</c:v>
                </c:pt>
                <c:pt idx="20">
                  <c:v>0.74583333333333335</c:v>
                </c:pt>
                <c:pt idx="21">
                  <c:v>0.74583333333333335</c:v>
                </c:pt>
                <c:pt idx="22">
                  <c:v>0.74583333333333335</c:v>
                </c:pt>
                <c:pt idx="23">
                  <c:v>0.74583333333333335</c:v>
                </c:pt>
                <c:pt idx="24">
                  <c:v>0.74583333333333335</c:v>
                </c:pt>
                <c:pt idx="25">
                  <c:v>0.74583333333333335</c:v>
                </c:pt>
                <c:pt idx="26">
                  <c:v>0.74583333333333335</c:v>
                </c:pt>
                <c:pt idx="27">
                  <c:v>0.74583333333333335</c:v>
                </c:pt>
                <c:pt idx="28">
                  <c:v>0.74583333333333335</c:v>
                </c:pt>
                <c:pt idx="29">
                  <c:v>0.74583333333333335</c:v>
                </c:pt>
                <c:pt idx="30">
                  <c:v>0.74583333333333335</c:v>
                </c:pt>
                <c:pt idx="31">
                  <c:v>0.74583333333333335</c:v>
                </c:pt>
                <c:pt idx="32">
                  <c:v>0.74583333333333335</c:v>
                </c:pt>
                <c:pt idx="33">
                  <c:v>0.74583333333333335</c:v>
                </c:pt>
                <c:pt idx="34">
                  <c:v>0.74583333333333335</c:v>
                </c:pt>
                <c:pt idx="35">
                  <c:v>0.74583333333333335</c:v>
                </c:pt>
                <c:pt idx="36">
                  <c:v>0.74583333333333335</c:v>
                </c:pt>
                <c:pt idx="37">
                  <c:v>0.74583333333333335</c:v>
                </c:pt>
                <c:pt idx="38">
                  <c:v>0.74583333333333335</c:v>
                </c:pt>
                <c:pt idx="39">
                  <c:v>0.74583333333333335</c:v>
                </c:pt>
                <c:pt idx="40">
                  <c:v>0.74583333333333335</c:v>
                </c:pt>
                <c:pt idx="41">
                  <c:v>0.74583333333333335</c:v>
                </c:pt>
                <c:pt idx="42">
                  <c:v>0.74583333333333335</c:v>
                </c:pt>
                <c:pt idx="43">
                  <c:v>0.74583333333333335</c:v>
                </c:pt>
                <c:pt idx="44">
                  <c:v>0.74583333333333335</c:v>
                </c:pt>
                <c:pt idx="45">
                  <c:v>0.74583333333333335</c:v>
                </c:pt>
                <c:pt idx="46">
                  <c:v>0.74583333333333335</c:v>
                </c:pt>
                <c:pt idx="47">
                  <c:v>0.74583333333333335</c:v>
                </c:pt>
                <c:pt idx="48">
                  <c:v>0.74583333333333335</c:v>
                </c:pt>
                <c:pt idx="49">
                  <c:v>0.74583333333333335</c:v>
                </c:pt>
                <c:pt idx="50">
                  <c:v>0.74583333333333335</c:v>
                </c:pt>
              </c:numCache>
            </c:numRef>
          </c:yVal>
          <c:smooth val="1"/>
          <c:extLst>
            <c:ext xmlns:c16="http://schemas.microsoft.com/office/drawing/2014/chart" uri="{C3380CC4-5D6E-409C-BE32-E72D297353CC}">
              <c16:uniqueId val="{00000001-4466-40D3-AD81-80DD3FBEAB67}"/>
            </c:ext>
          </c:extLst>
        </c:ser>
        <c:ser>
          <c:idx val="2"/>
          <c:order val="2"/>
          <c:tx>
            <c:v>LV Port Max</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Calculations!$AK$6:$AK$56</c:f>
              <c:numCache>
                <c:formatCode>General</c:formatCode>
                <c:ptCount val="51"/>
                <c:pt idx="0">
                  <c:v>0</c:v>
                </c:pt>
                <c:pt idx="1">
                  <c:v>0.38199262734631251</c:v>
                </c:pt>
                <c:pt idx="2">
                  <c:v>0.5402191543196867</c:v>
                </c:pt>
                <c:pt idx="3">
                  <c:v>0.66163063868053773</c:v>
                </c:pt>
                <c:pt idx="4">
                  <c:v>0.74479166666666674</c:v>
                </c:pt>
                <c:pt idx="5">
                  <c:v>0.74479166666666674</c:v>
                </c:pt>
                <c:pt idx="6">
                  <c:v>0.74479166666666674</c:v>
                </c:pt>
                <c:pt idx="7">
                  <c:v>0.74479166666666674</c:v>
                </c:pt>
                <c:pt idx="8">
                  <c:v>0.74479166666666674</c:v>
                </c:pt>
                <c:pt idx="9">
                  <c:v>0.74479166666666674</c:v>
                </c:pt>
                <c:pt idx="10">
                  <c:v>0.74479166666666674</c:v>
                </c:pt>
                <c:pt idx="11">
                  <c:v>0.74479166666666674</c:v>
                </c:pt>
                <c:pt idx="12">
                  <c:v>0.74479166666666674</c:v>
                </c:pt>
                <c:pt idx="13">
                  <c:v>0.74479166666666674</c:v>
                </c:pt>
                <c:pt idx="14">
                  <c:v>0.74479166666666674</c:v>
                </c:pt>
                <c:pt idx="15">
                  <c:v>0.74479166666666674</c:v>
                </c:pt>
                <c:pt idx="16">
                  <c:v>0.74479166666666674</c:v>
                </c:pt>
                <c:pt idx="17">
                  <c:v>0.74479166666666674</c:v>
                </c:pt>
                <c:pt idx="18">
                  <c:v>0.74479166666666674</c:v>
                </c:pt>
                <c:pt idx="19">
                  <c:v>0.74479166666666674</c:v>
                </c:pt>
                <c:pt idx="20">
                  <c:v>0.74479166666666674</c:v>
                </c:pt>
                <c:pt idx="21">
                  <c:v>0.74479166666666674</c:v>
                </c:pt>
                <c:pt idx="22">
                  <c:v>0.74479166666666674</c:v>
                </c:pt>
                <c:pt idx="23">
                  <c:v>0.74479166666666674</c:v>
                </c:pt>
                <c:pt idx="24">
                  <c:v>0.74479166666666674</c:v>
                </c:pt>
                <c:pt idx="25">
                  <c:v>0.74479166666666674</c:v>
                </c:pt>
                <c:pt idx="26">
                  <c:v>0.74479166666666674</c:v>
                </c:pt>
                <c:pt idx="27">
                  <c:v>0.74479166666666674</c:v>
                </c:pt>
                <c:pt idx="28">
                  <c:v>0.74479166666666674</c:v>
                </c:pt>
                <c:pt idx="29">
                  <c:v>0.74479166666666674</c:v>
                </c:pt>
                <c:pt idx="30">
                  <c:v>0.74479166666666674</c:v>
                </c:pt>
                <c:pt idx="31">
                  <c:v>0.74479166666666674</c:v>
                </c:pt>
                <c:pt idx="32">
                  <c:v>0.74479166666666674</c:v>
                </c:pt>
                <c:pt idx="33">
                  <c:v>0.74479166666666674</c:v>
                </c:pt>
                <c:pt idx="34">
                  <c:v>0.74479166666666674</c:v>
                </c:pt>
                <c:pt idx="35">
                  <c:v>0.74479166666666674</c:v>
                </c:pt>
                <c:pt idx="36">
                  <c:v>0.74479166666666674</c:v>
                </c:pt>
                <c:pt idx="37">
                  <c:v>0.74479166666666674</c:v>
                </c:pt>
                <c:pt idx="38">
                  <c:v>0.74479166666666674</c:v>
                </c:pt>
                <c:pt idx="39">
                  <c:v>0.74479166666666674</c:v>
                </c:pt>
                <c:pt idx="40">
                  <c:v>0.74479166666666674</c:v>
                </c:pt>
                <c:pt idx="41">
                  <c:v>0.74479166666666674</c:v>
                </c:pt>
                <c:pt idx="42">
                  <c:v>0.74479166666666674</c:v>
                </c:pt>
                <c:pt idx="43">
                  <c:v>0.74479166666666674</c:v>
                </c:pt>
                <c:pt idx="44">
                  <c:v>0.74479166666666674</c:v>
                </c:pt>
                <c:pt idx="45">
                  <c:v>0.74479166666666674</c:v>
                </c:pt>
                <c:pt idx="46">
                  <c:v>0.74479166666666674</c:v>
                </c:pt>
                <c:pt idx="47">
                  <c:v>0.74479166666666674</c:v>
                </c:pt>
                <c:pt idx="48">
                  <c:v>0.74479166666666674</c:v>
                </c:pt>
                <c:pt idx="49">
                  <c:v>0.74479166666666674</c:v>
                </c:pt>
                <c:pt idx="50">
                  <c:v>0.74479166666666674</c:v>
                </c:pt>
              </c:numCache>
            </c:numRef>
          </c:yVal>
          <c:smooth val="1"/>
          <c:extLst>
            <c:ext xmlns:c16="http://schemas.microsoft.com/office/drawing/2014/chart" uri="{C3380CC4-5D6E-409C-BE32-E72D297353CC}">
              <c16:uniqueId val="{00000002-4466-40D3-AD81-80DD3FBEAB67}"/>
            </c:ext>
          </c:extLst>
        </c:ser>
        <c:ser>
          <c:idx val="3"/>
          <c:order val="3"/>
          <c:tx>
            <c:v>LV Min</c:v>
          </c:tx>
          <c:marker>
            <c:symbol val="circle"/>
            <c:size val="11"/>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Calculations!$B$51</c:f>
              <c:numCache>
                <c:formatCode>0.000</c:formatCode>
                <c:ptCount val="1"/>
                <c:pt idx="0">
                  <c:v>18.9052734375</c:v>
                </c:pt>
              </c:numCache>
            </c:numRef>
          </c:xVal>
          <c:yVal>
            <c:numRef>
              <c:f>Calculations!$B$52</c:f>
              <c:numCache>
                <c:formatCode>General</c:formatCode>
                <c:ptCount val="1"/>
                <c:pt idx="0">
                  <c:v>0.74687499999999996</c:v>
                </c:pt>
              </c:numCache>
            </c:numRef>
          </c:yVal>
          <c:smooth val="0"/>
          <c:extLst>
            <c:ext xmlns:c16="http://schemas.microsoft.com/office/drawing/2014/chart" uri="{C3380CC4-5D6E-409C-BE32-E72D297353CC}">
              <c16:uniqueId val="{00000003-4466-40D3-AD81-80DD3FBEAB67}"/>
            </c:ext>
          </c:extLst>
        </c:ser>
        <c:ser>
          <c:idx val="4"/>
          <c:order val="4"/>
          <c:tx>
            <c:v>LV Nom</c:v>
          </c:tx>
          <c:spPr>
            <a:ln w="47625"/>
          </c:spPr>
          <c:marker>
            <c:symbol val="circle"/>
            <c:size val="11"/>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Calculations!$B$54</c:f>
              <c:numCache>
                <c:formatCode>0.000</c:formatCode>
                <c:ptCount val="1"/>
                <c:pt idx="0">
                  <c:v>18.956597222222221</c:v>
                </c:pt>
              </c:numCache>
            </c:numRef>
          </c:xVal>
          <c:yVal>
            <c:numRef>
              <c:f>Calculations!$B$55</c:f>
              <c:numCache>
                <c:formatCode>0.000</c:formatCode>
                <c:ptCount val="1"/>
                <c:pt idx="0">
                  <c:v>0.74583333333333335</c:v>
                </c:pt>
              </c:numCache>
            </c:numRef>
          </c:yVal>
          <c:smooth val="0"/>
          <c:extLst>
            <c:ext xmlns:c16="http://schemas.microsoft.com/office/drawing/2014/chart" uri="{C3380CC4-5D6E-409C-BE32-E72D297353CC}">
              <c16:uniqueId val="{00000004-4466-40D3-AD81-80DD3FBEAB67}"/>
            </c:ext>
          </c:extLst>
        </c:ser>
        <c:ser>
          <c:idx val="5"/>
          <c:order val="5"/>
          <c:tx>
            <c:v>LV Max</c:v>
          </c:tx>
          <c:marker>
            <c:symbol val="circle"/>
            <c:size val="11"/>
            <c:spPr>
              <a:noFill/>
              <a:ln w="25400">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Calculations!$B$57</c:f>
              <c:numCache>
                <c:formatCode>0.000</c:formatCode>
                <c:ptCount val="1"/>
                <c:pt idx="0">
                  <c:v>19.007703993055554</c:v>
                </c:pt>
              </c:numCache>
            </c:numRef>
          </c:xVal>
          <c:yVal>
            <c:numRef>
              <c:f>Calculations!$B$58</c:f>
              <c:numCache>
                <c:formatCode>General</c:formatCode>
                <c:ptCount val="1"/>
                <c:pt idx="0">
                  <c:v>0.74479166666666674</c:v>
                </c:pt>
              </c:numCache>
            </c:numRef>
          </c:yVal>
          <c:smooth val="1"/>
          <c:extLst>
            <c:ext xmlns:c16="http://schemas.microsoft.com/office/drawing/2014/chart" uri="{C3380CC4-5D6E-409C-BE32-E72D297353CC}">
              <c16:uniqueId val="{00000005-4466-40D3-AD81-80DD3FBEAB67}"/>
            </c:ext>
          </c:extLst>
        </c:ser>
        <c:dLbls>
          <c:showLegendKey val="0"/>
          <c:showVal val="0"/>
          <c:showCatName val="0"/>
          <c:showSerName val="0"/>
          <c:showPercent val="0"/>
          <c:showBubbleSize val="0"/>
        </c:dLbls>
        <c:axId val="206991744"/>
        <c:axId val="207034624"/>
      </c:scatterChart>
      <c:valAx>
        <c:axId val="206991744"/>
        <c:scaling>
          <c:orientation val="minMax"/>
        </c:scaling>
        <c:delete val="0"/>
        <c:axPos val="b"/>
        <c:majorGridlines/>
        <c:title>
          <c:tx>
            <c:rich>
              <a:bodyPr/>
              <a:lstStyle/>
              <a:p>
                <a:pPr>
                  <a:defRPr/>
                </a:pPr>
                <a:r>
                  <a:rPr lang="en-US"/>
                  <a:t>Per Phase Average Inductor Current  (A)</a:t>
                </a:r>
              </a:p>
            </c:rich>
          </c:tx>
          <c:overlay val="0"/>
        </c:title>
        <c:numFmt formatCode="General" sourceLinked="1"/>
        <c:majorTickMark val="out"/>
        <c:minorTickMark val="none"/>
        <c:tickLblPos val="nextTo"/>
        <c:crossAx val="207034624"/>
        <c:crosses val="autoZero"/>
        <c:crossBetween val="midCat"/>
      </c:valAx>
      <c:valAx>
        <c:axId val="207034624"/>
        <c:scaling>
          <c:orientation val="minMax"/>
          <c:max val="1"/>
          <c:min val="0"/>
        </c:scaling>
        <c:delete val="0"/>
        <c:axPos val="l"/>
        <c:majorGridlines/>
        <c:title>
          <c:tx>
            <c:rich>
              <a:bodyPr rot="-5400000" vert="horz"/>
              <a:lstStyle/>
              <a:p>
                <a:pPr>
                  <a:defRPr/>
                </a:pPr>
                <a:r>
                  <a:rPr lang="en-US"/>
                  <a:t>LO</a:t>
                </a:r>
                <a:r>
                  <a:rPr lang="en-US" baseline="0"/>
                  <a:t> Duty Cycle</a:t>
                </a:r>
                <a:endParaRPr lang="en-US"/>
              </a:p>
            </c:rich>
          </c:tx>
          <c:overlay val="0"/>
        </c:title>
        <c:numFmt formatCode="General" sourceLinked="1"/>
        <c:majorTickMark val="out"/>
        <c:minorTickMark val="none"/>
        <c:tickLblPos val="nextTo"/>
        <c:crossAx val="206991744"/>
        <c:crosses val="autoZero"/>
        <c:crossBetween val="midCat"/>
      </c:valAx>
    </c:plotArea>
    <c:legend>
      <c:legendPos val="b"/>
      <c:legendEntry>
        <c:idx val="3"/>
        <c:delete val="1"/>
      </c:legendEntry>
      <c:legendEntry>
        <c:idx val="4"/>
        <c:delete val="1"/>
      </c:legendEntry>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Buck Mode Duty Cycle</a:t>
            </a:r>
          </a:p>
        </c:rich>
      </c:tx>
      <c:overlay val="0"/>
    </c:title>
    <c:autoTitleDeleted val="0"/>
    <c:plotArea>
      <c:layout/>
      <c:scatterChart>
        <c:scatterStyle val="smoothMarker"/>
        <c:varyColors val="0"/>
        <c:ser>
          <c:idx val="0"/>
          <c:order val="0"/>
          <c:tx>
            <c:v>HV Port Min</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Calculations!$P$6:$P$56</c:f>
              <c:numCache>
                <c:formatCode>General</c:formatCode>
                <c:ptCount val="51"/>
                <c:pt idx="0">
                  <c:v>0</c:v>
                </c:pt>
                <c:pt idx="1">
                  <c:v>0.19155085309992298</c:v>
                </c:pt>
                <c:pt idx="2">
                  <c:v>0.27089381433804749</c:v>
                </c:pt>
                <c:pt idx="3">
                  <c:v>0.33177580980222898</c:v>
                </c:pt>
                <c:pt idx="4">
                  <c:v>0.34857142857142853</c:v>
                </c:pt>
                <c:pt idx="5">
                  <c:v>0.34857142857142853</c:v>
                </c:pt>
                <c:pt idx="6">
                  <c:v>0.34857142857142853</c:v>
                </c:pt>
                <c:pt idx="7">
                  <c:v>0.34857142857142853</c:v>
                </c:pt>
                <c:pt idx="8">
                  <c:v>0.34857142857142853</c:v>
                </c:pt>
                <c:pt idx="9">
                  <c:v>0.34857142857142853</c:v>
                </c:pt>
                <c:pt idx="10">
                  <c:v>0.34857142857142853</c:v>
                </c:pt>
                <c:pt idx="11">
                  <c:v>0.34857142857142853</c:v>
                </c:pt>
                <c:pt idx="12">
                  <c:v>0.34857142857142853</c:v>
                </c:pt>
                <c:pt idx="13">
                  <c:v>0.34857142857142853</c:v>
                </c:pt>
                <c:pt idx="14">
                  <c:v>0.34857142857142853</c:v>
                </c:pt>
                <c:pt idx="15">
                  <c:v>0.34857142857142853</c:v>
                </c:pt>
                <c:pt idx="16">
                  <c:v>0.34857142857142853</c:v>
                </c:pt>
                <c:pt idx="17">
                  <c:v>0.34857142857142853</c:v>
                </c:pt>
                <c:pt idx="18">
                  <c:v>0.34857142857142853</c:v>
                </c:pt>
                <c:pt idx="19">
                  <c:v>0.34857142857142853</c:v>
                </c:pt>
                <c:pt idx="20">
                  <c:v>0.34857142857142853</c:v>
                </c:pt>
                <c:pt idx="21">
                  <c:v>0.34857142857142853</c:v>
                </c:pt>
                <c:pt idx="22">
                  <c:v>0.34857142857142853</c:v>
                </c:pt>
                <c:pt idx="23">
                  <c:v>0.34857142857142853</c:v>
                </c:pt>
                <c:pt idx="24">
                  <c:v>0.34857142857142853</c:v>
                </c:pt>
                <c:pt idx="25">
                  <c:v>0.34857142857142853</c:v>
                </c:pt>
                <c:pt idx="26">
                  <c:v>0.34857142857142853</c:v>
                </c:pt>
                <c:pt idx="27">
                  <c:v>0.34857142857142853</c:v>
                </c:pt>
                <c:pt idx="28">
                  <c:v>0.34857142857142853</c:v>
                </c:pt>
                <c:pt idx="29">
                  <c:v>0.34857142857142853</c:v>
                </c:pt>
                <c:pt idx="30">
                  <c:v>0.34857142857142853</c:v>
                </c:pt>
                <c:pt idx="31">
                  <c:v>0.34857142857142853</c:v>
                </c:pt>
                <c:pt idx="32">
                  <c:v>0.34857142857142853</c:v>
                </c:pt>
                <c:pt idx="33">
                  <c:v>0.34857142857142853</c:v>
                </c:pt>
                <c:pt idx="34">
                  <c:v>0.34857142857142853</c:v>
                </c:pt>
                <c:pt idx="35">
                  <c:v>0.34857142857142853</c:v>
                </c:pt>
                <c:pt idx="36">
                  <c:v>0.34857142857142853</c:v>
                </c:pt>
                <c:pt idx="37">
                  <c:v>0.34857142857142853</c:v>
                </c:pt>
                <c:pt idx="38">
                  <c:v>0.34857142857142853</c:v>
                </c:pt>
                <c:pt idx="39">
                  <c:v>0.34857142857142853</c:v>
                </c:pt>
                <c:pt idx="40">
                  <c:v>0.34857142857142853</c:v>
                </c:pt>
                <c:pt idx="41">
                  <c:v>0.34857142857142853</c:v>
                </c:pt>
                <c:pt idx="42">
                  <c:v>0.34857142857142853</c:v>
                </c:pt>
                <c:pt idx="43">
                  <c:v>0.34857142857142853</c:v>
                </c:pt>
                <c:pt idx="44">
                  <c:v>0.34857142857142853</c:v>
                </c:pt>
                <c:pt idx="45">
                  <c:v>0.34857142857142853</c:v>
                </c:pt>
                <c:pt idx="46">
                  <c:v>0.34857142857142853</c:v>
                </c:pt>
                <c:pt idx="47">
                  <c:v>0.34857142857142853</c:v>
                </c:pt>
                <c:pt idx="48">
                  <c:v>0.34857142857142853</c:v>
                </c:pt>
                <c:pt idx="49">
                  <c:v>0.34857142857142853</c:v>
                </c:pt>
                <c:pt idx="50">
                  <c:v>0.34857142857142853</c:v>
                </c:pt>
              </c:numCache>
            </c:numRef>
          </c:yVal>
          <c:smooth val="1"/>
          <c:extLst>
            <c:ext xmlns:c16="http://schemas.microsoft.com/office/drawing/2014/chart" uri="{C3380CC4-5D6E-409C-BE32-E72D297353CC}">
              <c16:uniqueId val="{00000000-9E78-4301-AAD0-9E0882AD1C37}"/>
            </c:ext>
          </c:extLst>
        </c:ser>
        <c:ser>
          <c:idx val="1"/>
          <c:order val="1"/>
          <c:tx>
            <c:v>HV Port Nom</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Calculations!$T$6:$T$56</c:f>
              <c:numCache>
                <c:formatCode>General</c:formatCode>
                <c:ptCount val="51"/>
                <c:pt idx="0">
                  <c:v>0</c:v>
                </c:pt>
                <c:pt idx="1">
                  <c:v>0.13053392718083448</c:v>
                </c:pt>
                <c:pt idx="2">
                  <c:v>0.18460285016895808</c:v>
                </c:pt>
                <c:pt idx="3">
                  <c:v>0.2260913939887014</c:v>
                </c:pt>
                <c:pt idx="4">
                  <c:v>0.25416666666666665</c:v>
                </c:pt>
                <c:pt idx="5">
                  <c:v>0.25416666666666665</c:v>
                </c:pt>
                <c:pt idx="6">
                  <c:v>0.25416666666666665</c:v>
                </c:pt>
                <c:pt idx="7">
                  <c:v>0.25416666666666665</c:v>
                </c:pt>
                <c:pt idx="8">
                  <c:v>0.25416666666666665</c:v>
                </c:pt>
                <c:pt idx="9">
                  <c:v>0.25416666666666665</c:v>
                </c:pt>
                <c:pt idx="10">
                  <c:v>0.25416666666666665</c:v>
                </c:pt>
                <c:pt idx="11">
                  <c:v>0.25416666666666665</c:v>
                </c:pt>
                <c:pt idx="12">
                  <c:v>0.25416666666666665</c:v>
                </c:pt>
                <c:pt idx="13">
                  <c:v>0.25416666666666665</c:v>
                </c:pt>
                <c:pt idx="14">
                  <c:v>0.25416666666666665</c:v>
                </c:pt>
                <c:pt idx="15">
                  <c:v>0.25416666666666665</c:v>
                </c:pt>
                <c:pt idx="16">
                  <c:v>0.25416666666666665</c:v>
                </c:pt>
                <c:pt idx="17">
                  <c:v>0.25416666666666665</c:v>
                </c:pt>
                <c:pt idx="18">
                  <c:v>0.25416666666666665</c:v>
                </c:pt>
                <c:pt idx="19">
                  <c:v>0.25416666666666665</c:v>
                </c:pt>
                <c:pt idx="20">
                  <c:v>0.25416666666666665</c:v>
                </c:pt>
                <c:pt idx="21">
                  <c:v>0.25416666666666665</c:v>
                </c:pt>
                <c:pt idx="22">
                  <c:v>0.25416666666666665</c:v>
                </c:pt>
                <c:pt idx="23">
                  <c:v>0.25416666666666665</c:v>
                </c:pt>
                <c:pt idx="24">
                  <c:v>0.25416666666666665</c:v>
                </c:pt>
                <c:pt idx="25">
                  <c:v>0.25416666666666665</c:v>
                </c:pt>
                <c:pt idx="26">
                  <c:v>0.25416666666666665</c:v>
                </c:pt>
                <c:pt idx="27">
                  <c:v>0.25416666666666665</c:v>
                </c:pt>
                <c:pt idx="28">
                  <c:v>0.25416666666666665</c:v>
                </c:pt>
                <c:pt idx="29">
                  <c:v>0.25416666666666665</c:v>
                </c:pt>
                <c:pt idx="30">
                  <c:v>0.25416666666666665</c:v>
                </c:pt>
                <c:pt idx="31">
                  <c:v>0.25416666666666665</c:v>
                </c:pt>
                <c:pt idx="32">
                  <c:v>0.25416666666666665</c:v>
                </c:pt>
                <c:pt idx="33">
                  <c:v>0.25416666666666665</c:v>
                </c:pt>
                <c:pt idx="34">
                  <c:v>0.25416666666666665</c:v>
                </c:pt>
                <c:pt idx="35">
                  <c:v>0.25416666666666665</c:v>
                </c:pt>
                <c:pt idx="36">
                  <c:v>0.25416666666666665</c:v>
                </c:pt>
                <c:pt idx="37">
                  <c:v>0.25416666666666665</c:v>
                </c:pt>
                <c:pt idx="38">
                  <c:v>0.25416666666666665</c:v>
                </c:pt>
                <c:pt idx="39">
                  <c:v>0.25416666666666665</c:v>
                </c:pt>
                <c:pt idx="40">
                  <c:v>0.25416666666666665</c:v>
                </c:pt>
                <c:pt idx="41">
                  <c:v>0.25416666666666665</c:v>
                </c:pt>
                <c:pt idx="42">
                  <c:v>0.25416666666666665</c:v>
                </c:pt>
                <c:pt idx="43">
                  <c:v>0.25416666666666665</c:v>
                </c:pt>
                <c:pt idx="44">
                  <c:v>0.25416666666666665</c:v>
                </c:pt>
                <c:pt idx="45">
                  <c:v>0.25416666666666665</c:v>
                </c:pt>
                <c:pt idx="46">
                  <c:v>0.25416666666666665</c:v>
                </c:pt>
                <c:pt idx="47">
                  <c:v>0.25416666666666665</c:v>
                </c:pt>
                <c:pt idx="48">
                  <c:v>0.25416666666666665</c:v>
                </c:pt>
                <c:pt idx="49">
                  <c:v>0.25416666666666665</c:v>
                </c:pt>
                <c:pt idx="50">
                  <c:v>0.25416666666666665</c:v>
                </c:pt>
              </c:numCache>
            </c:numRef>
          </c:yVal>
          <c:smooth val="1"/>
          <c:extLst>
            <c:ext xmlns:c16="http://schemas.microsoft.com/office/drawing/2014/chart" uri="{C3380CC4-5D6E-409C-BE32-E72D297353CC}">
              <c16:uniqueId val="{00000001-9E78-4301-AAD0-9E0882AD1C37}"/>
            </c:ext>
          </c:extLst>
        </c:ser>
        <c:ser>
          <c:idx val="2"/>
          <c:order val="2"/>
          <c:tx>
            <c:v>HV Port Max</c:v>
          </c:tx>
          <c:marker>
            <c:symbol val="none"/>
          </c:marker>
          <c:xVal>
            <c:numRef>
              <c:f>Calculations!$O$6:$O$56</c:f>
              <c:numCache>
                <c:formatCode>General</c:formatCode>
                <c:ptCount val="51"/>
                <c:pt idx="0">
                  <c:v>0</c:v>
                </c:pt>
                <c:pt idx="1">
                  <c:v>5</c:v>
                </c:pt>
                <c:pt idx="2">
                  <c:v>10</c:v>
                </c:pt>
                <c:pt idx="3">
                  <c:v>15</c:v>
                </c:pt>
                <c:pt idx="4">
                  <c:v>20</c:v>
                </c:pt>
                <c:pt idx="5">
                  <c:v>25</c:v>
                </c:pt>
                <c:pt idx="6">
                  <c:v>30</c:v>
                </c:pt>
                <c:pt idx="7">
                  <c:v>35</c:v>
                </c:pt>
                <c:pt idx="8">
                  <c:v>40</c:v>
                </c:pt>
                <c:pt idx="9">
                  <c:v>44.999999999999993</c:v>
                </c:pt>
                <c:pt idx="10">
                  <c:v>50</c:v>
                </c:pt>
                <c:pt idx="11">
                  <c:v>54.999999999999993</c:v>
                </c:pt>
                <c:pt idx="12">
                  <c:v>60</c:v>
                </c:pt>
                <c:pt idx="13">
                  <c:v>65</c:v>
                </c:pt>
                <c:pt idx="14">
                  <c:v>70</c:v>
                </c:pt>
                <c:pt idx="15">
                  <c:v>75</c:v>
                </c:pt>
                <c:pt idx="16">
                  <c:v>80</c:v>
                </c:pt>
                <c:pt idx="17">
                  <c:v>85</c:v>
                </c:pt>
                <c:pt idx="18">
                  <c:v>89.999999999999986</c:v>
                </c:pt>
                <c:pt idx="19">
                  <c:v>95</c:v>
                </c:pt>
                <c:pt idx="20">
                  <c:v>100</c:v>
                </c:pt>
                <c:pt idx="21">
                  <c:v>105</c:v>
                </c:pt>
                <c:pt idx="22">
                  <c:v>109.99999999999999</c:v>
                </c:pt>
                <c:pt idx="23">
                  <c:v>114.99999999999999</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179.99999999999997</c:v>
                </c:pt>
                <c:pt idx="37">
                  <c:v>184.99999999999997</c:v>
                </c:pt>
                <c:pt idx="38">
                  <c:v>190</c:v>
                </c:pt>
                <c:pt idx="39">
                  <c:v>195</c:v>
                </c:pt>
                <c:pt idx="40">
                  <c:v>200</c:v>
                </c:pt>
                <c:pt idx="41">
                  <c:v>205</c:v>
                </c:pt>
                <c:pt idx="42">
                  <c:v>210</c:v>
                </c:pt>
                <c:pt idx="43">
                  <c:v>214.99999999999997</c:v>
                </c:pt>
                <c:pt idx="44">
                  <c:v>219.99999999999997</c:v>
                </c:pt>
                <c:pt idx="45">
                  <c:v>224.99999999999997</c:v>
                </c:pt>
                <c:pt idx="46">
                  <c:v>229.99999999999997</c:v>
                </c:pt>
                <c:pt idx="47">
                  <c:v>235</c:v>
                </c:pt>
                <c:pt idx="48">
                  <c:v>240</c:v>
                </c:pt>
                <c:pt idx="49">
                  <c:v>245</c:v>
                </c:pt>
                <c:pt idx="50">
                  <c:v>250</c:v>
                </c:pt>
              </c:numCache>
            </c:numRef>
          </c:xVal>
          <c:yVal>
            <c:numRef>
              <c:f>Calculations!$X$6:$X$56</c:f>
              <c:numCache>
                <c:formatCode>General</c:formatCode>
                <c:ptCount val="51"/>
                <c:pt idx="0">
                  <c:v>0</c:v>
                </c:pt>
                <c:pt idx="1">
                  <c:v>0.10925830719356011</c:v>
                </c:pt>
                <c:pt idx="2">
                  <c:v>0.15451457983505859</c:v>
                </c:pt>
                <c:pt idx="3">
                  <c:v>0.18924093920821428</c:v>
                </c:pt>
                <c:pt idx="4">
                  <c:v>0.21785714285714283</c:v>
                </c:pt>
                <c:pt idx="5">
                  <c:v>0.21785714285714283</c:v>
                </c:pt>
                <c:pt idx="6">
                  <c:v>0.21785714285714283</c:v>
                </c:pt>
                <c:pt idx="7">
                  <c:v>0.21785714285714283</c:v>
                </c:pt>
                <c:pt idx="8">
                  <c:v>0.21785714285714283</c:v>
                </c:pt>
                <c:pt idx="9">
                  <c:v>0.21785714285714283</c:v>
                </c:pt>
                <c:pt idx="10">
                  <c:v>0.21785714285714283</c:v>
                </c:pt>
                <c:pt idx="11">
                  <c:v>0.21785714285714283</c:v>
                </c:pt>
                <c:pt idx="12">
                  <c:v>0.21785714285714283</c:v>
                </c:pt>
                <c:pt idx="13">
                  <c:v>0.21785714285714283</c:v>
                </c:pt>
                <c:pt idx="14">
                  <c:v>0.21785714285714283</c:v>
                </c:pt>
                <c:pt idx="15">
                  <c:v>0.21785714285714283</c:v>
                </c:pt>
                <c:pt idx="16">
                  <c:v>0.21785714285714283</c:v>
                </c:pt>
                <c:pt idx="17">
                  <c:v>0.21785714285714283</c:v>
                </c:pt>
                <c:pt idx="18">
                  <c:v>0.21785714285714283</c:v>
                </c:pt>
                <c:pt idx="19">
                  <c:v>0.21785714285714283</c:v>
                </c:pt>
                <c:pt idx="20">
                  <c:v>0.21785714285714283</c:v>
                </c:pt>
                <c:pt idx="21">
                  <c:v>0.21785714285714283</c:v>
                </c:pt>
                <c:pt idx="22">
                  <c:v>0.21785714285714283</c:v>
                </c:pt>
                <c:pt idx="23">
                  <c:v>0.21785714285714283</c:v>
                </c:pt>
                <c:pt idx="24">
                  <c:v>0.21785714285714283</c:v>
                </c:pt>
                <c:pt idx="25">
                  <c:v>0.21785714285714283</c:v>
                </c:pt>
                <c:pt idx="26">
                  <c:v>0.21785714285714283</c:v>
                </c:pt>
                <c:pt idx="27">
                  <c:v>0.21785714285714283</c:v>
                </c:pt>
                <c:pt idx="28">
                  <c:v>0.21785714285714283</c:v>
                </c:pt>
                <c:pt idx="29">
                  <c:v>0.21785714285714283</c:v>
                </c:pt>
                <c:pt idx="30">
                  <c:v>0.21785714285714283</c:v>
                </c:pt>
                <c:pt idx="31">
                  <c:v>0.21785714285714283</c:v>
                </c:pt>
                <c:pt idx="32">
                  <c:v>0.21785714285714283</c:v>
                </c:pt>
                <c:pt idx="33">
                  <c:v>0.21785714285714283</c:v>
                </c:pt>
                <c:pt idx="34">
                  <c:v>0.21785714285714283</c:v>
                </c:pt>
                <c:pt idx="35">
                  <c:v>0.21785714285714283</c:v>
                </c:pt>
                <c:pt idx="36">
                  <c:v>0.21785714285714283</c:v>
                </c:pt>
                <c:pt idx="37">
                  <c:v>0.21785714285714283</c:v>
                </c:pt>
                <c:pt idx="38">
                  <c:v>0.21785714285714283</c:v>
                </c:pt>
                <c:pt idx="39">
                  <c:v>0.21785714285714283</c:v>
                </c:pt>
                <c:pt idx="40">
                  <c:v>0.21785714285714283</c:v>
                </c:pt>
                <c:pt idx="41">
                  <c:v>0.21785714285714283</c:v>
                </c:pt>
                <c:pt idx="42">
                  <c:v>0.21785714285714283</c:v>
                </c:pt>
                <c:pt idx="43">
                  <c:v>0.21785714285714283</c:v>
                </c:pt>
                <c:pt idx="44">
                  <c:v>0.21785714285714283</c:v>
                </c:pt>
                <c:pt idx="45">
                  <c:v>0.21785714285714283</c:v>
                </c:pt>
                <c:pt idx="46">
                  <c:v>0.21785714285714283</c:v>
                </c:pt>
                <c:pt idx="47">
                  <c:v>0.21785714285714283</c:v>
                </c:pt>
                <c:pt idx="48">
                  <c:v>0.21785714285714283</c:v>
                </c:pt>
                <c:pt idx="49">
                  <c:v>0.21785714285714283</c:v>
                </c:pt>
                <c:pt idx="50">
                  <c:v>0.21785714285714283</c:v>
                </c:pt>
              </c:numCache>
            </c:numRef>
          </c:yVal>
          <c:smooth val="1"/>
          <c:extLst>
            <c:ext xmlns:c16="http://schemas.microsoft.com/office/drawing/2014/chart" uri="{C3380CC4-5D6E-409C-BE32-E72D297353CC}">
              <c16:uniqueId val="{00000002-9E78-4301-AAD0-9E0882AD1C37}"/>
            </c:ext>
          </c:extLst>
        </c:ser>
        <c:ser>
          <c:idx val="3"/>
          <c:order val="3"/>
          <c:tx>
            <c:v>HV MIN</c:v>
          </c:tx>
          <c:marker>
            <c:symbol val="circle"/>
            <c:size val="10"/>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Calculations!$B$42</c:f>
              <c:numCache>
                <c:formatCode>0.000</c:formatCode>
                <c:ptCount val="1"/>
                <c:pt idx="0">
                  <c:v>16.557142857142857</c:v>
                </c:pt>
              </c:numCache>
            </c:numRef>
          </c:xVal>
          <c:yVal>
            <c:numRef>
              <c:f>Calculations!$B$43</c:f>
              <c:numCache>
                <c:formatCode>General</c:formatCode>
                <c:ptCount val="1"/>
                <c:pt idx="0">
                  <c:v>0.34857142857142853</c:v>
                </c:pt>
              </c:numCache>
            </c:numRef>
          </c:yVal>
          <c:smooth val="1"/>
          <c:extLst>
            <c:ext xmlns:c16="http://schemas.microsoft.com/office/drawing/2014/chart" uri="{C3380CC4-5D6E-409C-BE32-E72D297353CC}">
              <c16:uniqueId val="{00000003-9E78-4301-AAD0-9E0882AD1C37}"/>
            </c:ext>
          </c:extLst>
        </c:ser>
        <c:ser>
          <c:idx val="4"/>
          <c:order val="4"/>
          <c:tx>
            <c:v>HV Nom</c:v>
          </c:tx>
          <c:marker>
            <c:symbol val="circle"/>
            <c:size val="10"/>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Calculations!$B$45</c:f>
              <c:numCache>
                <c:formatCode>0.000</c:formatCode>
                <c:ptCount val="1"/>
                <c:pt idx="0">
                  <c:v>18.956597222222221</c:v>
                </c:pt>
              </c:numCache>
            </c:numRef>
          </c:xVal>
          <c:yVal>
            <c:numRef>
              <c:f>Calculations!$B$46</c:f>
              <c:numCache>
                <c:formatCode>0.0000</c:formatCode>
                <c:ptCount val="1"/>
                <c:pt idx="0">
                  <c:v>0.25416666666666665</c:v>
                </c:pt>
              </c:numCache>
            </c:numRef>
          </c:yVal>
          <c:smooth val="1"/>
          <c:extLst>
            <c:ext xmlns:c16="http://schemas.microsoft.com/office/drawing/2014/chart" uri="{C3380CC4-5D6E-409C-BE32-E72D297353CC}">
              <c16:uniqueId val="{00000004-9E78-4301-AAD0-9E0882AD1C37}"/>
            </c:ext>
          </c:extLst>
        </c:ser>
        <c:ser>
          <c:idx val="5"/>
          <c:order val="5"/>
          <c:tx>
            <c:v>HV Max</c:v>
          </c:tx>
          <c:marker>
            <c:symbol val="circle"/>
            <c:size val="10"/>
            <c:spPr>
              <a:noFill/>
              <a:ln w="22225">
                <a:solidFill>
                  <a:srgbClr val="FF0000"/>
                </a:solidFill>
              </a:ln>
            </c:spPr>
          </c:marker>
          <c:dLbls>
            <c:numFmt formatCode="#,##0.00\A" sourceLinked="0"/>
            <c:spPr>
              <a:noFill/>
              <a:ln>
                <a:noFill/>
              </a:ln>
              <a:effectLst/>
            </c:spPr>
            <c:txPr>
              <a:bodyPr/>
              <a:lstStyle/>
              <a:p>
                <a:pPr>
                  <a:defRPr b="1"/>
                </a:pPr>
                <a:endParaRPr lang="zh-CN"/>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Calculations!$B$48</c:f>
              <c:numCache>
                <c:formatCode>0.000</c:formatCode>
                <c:ptCount val="1"/>
                <c:pt idx="0">
                  <c:v>19.879464285714281</c:v>
                </c:pt>
              </c:numCache>
            </c:numRef>
          </c:xVal>
          <c:yVal>
            <c:numRef>
              <c:f>Calculations!$B$49</c:f>
              <c:numCache>
                <c:formatCode>0.000</c:formatCode>
                <c:ptCount val="1"/>
                <c:pt idx="0">
                  <c:v>0.21785714285714283</c:v>
                </c:pt>
              </c:numCache>
            </c:numRef>
          </c:yVal>
          <c:smooth val="1"/>
          <c:extLst>
            <c:ext xmlns:c16="http://schemas.microsoft.com/office/drawing/2014/chart" uri="{C3380CC4-5D6E-409C-BE32-E72D297353CC}">
              <c16:uniqueId val="{00000005-9E78-4301-AAD0-9E0882AD1C37}"/>
            </c:ext>
          </c:extLst>
        </c:ser>
        <c:dLbls>
          <c:showLegendKey val="0"/>
          <c:showVal val="0"/>
          <c:showCatName val="0"/>
          <c:showSerName val="0"/>
          <c:showPercent val="0"/>
          <c:showBubbleSize val="0"/>
        </c:dLbls>
        <c:axId val="207993472"/>
        <c:axId val="208188928"/>
      </c:scatterChart>
      <c:valAx>
        <c:axId val="207993472"/>
        <c:scaling>
          <c:orientation val="minMax"/>
        </c:scaling>
        <c:delete val="0"/>
        <c:axPos val="b"/>
        <c:majorGridlines/>
        <c:title>
          <c:tx>
            <c:rich>
              <a:bodyPr/>
              <a:lstStyle/>
              <a:p>
                <a:pPr>
                  <a:defRPr/>
                </a:pPr>
                <a:r>
                  <a:rPr lang="en-US"/>
                  <a:t>Per</a:t>
                </a:r>
                <a:r>
                  <a:rPr lang="en-US" baseline="0"/>
                  <a:t> Phase Average Inductor Current (A)</a:t>
                </a:r>
                <a:endParaRPr lang="en-US"/>
              </a:p>
            </c:rich>
          </c:tx>
          <c:overlay val="0"/>
        </c:title>
        <c:numFmt formatCode="General" sourceLinked="1"/>
        <c:majorTickMark val="out"/>
        <c:minorTickMark val="none"/>
        <c:tickLblPos val="nextTo"/>
        <c:crossAx val="208188928"/>
        <c:crosses val="autoZero"/>
        <c:crossBetween val="midCat"/>
      </c:valAx>
      <c:valAx>
        <c:axId val="208188928"/>
        <c:scaling>
          <c:orientation val="minMax"/>
          <c:max val="1"/>
          <c:min val="0"/>
        </c:scaling>
        <c:delete val="0"/>
        <c:axPos val="l"/>
        <c:majorGridlines/>
        <c:title>
          <c:tx>
            <c:rich>
              <a:bodyPr rot="-5400000" vert="horz"/>
              <a:lstStyle/>
              <a:p>
                <a:pPr>
                  <a:defRPr/>
                </a:pPr>
                <a:r>
                  <a:rPr lang="en-US"/>
                  <a:t>HO</a:t>
                </a:r>
                <a:r>
                  <a:rPr lang="en-US" baseline="0"/>
                  <a:t> Duty Cycle</a:t>
                </a:r>
                <a:endParaRPr lang="en-US"/>
              </a:p>
            </c:rich>
          </c:tx>
          <c:overlay val="0"/>
        </c:title>
        <c:numFmt formatCode="General" sourceLinked="1"/>
        <c:majorTickMark val="out"/>
        <c:minorTickMark val="none"/>
        <c:tickLblPos val="nextTo"/>
        <c:crossAx val="207993472"/>
        <c:crosses val="autoZero"/>
        <c:crossBetween val="midCat"/>
      </c:valAx>
    </c:plotArea>
    <c:legend>
      <c:legendPos val="b"/>
      <c:legendEntry>
        <c:idx val="3"/>
        <c:delete val="1"/>
      </c:legendEntry>
      <c:legendEntry>
        <c:idx val="4"/>
        <c:delete val="1"/>
      </c:legendEntry>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Current Loop Power Plant</a:t>
            </a:r>
          </a:p>
        </c:rich>
      </c:tx>
      <c:overlay val="0"/>
    </c:title>
    <c:autoTitleDeleted val="0"/>
    <c:plotArea>
      <c:layout/>
      <c:scatterChart>
        <c:scatterStyle val="lineMarker"/>
        <c:varyColors val="0"/>
        <c:ser>
          <c:idx val="0"/>
          <c:order val="0"/>
          <c:tx>
            <c:v>Power Plant Gain</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Compensation!$E$8:$E$62</c:f>
              <c:numCache>
                <c:formatCode>General</c:formatCode>
                <c:ptCount val="55"/>
                <c:pt idx="0">
                  <c:v>45.567783277980737</c:v>
                </c:pt>
                <c:pt idx="1">
                  <c:v>45.567782102324742</c:v>
                </c:pt>
                <c:pt idx="2">
                  <c:v>45.567780142898854</c:v>
                </c:pt>
                <c:pt idx="3">
                  <c:v>45.567777399704084</c:v>
                </c:pt>
                <c:pt idx="4">
                  <c:v>45.567773872741896</c:v>
                </c:pt>
                <c:pt idx="5">
                  <c:v>45.567769562014192</c:v>
                </c:pt>
                <c:pt idx="6">
                  <c:v>45.567764467523389</c:v>
                </c:pt>
                <c:pt idx="7">
                  <c:v>45.567758589272174</c:v>
                </c:pt>
                <c:pt idx="8">
                  <c:v>45.567751927263778</c:v>
                </c:pt>
                <c:pt idx="9">
                  <c:v>45.56774448150172</c:v>
                </c:pt>
                <c:pt idx="10">
                  <c:v>45.567626918530181</c:v>
                </c:pt>
                <c:pt idx="11">
                  <c:v>45.567430987316023</c:v>
                </c:pt>
                <c:pt idx="12">
                  <c:v>45.567156698465574</c:v>
                </c:pt>
                <c:pt idx="13">
                  <c:v>45.566804066824915</c:v>
                </c:pt>
                <c:pt idx="14">
                  <c:v>45.566373111477333</c:v>
                </c:pt>
                <c:pt idx="15">
                  <c:v>45.565863855739927</c:v>
                </c:pt>
                <c:pt idx="16">
                  <c:v>45.565276327159154</c:v>
                </c:pt>
                <c:pt idx="17">
                  <c:v>45.564610557506157</c:v>
                </c:pt>
                <c:pt idx="18">
                  <c:v>45.563866582770757</c:v>
                </c:pt>
                <c:pt idx="19">
                  <c:v>45.552136474904756</c:v>
                </c:pt>
                <c:pt idx="20">
                  <c:v>45.532656427224765</c:v>
                </c:pt>
                <c:pt idx="21">
                  <c:v>45.505530324516229</c:v>
                </c:pt>
                <c:pt idx="22">
                  <c:v>45.470901028981743</c:v>
                </c:pt>
                <c:pt idx="23">
                  <c:v>45.42894791770081</c:v>
                </c:pt>
                <c:pt idx="24">
                  <c:v>45.379883871305331</c:v>
                </c:pt>
                <c:pt idx="25">
                  <c:v>45.323951816797823</c:v>
                </c:pt>
                <c:pt idx="26">
                  <c:v>45.261420937190067</c:v>
                </c:pt>
                <c:pt idx="27">
                  <c:v>45.192582664422069</c:v>
                </c:pt>
                <c:pt idx="28">
                  <c:v>44.229394509861855</c:v>
                </c:pt>
                <c:pt idx="29">
                  <c:v>42.985927178140606</c:v>
                </c:pt>
                <c:pt idx="30">
                  <c:v>41.687199549985891</c:v>
                </c:pt>
                <c:pt idx="31">
                  <c:v>40.441108080270858</c:v>
                </c:pt>
                <c:pt idx="32">
                  <c:v>39.285470144154395</c:v>
                </c:pt>
                <c:pt idx="33">
                  <c:v>38.226578964284492</c:v>
                </c:pt>
                <c:pt idx="34">
                  <c:v>37.258667052133603</c:v>
                </c:pt>
                <c:pt idx="35">
                  <c:v>36.372279869621849</c:v>
                </c:pt>
                <c:pt idx="36">
                  <c:v>35.557591854685654</c:v>
                </c:pt>
                <c:pt idx="37">
                  <c:v>29.874749297924531</c:v>
                </c:pt>
                <c:pt idx="38">
                  <c:v>26.418460286761256</c:v>
                </c:pt>
                <c:pt idx="39">
                  <c:v>23.9428588704384</c:v>
                </c:pt>
                <c:pt idx="40">
                  <c:v>22.015426550052034</c:v>
                </c:pt>
                <c:pt idx="41">
                  <c:v>20.437662090013756</c:v>
                </c:pt>
                <c:pt idx="42">
                  <c:v>19.102263796098132</c:v>
                </c:pt>
                <c:pt idx="43">
                  <c:v>17.944722372201596</c:v>
                </c:pt>
                <c:pt idx="44">
                  <c:v>16.923247795022355</c:v>
                </c:pt>
                <c:pt idx="45">
                  <c:v>16.00922554651093</c:v>
                </c:pt>
                <c:pt idx="46">
                  <c:v>9.9922328322971126</c:v>
                </c:pt>
                <c:pt idx="47">
                  <c:v>6.4710759799250877</c:v>
                </c:pt>
                <c:pt idx="48">
                  <c:v>3.9725351871186207</c:v>
                </c:pt>
                <c:pt idx="49">
                  <c:v>2.0344432117274218</c:v>
                </c:pt>
                <c:pt idx="50">
                  <c:v>0.45087711326306845</c:v>
                </c:pt>
                <c:pt idx="51">
                  <c:v>-0.88802321085905445</c:v>
                </c:pt>
                <c:pt idx="52">
                  <c:v>-2.0478391298435135</c:v>
                </c:pt>
                <c:pt idx="53">
                  <c:v>-3.0708737958941064</c:v>
                </c:pt>
                <c:pt idx="54">
                  <c:v>-3.9860123176589966</c:v>
                </c:pt>
              </c:numCache>
            </c:numRef>
          </c:yVal>
          <c:smooth val="0"/>
          <c:extLst>
            <c:ext xmlns:c16="http://schemas.microsoft.com/office/drawing/2014/chart" uri="{C3380CC4-5D6E-409C-BE32-E72D297353CC}">
              <c16:uniqueId val="{00000000-BF32-4E43-B271-239DFE94D2F3}"/>
            </c:ext>
          </c:extLst>
        </c:ser>
        <c:dLbls>
          <c:showLegendKey val="0"/>
          <c:showVal val="0"/>
          <c:showCatName val="0"/>
          <c:showSerName val="0"/>
          <c:showPercent val="0"/>
          <c:showBubbleSize val="0"/>
        </c:dLbls>
        <c:axId val="220836608"/>
        <c:axId val="220838528"/>
      </c:scatterChart>
      <c:scatterChart>
        <c:scatterStyle val="lineMarker"/>
        <c:varyColors val="0"/>
        <c:ser>
          <c:idx val="1"/>
          <c:order val="1"/>
          <c:tx>
            <c:v>Power Plant Phase</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Compensation!$F$8:$F$62</c:f>
              <c:numCache>
                <c:formatCode>General</c:formatCode>
                <c:ptCount val="55"/>
                <c:pt idx="0">
                  <c:v>-1.7211154860803494E-2</c:v>
                </c:pt>
                <c:pt idx="1">
                  <c:v>-3.4422306615512564E-2</c:v>
                </c:pt>
                <c:pt idx="2">
                  <c:v>-5.1633452158035165E-2</c:v>
                </c:pt>
                <c:pt idx="3">
                  <c:v>-6.8844588382287297E-2</c:v>
                </c:pt>
                <c:pt idx="4">
                  <c:v>-8.6055712182194308E-2</c:v>
                </c:pt>
                <c:pt idx="5">
                  <c:v>-0.1032668204516954</c:v>
                </c:pt>
                <c:pt idx="6">
                  <c:v>-0.12047791008474676</c:v>
                </c:pt>
                <c:pt idx="7">
                  <c:v>-0.13768897797532292</c:v>
                </c:pt>
                <c:pt idx="8">
                  <c:v>-0.15490002101742381</c:v>
                </c:pt>
                <c:pt idx="9">
                  <c:v>-0.1721110361050773</c:v>
                </c:pt>
                <c:pt idx="10">
                  <c:v>-0.34421896619871956</c:v>
                </c:pt>
                <c:pt idx="11">
                  <c:v>-0.51632068460578973</c:v>
                </c:pt>
                <c:pt idx="12">
                  <c:v>-0.68841308632367593</c:v>
                </c:pt>
                <c:pt idx="13">
                  <c:v>-0.86049306735831022</c:v>
                </c:pt>
                <c:pt idx="14">
                  <c:v>-1.0325575250599255</c:v>
                </c:pt>
                <c:pt idx="15">
                  <c:v>-1.2046033584584617</c:v>
                </c:pt>
                <c:pt idx="16">
                  <c:v>-1.3766274685984849</c:v>
                </c:pt>
                <c:pt idx="17">
                  <c:v>-1.5486267588736049</c:v>
                </c:pt>
                <c:pt idx="18">
                  <c:v>-1.7205981353602322</c:v>
                </c:pt>
                <c:pt idx="19">
                  <c:v>-3.4380985608569734</c:v>
                </c:pt>
                <c:pt idx="20">
                  <c:v>-5.1494368987618877</c:v>
                </c:pt>
                <c:pt idx="21">
                  <c:v>-6.8516145440221026</c:v>
                </c:pt>
                <c:pt idx="22">
                  <c:v>-8.541729365802226</c:v>
                </c:pt>
                <c:pt idx="23">
                  <c:v>-10.217003907514865</c:v>
                </c:pt>
                <c:pt idx="24">
                  <c:v>-11.874810441846158</c:v>
                </c:pt>
                <c:pt idx="25">
                  <c:v>-13.512692381494542</c:v>
                </c:pt>
                <c:pt idx="26">
                  <c:v>-15.128381705437755</c:v>
                </c:pt>
                <c:pt idx="27">
                  <c:v>-16.719812223847146</c:v>
                </c:pt>
                <c:pt idx="28">
                  <c:v>-30.996717977393679</c:v>
                </c:pt>
                <c:pt idx="29">
                  <c:v>-42.024353557368244</c:v>
                </c:pt>
                <c:pt idx="30">
                  <c:v>-50.231157225840057</c:v>
                </c:pt>
                <c:pt idx="31">
                  <c:v>-56.34439600012692</c:v>
                </c:pt>
                <c:pt idx="32">
                  <c:v>-60.977092875189136</c:v>
                </c:pt>
                <c:pt idx="33">
                  <c:v>-64.565635335092878</c:v>
                </c:pt>
                <c:pt idx="34">
                  <c:v>-67.406639939320868</c:v>
                </c:pt>
                <c:pt idx="35">
                  <c:v>-69.70117710282652</c:v>
                </c:pt>
                <c:pt idx="36">
                  <c:v>-71.587446408757913</c:v>
                </c:pt>
                <c:pt idx="37">
                  <c:v>-80.549782172205042</c:v>
                </c:pt>
                <c:pt idx="38">
                  <c:v>-83.668000694670894</c:v>
                </c:pt>
                <c:pt idx="39">
                  <c:v>-85.24253555518203</c:v>
                </c:pt>
                <c:pt idx="40">
                  <c:v>-86.190879246316413</c:v>
                </c:pt>
                <c:pt idx="41">
                  <c:v>-86.824303862604779</c:v>
                </c:pt>
                <c:pt idx="42">
                  <c:v>-87.277235310823144</c:v>
                </c:pt>
                <c:pt idx="43">
                  <c:v>-87.617160630388526</c:v>
                </c:pt>
                <c:pt idx="44">
                  <c:v>-87.881664304672569</c:v>
                </c:pt>
                <c:pt idx="45">
                  <c:v>-88.093332844216064</c:v>
                </c:pt>
                <c:pt idx="46">
                  <c:v>-89.046402418630947</c:v>
                </c:pt>
                <c:pt idx="47">
                  <c:v>-89.364235666806096</c:v>
                </c:pt>
                <c:pt idx="48">
                  <c:v>-89.523168188313548</c:v>
                </c:pt>
                <c:pt idx="49">
                  <c:v>-89.618531380192039</c:v>
                </c:pt>
                <c:pt idx="50">
                  <c:v>-89.682108048273122</c:v>
                </c:pt>
                <c:pt idx="51">
                  <c:v>-89.727520442459394</c:v>
                </c:pt>
                <c:pt idx="52">
                  <c:v>-89.761579965888302</c:v>
                </c:pt>
                <c:pt idx="53">
                  <c:v>-89.788070824062018</c:v>
                </c:pt>
                <c:pt idx="54">
                  <c:v>-89.809263576383032</c:v>
                </c:pt>
              </c:numCache>
            </c:numRef>
          </c:yVal>
          <c:smooth val="0"/>
          <c:extLst>
            <c:ext xmlns:c16="http://schemas.microsoft.com/office/drawing/2014/chart" uri="{C3380CC4-5D6E-409C-BE32-E72D297353CC}">
              <c16:uniqueId val="{00000001-BF32-4E43-B271-239DFE94D2F3}"/>
            </c:ext>
          </c:extLst>
        </c:ser>
        <c:dLbls>
          <c:showLegendKey val="0"/>
          <c:showVal val="0"/>
          <c:showCatName val="0"/>
          <c:showSerName val="0"/>
          <c:showPercent val="0"/>
          <c:showBubbleSize val="0"/>
        </c:dLbls>
        <c:axId val="220887680"/>
        <c:axId val="220886144"/>
      </c:scatterChart>
      <c:valAx>
        <c:axId val="220836608"/>
        <c:scaling>
          <c:logBase val="10"/>
          <c:orientation val="minMax"/>
          <c:min val="10"/>
        </c:scaling>
        <c:delete val="0"/>
        <c:axPos val="b"/>
        <c:majorGridlines/>
        <c:minorGridlines/>
        <c:numFmt formatCode="General" sourceLinked="1"/>
        <c:majorTickMark val="out"/>
        <c:minorTickMark val="cross"/>
        <c:tickLblPos val="low"/>
        <c:crossAx val="220838528"/>
        <c:crosses val="autoZero"/>
        <c:crossBetween val="midCat"/>
      </c:valAx>
      <c:valAx>
        <c:axId val="220838528"/>
        <c:scaling>
          <c:orientation val="minMax"/>
          <c:max val="60"/>
          <c:min val="-40"/>
        </c:scaling>
        <c:delete val="0"/>
        <c:axPos val="l"/>
        <c:majorGridlines/>
        <c:numFmt formatCode="General" sourceLinked="1"/>
        <c:majorTickMark val="out"/>
        <c:minorTickMark val="none"/>
        <c:tickLblPos val="nextTo"/>
        <c:crossAx val="220836608"/>
        <c:crosses val="autoZero"/>
        <c:crossBetween val="midCat"/>
        <c:majorUnit val="20"/>
      </c:valAx>
      <c:valAx>
        <c:axId val="220886144"/>
        <c:scaling>
          <c:orientation val="minMax"/>
          <c:max val="180"/>
          <c:min val="-180"/>
        </c:scaling>
        <c:delete val="0"/>
        <c:axPos val="r"/>
        <c:numFmt formatCode="General" sourceLinked="1"/>
        <c:majorTickMark val="out"/>
        <c:minorTickMark val="none"/>
        <c:tickLblPos val="nextTo"/>
        <c:crossAx val="220887680"/>
        <c:crosses val="max"/>
        <c:crossBetween val="midCat"/>
        <c:majorUnit val="45"/>
      </c:valAx>
      <c:valAx>
        <c:axId val="220887680"/>
        <c:scaling>
          <c:logBase val="10"/>
          <c:orientation val="minMax"/>
        </c:scaling>
        <c:delete val="1"/>
        <c:axPos val="b"/>
        <c:numFmt formatCode="General" sourceLinked="1"/>
        <c:majorTickMark val="out"/>
        <c:minorTickMark val="none"/>
        <c:tickLblPos val="nextTo"/>
        <c:crossAx val="220886144"/>
        <c:crosses val="autoZero"/>
        <c:crossBetween val="midCat"/>
      </c:valAx>
    </c:plotArea>
    <c:legend>
      <c:legendPos val="l"/>
      <c:layout>
        <c:manualLayout>
          <c:xMode val="edge"/>
          <c:yMode val="edge"/>
          <c:x val="0.69820093925399296"/>
          <c:y val="0.16336876104743336"/>
          <c:w val="0.22001818778535392"/>
          <c:h val="0.13077712429615321"/>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Current Loop Compensation</a:t>
            </a:r>
          </a:p>
        </c:rich>
      </c:tx>
      <c:overlay val="0"/>
    </c:title>
    <c:autoTitleDeleted val="0"/>
    <c:plotArea>
      <c:layout/>
      <c:scatterChart>
        <c:scatterStyle val="lineMarker"/>
        <c:varyColors val="0"/>
        <c:ser>
          <c:idx val="0"/>
          <c:order val="0"/>
          <c:tx>
            <c:v>Compensation Gain</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Compensation!$H$8:$H$62</c:f>
              <c:numCache>
                <c:formatCode>General</c:formatCode>
                <c:ptCount val="55"/>
                <c:pt idx="0">
                  <c:v>39.954007629279872</c:v>
                </c:pt>
                <c:pt idx="1">
                  <c:v>33.933421664652073</c:v>
                </c:pt>
                <c:pt idx="2">
                  <c:v>30.411619731191202</c:v>
                </c:pt>
                <c:pt idx="3">
                  <c:v>27.912877545528385</c:v>
                </c:pt>
                <c:pt idx="4">
                  <c:v>25.974719130510103</c:v>
                </c:pt>
                <c:pt idx="5">
                  <c:v>24.391145353069273</c:v>
                </c:pt>
                <c:pt idx="6">
                  <c:v>23.052270002006384</c:v>
                </c:pt>
                <c:pt idx="7">
                  <c:v>21.892500801648488</c:v>
                </c:pt>
                <c:pt idx="8">
                  <c:v>20.869529389091802</c:v>
                </c:pt>
                <c:pt idx="9">
                  <c:v>19.954467910952616</c:v>
                </c:pt>
                <c:pt idx="10">
                  <c:v>13.935262490468833</c:v>
                </c:pt>
                <c:pt idx="11">
                  <c:v>10.415760461646464</c:v>
                </c:pt>
                <c:pt idx="12">
                  <c:v>7.9202360399736262</c:v>
                </c:pt>
                <c:pt idx="13">
                  <c:v>5.9862111512046763</c:v>
                </c:pt>
                <c:pt idx="14">
                  <c:v>4.4076839737149811</c:v>
                </c:pt>
                <c:pt idx="15">
                  <c:v>3.0747650220122811</c:v>
                </c:pt>
                <c:pt idx="16">
                  <c:v>1.9218581673468993</c:v>
                </c:pt>
                <c:pt idx="17">
                  <c:v>0.90665062309532296</c:v>
                </c:pt>
                <c:pt idx="18">
                  <c:v>2.4955080732906148E-4</c:v>
                </c:pt>
                <c:pt idx="19">
                  <c:v>-5.8845164560511041</c:v>
                </c:pt>
                <c:pt idx="20">
                  <c:v>-9.1890577025502864</c:v>
                </c:pt>
                <c:pt idx="21">
                  <c:v>-11.400955751725894</c:v>
                </c:pt>
                <c:pt idx="22">
                  <c:v>-12.99636378207623</c:v>
                </c:pt>
                <c:pt idx="23">
                  <c:v>-14.19504209248757</c:v>
                </c:pt>
                <c:pt idx="24">
                  <c:v>-15.119482700209275</c:v>
                </c:pt>
                <c:pt idx="25">
                  <c:v>-15.846055647386192</c:v>
                </c:pt>
                <c:pt idx="26">
                  <c:v>-16.425810065444615</c:v>
                </c:pt>
                <c:pt idx="27">
                  <c:v>-16.894430207574718</c:v>
                </c:pt>
                <c:pt idx="28">
                  <c:v>-18.89682276555272</c:v>
                </c:pt>
                <c:pt idx="29">
                  <c:v>-19.466553738004862</c:v>
                </c:pt>
                <c:pt idx="30">
                  <c:v>-19.769603344167063</c:v>
                </c:pt>
                <c:pt idx="31">
                  <c:v>-20.007496954803067</c:v>
                </c:pt>
                <c:pt idx="32">
                  <c:v>-20.233200543113089</c:v>
                </c:pt>
                <c:pt idx="33">
                  <c:v>-20.463507593114354</c:v>
                </c:pt>
                <c:pt idx="34">
                  <c:v>-20.703628671952711</c:v>
                </c:pt>
                <c:pt idx="35">
                  <c:v>-20.95440580788086</c:v>
                </c:pt>
                <c:pt idx="36">
                  <c:v>-21.214906022453611</c:v>
                </c:pt>
                <c:pt idx="37">
                  <c:v>-24.002965551347586</c:v>
                </c:pt>
                <c:pt idx="38">
                  <c:v>-26.521234269922491</c:v>
                </c:pt>
                <c:pt idx="39">
                  <c:v>-28.604962162509079</c:v>
                </c:pt>
                <c:pt idx="40">
                  <c:v>-30.336607459311896</c:v>
                </c:pt>
                <c:pt idx="41">
                  <c:v>-31.803732850624399</c:v>
                </c:pt>
                <c:pt idx="42">
                  <c:v>-33.070869223739166</c:v>
                </c:pt>
                <c:pt idx="43">
                  <c:v>-34.183458827904467</c:v>
                </c:pt>
                <c:pt idx="44">
                  <c:v>-35.173813219495855</c:v>
                </c:pt>
                <c:pt idx="45">
                  <c:v>-36.065422563038844</c:v>
                </c:pt>
                <c:pt idx="46">
                  <c:v>-42.00988005868485</c:v>
                </c:pt>
                <c:pt idx="47">
                  <c:v>-45.517455931871602</c:v>
                </c:pt>
                <c:pt idx="48">
                  <c:v>-48.011232253206096</c:v>
                </c:pt>
                <c:pt idx="49">
                  <c:v>-49.94711699885287</c:v>
                </c:pt>
                <c:pt idx="50">
                  <c:v>-51.529483587738333</c:v>
                </c:pt>
                <c:pt idx="51">
                  <c:v>-52.867660468184859</c:v>
                </c:pt>
                <c:pt idx="52">
                  <c:v>-54.027006773018385</c:v>
                </c:pt>
                <c:pt idx="53">
                  <c:v>-55.049719440678153</c:v>
                </c:pt>
                <c:pt idx="54">
                  <c:v>-55.964627622679053</c:v>
                </c:pt>
              </c:numCache>
            </c:numRef>
          </c:yVal>
          <c:smooth val="0"/>
          <c:extLst>
            <c:ext xmlns:c16="http://schemas.microsoft.com/office/drawing/2014/chart" uri="{C3380CC4-5D6E-409C-BE32-E72D297353CC}">
              <c16:uniqueId val="{00000000-6A07-4041-951D-BD483B710B3C}"/>
            </c:ext>
          </c:extLst>
        </c:ser>
        <c:dLbls>
          <c:showLegendKey val="0"/>
          <c:showVal val="0"/>
          <c:showCatName val="0"/>
          <c:showSerName val="0"/>
          <c:showPercent val="0"/>
          <c:showBubbleSize val="0"/>
        </c:dLbls>
        <c:axId val="220981120"/>
        <c:axId val="221385088"/>
      </c:scatterChart>
      <c:scatterChart>
        <c:scatterStyle val="lineMarker"/>
        <c:varyColors val="0"/>
        <c:ser>
          <c:idx val="1"/>
          <c:order val="1"/>
          <c:tx>
            <c:v>Compensation Phase</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Compensation!$I$8:$I$62</c:f>
              <c:numCache>
                <c:formatCode>General</c:formatCode>
                <c:ptCount val="55"/>
                <c:pt idx="0">
                  <c:v>90.055687478724167</c:v>
                </c:pt>
                <c:pt idx="1">
                  <c:v>90.111374829793689</c:v>
                </c:pt>
                <c:pt idx="2">
                  <c:v>90.167061925555572</c:v>
                </c:pt>
                <c:pt idx="3">
                  <c:v>90.222748638360116</c:v>
                </c:pt>
                <c:pt idx="4">
                  <c:v>90.278434840562525</c:v>
                </c:pt>
                <c:pt idx="5">
                  <c:v>90.334120404524654</c:v>
                </c:pt>
                <c:pt idx="6">
                  <c:v>90.389805202616557</c:v>
                </c:pt>
                <c:pt idx="7">
                  <c:v>90.445489107218137</c:v>
                </c:pt>
                <c:pt idx="8">
                  <c:v>90.501171990720877</c:v>
                </c:pt>
                <c:pt idx="9">
                  <c:v>90.556853725529422</c:v>
                </c:pt>
                <c:pt idx="10">
                  <c:v>91.113579837159676</c:v>
                </c:pt>
                <c:pt idx="11">
                  <c:v>91.670050885499151</c:v>
                </c:pt>
                <c:pt idx="12">
                  <c:v>92.226139749641689</c:v>
                </c:pt>
                <c:pt idx="13">
                  <c:v>92.781719800088396</c:v>
                </c:pt>
                <c:pt idx="14">
                  <c:v>93.336665060092827</c:v>
                </c:pt>
                <c:pt idx="15">
                  <c:v>93.890850364919487</c:v>
                </c:pt>
                <c:pt idx="16">
                  <c:v>94.444151518516435</c:v>
                </c:pt>
                <c:pt idx="17">
                  <c:v>94.996445447119953</c:v>
                </c:pt>
                <c:pt idx="18">
                  <c:v>95.547610349325211</c:v>
                </c:pt>
                <c:pt idx="19">
                  <c:v>100.97155433892304</c:v>
                </c:pt>
                <c:pt idx="20">
                  <c:v>106.16300731433384</c:v>
                </c:pt>
                <c:pt idx="21">
                  <c:v>111.03863989998514</c:v>
                </c:pt>
                <c:pt idx="22">
                  <c:v>115.5449419668897</c:v>
                </c:pt>
                <c:pt idx="23">
                  <c:v>119.6566935529312</c:v>
                </c:pt>
                <c:pt idx="24">
                  <c:v>123.37171854069626</c:v>
                </c:pt>
                <c:pt idx="25">
                  <c:v>126.70430477994272</c:v>
                </c:pt>
                <c:pt idx="26">
                  <c:v>129.67901104175675</c:v>
                </c:pt>
                <c:pt idx="27">
                  <c:v>132.32570949939412</c:v>
                </c:pt>
                <c:pt idx="28">
                  <c:v>146.86870881958436</c:v>
                </c:pt>
                <c:pt idx="29">
                  <c:v>151.17577979861667</c:v>
                </c:pt>
                <c:pt idx="30">
                  <c:v>151.91203962383639</c:v>
                </c:pt>
                <c:pt idx="31">
                  <c:v>151.12979861222638</c:v>
                </c:pt>
                <c:pt idx="32">
                  <c:v>149.62243441794331</c:v>
                </c:pt>
                <c:pt idx="33">
                  <c:v>147.75675512215344</c:v>
                </c:pt>
                <c:pt idx="34">
                  <c:v>145.72438204167906</c:v>
                </c:pt>
                <c:pt idx="35">
                  <c:v>143.63372603052295</c:v>
                </c:pt>
                <c:pt idx="36">
                  <c:v>141.5490744458896</c:v>
                </c:pt>
                <c:pt idx="37">
                  <c:v>124.89477894068281</c:v>
                </c:pt>
                <c:pt idx="38">
                  <c:v>115.38154307014788</c:v>
                </c:pt>
                <c:pt idx="39">
                  <c:v>109.71673403883844</c:v>
                </c:pt>
                <c:pt idx="40">
                  <c:v>106.04839589356723</c:v>
                </c:pt>
                <c:pt idx="41">
                  <c:v>103.50390246209929</c:v>
                </c:pt>
                <c:pt idx="42">
                  <c:v>101.64387538829915</c:v>
                </c:pt>
                <c:pt idx="43">
                  <c:v>100.22829027297618</c:v>
                </c:pt>
                <c:pt idx="44">
                  <c:v>99.116400857791433</c:v>
                </c:pt>
                <c:pt idx="45">
                  <c:v>98.220713413115163</c:v>
                </c:pt>
                <c:pt idx="46">
                  <c:v>94.136215213418126</c:v>
                </c:pt>
                <c:pt idx="47">
                  <c:v>92.760709568052974</c:v>
                </c:pt>
                <c:pt idx="48">
                  <c:v>92.071383045098827</c:v>
                </c:pt>
                <c:pt idx="49">
                  <c:v>91.657421820630432</c:v>
                </c:pt>
                <c:pt idx="50">
                  <c:v>91.381327688001932</c:v>
                </c:pt>
                <c:pt idx="51">
                  <c:v>91.184069004516545</c:v>
                </c:pt>
                <c:pt idx="52">
                  <c:v>91.036102322524172</c:v>
                </c:pt>
                <c:pt idx="53">
                  <c:v>90.921005406410941</c:v>
                </c:pt>
                <c:pt idx="54">
                  <c:v>90.828921324401392</c:v>
                </c:pt>
              </c:numCache>
            </c:numRef>
          </c:yVal>
          <c:smooth val="0"/>
          <c:extLst>
            <c:ext xmlns:c16="http://schemas.microsoft.com/office/drawing/2014/chart" uri="{C3380CC4-5D6E-409C-BE32-E72D297353CC}">
              <c16:uniqueId val="{00000001-6A07-4041-951D-BD483B710B3C}"/>
            </c:ext>
          </c:extLst>
        </c:ser>
        <c:dLbls>
          <c:showLegendKey val="0"/>
          <c:showVal val="0"/>
          <c:showCatName val="0"/>
          <c:showSerName val="0"/>
          <c:showPercent val="0"/>
          <c:showBubbleSize val="0"/>
        </c:dLbls>
        <c:axId val="222761344"/>
        <c:axId val="221386624"/>
      </c:scatterChart>
      <c:valAx>
        <c:axId val="220981120"/>
        <c:scaling>
          <c:logBase val="10"/>
          <c:orientation val="minMax"/>
          <c:min val="10"/>
        </c:scaling>
        <c:delete val="0"/>
        <c:axPos val="b"/>
        <c:majorGridlines/>
        <c:minorGridlines/>
        <c:numFmt formatCode="General" sourceLinked="1"/>
        <c:majorTickMark val="out"/>
        <c:minorTickMark val="cross"/>
        <c:tickLblPos val="low"/>
        <c:crossAx val="221385088"/>
        <c:crosses val="autoZero"/>
        <c:crossBetween val="midCat"/>
      </c:valAx>
      <c:valAx>
        <c:axId val="221385088"/>
        <c:scaling>
          <c:orientation val="minMax"/>
          <c:max val="60"/>
          <c:min val="-40"/>
        </c:scaling>
        <c:delete val="0"/>
        <c:axPos val="l"/>
        <c:majorGridlines/>
        <c:numFmt formatCode="General" sourceLinked="1"/>
        <c:majorTickMark val="out"/>
        <c:minorTickMark val="none"/>
        <c:tickLblPos val="nextTo"/>
        <c:crossAx val="220981120"/>
        <c:crosses val="autoZero"/>
        <c:crossBetween val="midCat"/>
        <c:majorUnit val="20"/>
      </c:valAx>
      <c:valAx>
        <c:axId val="221386624"/>
        <c:scaling>
          <c:orientation val="minMax"/>
          <c:max val="180"/>
          <c:min val="-180"/>
        </c:scaling>
        <c:delete val="0"/>
        <c:axPos val="r"/>
        <c:numFmt formatCode="General" sourceLinked="1"/>
        <c:majorTickMark val="out"/>
        <c:minorTickMark val="none"/>
        <c:tickLblPos val="nextTo"/>
        <c:crossAx val="222761344"/>
        <c:crosses val="max"/>
        <c:crossBetween val="midCat"/>
        <c:majorUnit val="45"/>
      </c:valAx>
      <c:valAx>
        <c:axId val="222761344"/>
        <c:scaling>
          <c:logBase val="10"/>
          <c:orientation val="minMax"/>
        </c:scaling>
        <c:delete val="1"/>
        <c:axPos val="b"/>
        <c:numFmt formatCode="General" sourceLinked="1"/>
        <c:majorTickMark val="out"/>
        <c:minorTickMark val="none"/>
        <c:tickLblPos val="nextTo"/>
        <c:crossAx val="221386624"/>
        <c:crosses val="autoZero"/>
        <c:crossBetween val="midCat"/>
      </c:valAx>
    </c:plotArea>
    <c:legend>
      <c:legendPos val="l"/>
      <c:layout>
        <c:manualLayout>
          <c:xMode val="edge"/>
          <c:yMode val="edge"/>
          <c:x val="0.65602831874863543"/>
          <c:y val="0.38756332343240335"/>
          <c:w val="0.25624167236024714"/>
          <c:h val="0.1741696202416313"/>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Open-Loop Current  </a:t>
            </a:r>
            <a:endParaRPr lang="en-US"/>
          </a:p>
        </c:rich>
      </c:tx>
      <c:overlay val="0"/>
    </c:title>
    <c:autoTitleDeleted val="0"/>
    <c:plotArea>
      <c:layout/>
      <c:scatterChart>
        <c:scatterStyle val="lineMarker"/>
        <c:varyColors val="0"/>
        <c:ser>
          <c:idx val="0"/>
          <c:order val="0"/>
          <c:tx>
            <c:v>Current Loop Gain</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Compensation!$K$8:$K$62</c:f>
              <c:numCache>
                <c:formatCode>General</c:formatCode>
                <c:ptCount val="55"/>
                <c:pt idx="0">
                  <c:v>85.521790907260595</c:v>
                </c:pt>
                <c:pt idx="1">
                  <c:v>79.501203766976815</c:v>
                </c:pt>
                <c:pt idx="2">
                  <c:v>75.979399874090049</c:v>
                </c:pt>
                <c:pt idx="3">
                  <c:v>73.480654945232487</c:v>
                </c:pt>
                <c:pt idx="4">
                  <c:v>71.542493003252005</c:v>
                </c:pt>
                <c:pt idx="5">
                  <c:v>69.958914915083469</c:v>
                </c:pt>
                <c:pt idx="6">
                  <c:v>68.620034469529784</c:v>
                </c:pt>
                <c:pt idx="7">
                  <c:v>67.460259390920655</c:v>
                </c:pt>
                <c:pt idx="8">
                  <c:v>66.43728131635558</c:v>
                </c:pt>
                <c:pt idx="9">
                  <c:v>65.522212392454335</c:v>
                </c:pt>
                <c:pt idx="10">
                  <c:v>59.50288940899901</c:v>
                </c:pt>
                <c:pt idx="11">
                  <c:v>55.983191448962486</c:v>
                </c:pt>
                <c:pt idx="12">
                  <c:v>53.487392738439198</c:v>
                </c:pt>
                <c:pt idx="13">
                  <c:v>51.553015218029579</c:v>
                </c:pt>
                <c:pt idx="14">
                  <c:v>49.974057085192314</c:v>
                </c:pt>
                <c:pt idx="15">
                  <c:v>48.640628877752199</c:v>
                </c:pt>
                <c:pt idx="16">
                  <c:v>47.487134494506059</c:v>
                </c:pt>
                <c:pt idx="17">
                  <c:v>46.471261180601466</c:v>
                </c:pt>
                <c:pt idx="18">
                  <c:v>45.564116133578068</c:v>
                </c:pt>
                <c:pt idx="19">
                  <c:v>39.667620018853647</c:v>
                </c:pt>
                <c:pt idx="20">
                  <c:v>36.343598724674479</c:v>
                </c:pt>
                <c:pt idx="21">
                  <c:v>34.104574572790341</c:v>
                </c:pt>
                <c:pt idx="22">
                  <c:v>32.47453724690552</c:v>
                </c:pt>
                <c:pt idx="23">
                  <c:v>31.233905825213242</c:v>
                </c:pt>
                <c:pt idx="24">
                  <c:v>30.26040117109606</c:v>
                </c:pt>
                <c:pt idx="25">
                  <c:v>29.477896169411633</c:v>
                </c:pt>
                <c:pt idx="26">
                  <c:v>28.835610871745473</c:v>
                </c:pt>
                <c:pt idx="27">
                  <c:v>28.298152456847347</c:v>
                </c:pt>
                <c:pt idx="28">
                  <c:v>25.332571744309142</c:v>
                </c:pt>
                <c:pt idx="29">
                  <c:v>23.519373440135762</c:v>
                </c:pt>
                <c:pt idx="30">
                  <c:v>21.917596205818821</c:v>
                </c:pt>
                <c:pt idx="31">
                  <c:v>20.433611125467817</c:v>
                </c:pt>
                <c:pt idx="32">
                  <c:v>19.052269601041306</c:v>
                </c:pt>
                <c:pt idx="33">
                  <c:v>17.763071371170138</c:v>
                </c:pt>
                <c:pt idx="34">
                  <c:v>16.555038380180889</c:v>
                </c:pt>
                <c:pt idx="35">
                  <c:v>15.41787406174098</c:v>
                </c:pt>
                <c:pt idx="36">
                  <c:v>14.342685832232039</c:v>
                </c:pt>
                <c:pt idx="37">
                  <c:v>5.8717837465769405</c:v>
                </c:pt>
                <c:pt idx="38">
                  <c:v>-0.10277398316123142</c:v>
                </c:pt>
                <c:pt idx="39">
                  <c:v>-4.6621032920706789</c:v>
                </c:pt>
                <c:pt idx="40">
                  <c:v>-8.3211809092598656</c:v>
                </c:pt>
                <c:pt idx="41">
                  <c:v>-11.366070760610647</c:v>
                </c:pt>
                <c:pt idx="42">
                  <c:v>-13.968605427641039</c:v>
                </c:pt>
                <c:pt idx="43">
                  <c:v>-16.238736455702856</c:v>
                </c:pt>
                <c:pt idx="44">
                  <c:v>-18.250565424473521</c:v>
                </c:pt>
                <c:pt idx="45">
                  <c:v>-20.056197016527911</c:v>
                </c:pt>
                <c:pt idx="46">
                  <c:v>-32.01764722638773</c:v>
                </c:pt>
                <c:pt idx="47">
                  <c:v>-39.046379951946548</c:v>
                </c:pt>
                <c:pt idx="48">
                  <c:v>-44.038697066087479</c:v>
                </c:pt>
                <c:pt idx="49">
                  <c:v>-47.912673787125456</c:v>
                </c:pt>
                <c:pt idx="50">
                  <c:v>-51.078606474475279</c:v>
                </c:pt>
                <c:pt idx="51">
                  <c:v>-53.755683679043898</c:v>
                </c:pt>
                <c:pt idx="52">
                  <c:v>-56.074845902861924</c:v>
                </c:pt>
                <c:pt idx="53">
                  <c:v>-58.120593236572262</c:v>
                </c:pt>
                <c:pt idx="54">
                  <c:v>-59.950639940338029</c:v>
                </c:pt>
              </c:numCache>
            </c:numRef>
          </c:yVal>
          <c:smooth val="0"/>
          <c:extLst>
            <c:ext xmlns:c16="http://schemas.microsoft.com/office/drawing/2014/chart" uri="{C3380CC4-5D6E-409C-BE32-E72D297353CC}">
              <c16:uniqueId val="{00000000-A7F4-409F-BB50-58A419106E2D}"/>
            </c:ext>
          </c:extLst>
        </c:ser>
        <c:dLbls>
          <c:showLegendKey val="0"/>
          <c:showVal val="0"/>
          <c:showCatName val="0"/>
          <c:showSerName val="0"/>
          <c:showPercent val="0"/>
          <c:showBubbleSize val="0"/>
        </c:dLbls>
        <c:axId val="222780416"/>
        <c:axId val="222795648"/>
      </c:scatterChart>
      <c:scatterChart>
        <c:scatterStyle val="lineMarker"/>
        <c:varyColors val="0"/>
        <c:ser>
          <c:idx val="1"/>
          <c:order val="1"/>
          <c:tx>
            <c:v>Current Loop Phase</c:v>
          </c:tx>
          <c:marker>
            <c:symbol val="none"/>
          </c:marker>
          <c:xVal>
            <c:numRef>
              <c:f>Compensation!$B$8:$B$62</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Compensation!$L$8:$L$62</c:f>
              <c:numCache>
                <c:formatCode>General</c:formatCode>
                <c:ptCount val="55"/>
                <c:pt idx="0">
                  <c:v>90.038476323863364</c:v>
                </c:pt>
                <c:pt idx="1">
                  <c:v>90.076952523178178</c:v>
                </c:pt>
                <c:pt idx="2">
                  <c:v>90.115428473397543</c:v>
                </c:pt>
                <c:pt idx="3">
                  <c:v>90.153904049977825</c:v>
                </c:pt>
                <c:pt idx="4">
                  <c:v>90.192379128380338</c:v>
                </c:pt>
                <c:pt idx="5">
                  <c:v>90.23085358407296</c:v>
                </c:pt>
                <c:pt idx="6">
                  <c:v>90.269327292531798</c:v>
                </c:pt>
                <c:pt idx="7">
                  <c:v>90.307800129242821</c:v>
                </c:pt>
                <c:pt idx="8">
                  <c:v>90.346271969703466</c:v>
                </c:pt>
                <c:pt idx="9">
                  <c:v>90.384742689424343</c:v>
                </c:pt>
                <c:pt idx="10">
                  <c:v>90.769360870960966</c:v>
                </c:pt>
                <c:pt idx="11">
                  <c:v>91.153730200893364</c:v>
                </c:pt>
                <c:pt idx="12">
                  <c:v>91.537726663318011</c:v>
                </c:pt>
                <c:pt idx="13">
                  <c:v>91.921226732730091</c:v>
                </c:pt>
                <c:pt idx="14">
                  <c:v>92.304107535032912</c:v>
                </c:pt>
                <c:pt idx="15">
                  <c:v>92.686247006461016</c:v>
                </c:pt>
                <c:pt idx="16">
                  <c:v>93.067524049917935</c:v>
                </c:pt>
                <c:pt idx="17">
                  <c:v>93.447818688246358</c:v>
                </c:pt>
                <c:pt idx="18">
                  <c:v>93.827012213964991</c:v>
                </c:pt>
                <c:pt idx="19">
                  <c:v>97.533455778066084</c:v>
                </c:pt>
                <c:pt idx="20">
                  <c:v>101.01357041557195</c:v>
                </c:pt>
                <c:pt idx="21">
                  <c:v>104.18702535596307</c:v>
                </c:pt>
                <c:pt idx="22">
                  <c:v>107.00321260108743</c:v>
                </c:pt>
                <c:pt idx="23">
                  <c:v>109.43968964541632</c:v>
                </c:pt>
                <c:pt idx="24">
                  <c:v>111.49690809885008</c:v>
                </c:pt>
                <c:pt idx="25">
                  <c:v>113.1916123984482</c:v>
                </c:pt>
                <c:pt idx="26">
                  <c:v>114.55062933631903</c:v>
                </c:pt>
                <c:pt idx="27">
                  <c:v>115.60589727554699</c:v>
                </c:pt>
                <c:pt idx="28">
                  <c:v>115.87199084219066</c:v>
                </c:pt>
                <c:pt idx="29">
                  <c:v>109.1514262412484</c:v>
                </c:pt>
                <c:pt idx="30">
                  <c:v>101.68088239799636</c:v>
                </c:pt>
                <c:pt idx="31">
                  <c:v>94.785402612099418</c:v>
                </c:pt>
                <c:pt idx="32">
                  <c:v>88.64534154275421</c:v>
                </c:pt>
                <c:pt idx="33">
                  <c:v>83.191119787060543</c:v>
                </c:pt>
                <c:pt idx="34">
                  <c:v>78.317742102358181</c:v>
                </c:pt>
                <c:pt idx="35">
                  <c:v>73.932548927696473</c:v>
                </c:pt>
                <c:pt idx="36">
                  <c:v>69.961628037131732</c:v>
                </c:pt>
                <c:pt idx="37">
                  <c:v>44.344996768477827</c:v>
                </c:pt>
                <c:pt idx="38">
                  <c:v>31.713542375477001</c:v>
                </c:pt>
                <c:pt idx="39">
                  <c:v>24.474198483656462</c:v>
                </c:pt>
                <c:pt idx="40">
                  <c:v>19.857516647250883</c:v>
                </c:pt>
                <c:pt idx="41">
                  <c:v>16.679598599494511</c:v>
                </c:pt>
                <c:pt idx="42">
                  <c:v>14.366640077476024</c:v>
                </c:pt>
                <c:pt idx="43">
                  <c:v>12.611129642587628</c:v>
                </c:pt>
                <c:pt idx="44">
                  <c:v>11.234736553118918</c:v>
                </c:pt>
                <c:pt idx="45">
                  <c:v>10.12738056889911</c:v>
                </c:pt>
                <c:pt idx="46">
                  <c:v>5.0898127947871865</c:v>
                </c:pt>
                <c:pt idx="47">
                  <c:v>3.3964739012469143</c:v>
                </c:pt>
                <c:pt idx="48">
                  <c:v>2.548214856785286</c:v>
                </c:pt>
                <c:pt idx="49">
                  <c:v>2.0388904404384212</c:v>
                </c:pt>
                <c:pt idx="50">
                  <c:v>1.6992196397288279</c:v>
                </c:pt>
                <c:pt idx="51">
                  <c:v>1.4565485620571359</c:v>
                </c:pt>
                <c:pt idx="52">
                  <c:v>1.2745223566358679</c:v>
                </c:pt>
                <c:pt idx="53">
                  <c:v>1.1329345823489303</c:v>
                </c:pt>
                <c:pt idx="54">
                  <c:v>1.0196577480183648</c:v>
                </c:pt>
              </c:numCache>
            </c:numRef>
          </c:yVal>
          <c:smooth val="0"/>
          <c:extLst>
            <c:ext xmlns:c16="http://schemas.microsoft.com/office/drawing/2014/chart" uri="{C3380CC4-5D6E-409C-BE32-E72D297353CC}">
              <c16:uniqueId val="{00000001-A7F4-409F-BB50-58A419106E2D}"/>
            </c:ext>
          </c:extLst>
        </c:ser>
        <c:dLbls>
          <c:showLegendKey val="0"/>
          <c:showVal val="0"/>
          <c:showCatName val="0"/>
          <c:showSerName val="0"/>
          <c:showPercent val="0"/>
          <c:showBubbleSize val="0"/>
        </c:dLbls>
        <c:axId val="223315072"/>
        <c:axId val="222797184"/>
      </c:scatterChart>
      <c:valAx>
        <c:axId val="222780416"/>
        <c:scaling>
          <c:logBase val="10"/>
          <c:orientation val="minMax"/>
          <c:min val="10"/>
        </c:scaling>
        <c:delete val="0"/>
        <c:axPos val="b"/>
        <c:majorGridlines/>
        <c:minorGridlines/>
        <c:numFmt formatCode="General" sourceLinked="1"/>
        <c:majorTickMark val="out"/>
        <c:minorTickMark val="cross"/>
        <c:tickLblPos val="low"/>
        <c:crossAx val="222795648"/>
        <c:crosses val="autoZero"/>
        <c:crossBetween val="midCat"/>
      </c:valAx>
      <c:valAx>
        <c:axId val="222795648"/>
        <c:scaling>
          <c:orientation val="minMax"/>
          <c:max val="60"/>
          <c:min val="-40"/>
        </c:scaling>
        <c:delete val="0"/>
        <c:axPos val="l"/>
        <c:majorGridlines/>
        <c:numFmt formatCode="General" sourceLinked="1"/>
        <c:majorTickMark val="out"/>
        <c:minorTickMark val="none"/>
        <c:tickLblPos val="nextTo"/>
        <c:crossAx val="222780416"/>
        <c:crosses val="autoZero"/>
        <c:crossBetween val="midCat"/>
        <c:majorUnit val="20"/>
      </c:valAx>
      <c:valAx>
        <c:axId val="222797184"/>
        <c:scaling>
          <c:orientation val="minMax"/>
          <c:max val="180"/>
          <c:min val="-180"/>
        </c:scaling>
        <c:delete val="0"/>
        <c:axPos val="r"/>
        <c:numFmt formatCode="General" sourceLinked="1"/>
        <c:majorTickMark val="out"/>
        <c:minorTickMark val="none"/>
        <c:tickLblPos val="nextTo"/>
        <c:crossAx val="223315072"/>
        <c:crosses val="max"/>
        <c:crossBetween val="midCat"/>
        <c:majorUnit val="45"/>
      </c:valAx>
      <c:valAx>
        <c:axId val="223315072"/>
        <c:scaling>
          <c:logBase val="10"/>
          <c:orientation val="minMax"/>
        </c:scaling>
        <c:delete val="1"/>
        <c:axPos val="b"/>
        <c:numFmt formatCode="General" sourceLinked="1"/>
        <c:majorTickMark val="out"/>
        <c:minorTickMark val="none"/>
        <c:tickLblPos val="nextTo"/>
        <c:crossAx val="222797184"/>
        <c:crosses val="autoZero"/>
        <c:crossBetween val="midCat"/>
      </c:valAx>
    </c:plotArea>
    <c:legend>
      <c:legendPos val="l"/>
      <c:layout>
        <c:manualLayout>
          <c:xMode val="edge"/>
          <c:yMode val="edge"/>
          <c:x val="0.66446284284970702"/>
          <c:y val="0.15975271971864352"/>
          <c:w val="0.25624167236024714"/>
          <c:h val="0.1741696202416313"/>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6"/>
          <c:order val="0"/>
          <c:tx>
            <c:v>Gain_Boost_iL</c:v>
          </c:tx>
          <c:marker>
            <c:symbol val="none"/>
          </c:marker>
          <c:xVal>
            <c:numRef>
              <c:f>Compensation!$B$169:$B$223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Compensation!$S$169:$S$223</c:f>
              <c:numCache>
                <c:formatCode>General</c:formatCode>
                <c:ptCount val="55"/>
                <c:pt idx="0">
                  <c:v>28.763942877036349</c:v>
                </c:pt>
                <c:pt idx="1">
                  <c:v>28.763580207103466</c:v>
                </c:pt>
                <c:pt idx="2">
                  <c:v>28.762975824921966</c:v>
                </c:pt>
                <c:pt idx="3">
                  <c:v>28.762129832011976</c:v>
                </c:pt>
                <c:pt idx="4">
                  <c:v>28.761042370422714</c:v>
                </c:pt>
                <c:pt idx="5">
                  <c:v>28.759713622652509</c:v>
                </c:pt>
                <c:pt idx="6">
                  <c:v>28.758143811547917</c:v>
                </c:pt>
                <c:pt idx="7">
                  <c:v>28.756333200178751</c:v>
                </c:pt>
                <c:pt idx="8">
                  <c:v>28.754282091692822</c:v>
                </c:pt>
                <c:pt idx="9">
                  <c:v>28.751990829146319</c:v>
                </c:pt>
                <c:pt idx="10">
                  <c:v>28.715973293033205</c:v>
                </c:pt>
                <c:pt idx="11">
                  <c:v>28.656604034780571</c:v>
                </c:pt>
                <c:pt idx="12">
                  <c:v>28.57483566907764</c:v>
                </c:pt>
                <c:pt idx="13">
                  <c:v>28.471931429769576</c:v>
                </c:pt>
                <c:pt idx="14">
                  <c:v>28.349403859772345</c:v>
                </c:pt>
                <c:pt idx="15">
                  <c:v>28.208947173574551</c:v>
                </c:pt>
                <c:pt idx="16">
                  <c:v>28.052369000428982</c:v>
                </c:pt>
                <c:pt idx="17">
                  <c:v>27.88152635190054</c:v>
                </c:pt>
                <c:pt idx="18">
                  <c:v>27.698269358432597</c:v>
                </c:pt>
                <c:pt idx="19">
                  <c:v>25.521598560413246</c:v>
                </c:pt>
                <c:pt idx="20">
                  <c:v>23.339058996051406</c:v>
                </c:pt>
                <c:pt idx="21">
                  <c:v>21.440354536740909</c:v>
                </c:pt>
                <c:pt idx="22">
                  <c:v>19.824297446320305</c:v>
                </c:pt>
                <c:pt idx="23">
                  <c:v>18.439327713108881</c:v>
                </c:pt>
                <c:pt idx="24">
                  <c:v>17.236921140381067</c:v>
                </c:pt>
                <c:pt idx="25">
                  <c:v>16.17927785141584</c:v>
                </c:pt>
                <c:pt idx="26">
                  <c:v>15.238058940477471</c:v>
                </c:pt>
                <c:pt idx="27">
                  <c:v>14.39202802981325</c:v>
                </c:pt>
                <c:pt idx="28">
                  <c:v>8.8781517515468185</c:v>
                </c:pt>
                <c:pt idx="29">
                  <c:v>5.9080322219479591</c:v>
                </c:pt>
                <c:pt idx="30">
                  <c:v>4.0953706750833998</c:v>
                </c:pt>
                <c:pt idx="31">
                  <c:v>2.967314784956284</c:v>
                </c:pt>
                <c:pt idx="32">
                  <c:v>2.2936599576863643</c:v>
                </c:pt>
                <c:pt idx="33">
                  <c:v>1.9398575231402948</c:v>
                </c:pt>
                <c:pt idx="34">
                  <c:v>1.8189125356970477</c:v>
                </c:pt>
                <c:pt idx="35">
                  <c:v>1.871377996695889</c:v>
                </c:pt>
                <c:pt idx="36">
                  <c:v>2.0554072349536394</c:v>
                </c:pt>
                <c:pt idx="37">
                  <c:v>7.3201380608670821</c:v>
                </c:pt>
                <c:pt idx="38">
                  <c:v>13.365327069536072</c:v>
                </c:pt>
                <c:pt idx="39">
                  <c:v>9.0955687516965096</c:v>
                </c:pt>
                <c:pt idx="40">
                  <c:v>4.876484996021178</c:v>
                </c:pt>
                <c:pt idx="41">
                  <c:v>2.0940731511808037</c:v>
                </c:pt>
                <c:pt idx="42">
                  <c:v>6.6054620527575783E-2</c:v>
                </c:pt>
                <c:pt idx="43">
                  <c:v>-1.5262190642337969</c:v>
                </c:pt>
                <c:pt idx="44">
                  <c:v>-2.8389478549053986</c:v>
                </c:pt>
                <c:pt idx="45">
                  <c:v>-3.9579289517525003</c:v>
                </c:pt>
                <c:pt idx="46">
                  <c:v>-10.611688433060763</c:v>
                </c:pt>
                <c:pt idx="47">
                  <c:v>-14.247722986032535</c:v>
                </c:pt>
                <c:pt idx="48">
                  <c:v>-16.786250760053903</c:v>
                </c:pt>
                <c:pt idx="49">
                  <c:v>-18.742812525624398</c:v>
                </c:pt>
                <c:pt idx="50">
                  <c:v>-20.336401412874061</c:v>
                </c:pt>
                <c:pt idx="51">
                  <c:v>-21.681341701272459</c:v>
                </c:pt>
                <c:pt idx="52">
                  <c:v>-22.845076396700179</c:v>
                </c:pt>
                <c:pt idx="53">
                  <c:v>-23.870797129761442</c:v>
                </c:pt>
                <c:pt idx="54">
                  <c:v>-24.787856663534381</c:v>
                </c:pt>
              </c:numCache>
            </c:numRef>
          </c:yVal>
          <c:smooth val="1"/>
          <c:extLst>
            <c:ext xmlns:c16="http://schemas.microsoft.com/office/drawing/2014/chart" uri="{C3380CC4-5D6E-409C-BE32-E72D297353CC}">
              <c16:uniqueId val="{00000000-84DF-4E71-B305-B0207C7CF21B}"/>
            </c:ext>
          </c:extLst>
        </c:ser>
        <c:ser>
          <c:idx val="1"/>
          <c:order val="2"/>
          <c:tx>
            <c:v>Simplis_Gain</c:v>
          </c:tx>
          <c:marker>
            <c:symbol val="none"/>
          </c:marker>
          <c:xVal>
            <c:numRef>
              <c:f>Compensation!$AD$182:$AD$1243</c:f>
              <c:numCache>
                <c:formatCode>General</c:formatCode>
                <c:ptCount val="1062"/>
              </c:numCache>
            </c:numRef>
          </c:xVal>
          <c:yVal>
            <c:numRef>
              <c:f>Compensation!$AE$182:$AE$1243</c:f>
              <c:numCache>
                <c:formatCode>General</c:formatCode>
                <c:ptCount val="1062"/>
              </c:numCache>
            </c:numRef>
          </c:yVal>
          <c:smooth val="0"/>
          <c:extLst>
            <c:ext xmlns:c16="http://schemas.microsoft.com/office/drawing/2014/chart" uri="{C3380CC4-5D6E-409C-BE32-E72D297353CC}">
              <c16:uniqueId val="{00000001-84DF-4E71-B305-B0207C7CF21B}"/>
            </c:ext>
          </c:extLst>
        </c:ser>
        <c:dLbls>
          <c:showLegendKey val="0"/>
          <c:showVal val="0"/>
          <c:showCatName val="0"/>
          <c:showSerName val="0"/>
          <c:showPercent val="0"/>
          <c:showBubbleSize val="0"/>
        </c:dLbls>
        <c:axId val="224078080"/>
        <c:axId val="225329536"/>
      </c:scatterChart>
      <c:scatterChart>
        <c:scatterStyle val="lineMarker"/>
        <c:varyColors val="0"/>
        <c:ser>
          <c:idx val="0"/>
          <c:order val="1"/>
          <c:tx>
            <c:v>Phase_Boost_iL</c:v>
          </c:tx>
          <c:marker>
            <c:symbol val="none"/>
          </c:marker>
          <c:xVal>
            <c:numRef>
              <c:f>Compensation!$B$169:$B$223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Compensation!$T$169:$T$223</c:f>
              <c:numCache>
                <c:formatCode>General</c:formatCode>
                <c:ptCount val="55"/>
                <c:pt idx="0">
                  <c:v>-0.30201795264320447</c:v>
                </c:pt>
                <c:pt idx="1">
                  <c:v>-0.60401900727852131</c:v>
                </c:pt>
                <c:pt idx="2">
                  <c:v>-0.90598627156306666</c:v>
                </c:pt>
                <c:pt idx="3">
                  <c:v>-1.20790286447921</c:v>
                </c:pt>
                <c:pt idx="4">
                  <c:v>-1.5097519219852842</c:v>
                </c:pt>
                <c:pt idx="5">
                  <c:v>-1.811516602652163</c:v>
                </c:pt>
                <c:pt idx="6">
                  <c:v>-2.1131800932809517</c:v>
                </c:pt>
                <c:pt idx="7">
                  <c:v>-2.4147256144971343</c:v>
                </c:pt>
                <c:pt idx="8">
                  <c:v>-2.716136426316111</c:v>
                </c:pt>
                <c:pt idx="9">
                  <c:v>-3.0173958336769253</c:v>
                </c:pt>
                <c:pt idx="10">
                  <c:v>-6.0180327307057633</c:v>
                </c:pt>
                <c:pt idx="11">
                  <c:v>-8.9857029398911425</c:v>
                </c:pt>
                <c:pt idx="12">
                  <c:v>-11.905256558311958</c:v>
                </c:pt>
                <c:pt idx="13">
                  <c:v>-14.76302571479299</c:v>
                </c:pt>
                <c:pt idx="14">
                  <c:v>-17.547139934103409</c:v>
                </c:pt>
                <c:pt idx="15">
                  <c:v>-20.24772047653569</c:v>
                </c:pt>
                <c:pt idx="16">
                  <c:v>-22.856955325878673</c:v>
                </c:pt>
                <c:pt idx="17">
                  <c:v>-25.369067848769749</c:v>
                </c:pt>
                <c:pt idx="18">
                  <c:v>-27.780199657610023</c:v>
                </c:pt>
                <c:pt idx="19">
                  <c:v>-46.447147177597877</c:v>
                </c:pt>
                <c:pt idx="20">
                  <c:v>-57.575442125121455</c:v>
                </c:pt>
                <c:pt idx="21">
                  <c:v>-64.479961135425327</c:v>
                </c:pt>
                <c:pt idx="22">
                  <c:v>-69.073729963118879</c:v>
                </c:pt>
                <c:pt idx="23">
                  <c:v>-72.329654142016793</c:v>
                </c:pt>
                <c:pt idx="24">
                  <c:v>-74.759739870943321</c:v>
                </c:pt>
                <c:pt idx="25">
                  <c:v>-76.650148621788603</c:v>
                </c:pt>
                <c:pt idx="26">
                  <c:v>-78.170398128725893</c:v>
                </c:pt>
                <c:pt idx="27">
                  <c:v>-79.426194487324437</c:v>
                </c:pt>
                <c:pt idx="28">
                  <c:v>-85.915148805824458</c:v>
                </c:pt>
                <c:pt idx="29">
                  <c:v>-88.86927441620945</c:v>
                </c:pt>
                <c:pt idx="30">
                  <c:v>-90.854694194576183</c:v>
                </c:pt>
                <c:pt idx="31">
                  <c:v>-92.435428480595064</c:v>
                </c:pt>
                <c:pt idx="32">
                  <c:v>-93.813971278686651</c:v>
                </c:pt>
                <c:pt idx="33">
                  <c:v>-95.085738577596402</c:v>
                </c:pt>
                <c:pt idx="34">
                  <c:v>-96.305375936324765</c:v>
                </c:pt>
                <c:pt idx="35">
                  <c:v>-97.509273247858829</c:v>
                </c:pt>
                <c:pt idx="36">
                  <c:v>-98.724777335244241</c:v>
                </c:pt>
                <c:pt idx="37">
                  <c:v>-116.56620565357697</c:v>
                </c:pt>
                <c:pt idx="38">
                  <c:v>-174.37840304429599</c:v>
                </c:pt>
                <c:pt idx="39">
                  <c:v>129.21618001600834</c:v>
                </c:pt>
                <c:pt idx="40">
                  <c:v>113.32767424995301</c:v>
                </c:pt>
                <c:pt idx="41">
                  <c:v>106.87431013011305</c:v>
                </c:pt>
                <c:pt idx="42">
                  <c:v>103.36739053663139</c:v>
                </c:pt>
                <c:pt idx="43">
                  <c:v>101.14036230794319</c:v>
                </c:pt>
                <c:pt idx="44">
                  <c:v>99.587405895887599</c:v>
                </c:pt>
                <c:pt idx="45">
                  <c:v>98.43561889443491</c:v>
                </c:pt>
                <c:pt idx="46">
                  <c:v>93.934041102461677</c:v>
                </c:pt>
                <c:pt idx="47">
                  <c:v>92.590201189358623</c:v>
                </c:pt>
                <c:pt idx="48">
                  <c:v>91.93425235509423</c:v>
                </c:pt>
                <c:pt idx="49">
                  <c:v>91.544310111526016</c:v>
                </c:pt>
                <c:pt idx="50">
                  <c:v>91.285529497649591</c:v>
                </c:pt>
                <c:pt idx="51">
                  <c:v>91.101162295697037</c:v>
                </c:pt>
                <c:pt idx="52">
                  <c:v>90.963108446249677</c:v>
                </c:pt>
                <c:pt idx="53">
                  <c:v>90.855847574787163</c:v>
                </c:pt>
                <c:pt idx="54">
                  <c:v>90.770102708158134</c:v>
                </c:pt>
              </c:numCache>
            </c:numRef>
          </c:yVal>
          <c:smooth val="1"/>
          <c:extLst>
            <c:ext xmlns:c16="http://schemas.microsoft.com/office/drawing/2014/chart" uri="{C3380CC4-5D6E-409C-BE32-E72D297353CC}">
              <c16:uniqueId val="{00000002-84DF-4E71-B305-B0207C7CF21B}"/>
            </c:ext>
          </c:extLst>
        </c:ser>
        <c:ser>
          <c:idx val="2"/>
          <c:order val="3"/>
          <c:tx>
            <c:v>Simplis_Phase</c:v>
          </c:tx>
          <c:marker>
            <c:symbol val="none"/>
          </c:marker>
          <c:xVal>
            <c:numRef>
              <c:f>Compensation!$AG$183:$AG$1244</c:f>
              <c:numCache>
                <c:formatCode>General</c:formatCode>
                <c:ptCount val="1062"/>
              </c:numCache>
            </c:numRef>
          </c:xVal>
          <c:yVal>
            <c:numRef>
              <c:f>Compensation!$AH$183:$AH$1244</c:f>
              <c:numCache>
                <c:formatCode>General</c:formatCode>
                <c:ptCount val="1062"/>
              </c:numCache>
            </c:numRef>
          </c:yVal>
          <c:smooth val="0"/>
          <c:extLst>
            <c:ext xmlns:c16="http://schemas.microsoft.com/office/drawing/2014/chart" uri="{C3380CC4-5D6E-409C-BE32-E72D297353CC}">
              <c16:uniqueId val="{00000003-84DF-4E71-B305-B0207C7CF21B}"/>
            </c:ext>
          </c:extLst>
        </c:ser>
        <c:dLbls>
          <c:showLegendKey val="0"/>
          <c:showVal val="0"/>
          <c:showCatName val="0"/>
          <c:showSerName val="0"/>
          <c:showPercent val="0"/>
          <c:showBubbleSize val="0"/>
        </c:dLbls>
        <c:axId val="281326720"/>
        <c:axId val="225331072"/>
      </c:scatterChart>
      <c:valAx>
        <c:axId val="224078080"/>
        <c:scaling>
          <c:logBase val="10"/>
          <c:orientation val="minMax"/>
        </c:scaling>
        <c:delete val="0"/>
        <c:axPos val="b"/>
        <c:majorGridlines/>
        <c:minorGridlines/>
        <c:numFmt formatCode="General" sourceLinked="1"/>
        <c:majorTickMark val="out"/>
        <c:minorTickMark val="cross"/>
        <c:tickLblPos val="low"/>
        <c:crossAx val="225329536"/>
        <c:crosses val="autoZero"/>
        <c:crossBetween val="midCat"/>
      </c:valAx>
      <c:valAx>
        <c:axId val="225329536"/>
        <c:scaling>
          <c:orientation val="minMax"/>
          <c:min val="-40"/>
        </c:scaling>
        <c:delete val="0"/>
        <c:axPos val="l"/>
        <c:majorGridlines/>
        <c:numFmt formatCode="General" sourceLinked="1"/>
        <c:majorTickMark val="out"/>
        <c:minorTickMark val="none"/>
        <c:tickLblPos val="nextTo"/>
        <c:crossAx val="224078080"/>
        <c:crosses val="autoZero"/>
        <c:crossBetween val="midCat"/>
        <c:majorUnit val="20"/>
      </c:valAx>
      <c:valAx>
        <c:axId val="225331072"/>
        <c:scaling>
          <c:orientation val="minMax"/>
          <c:max val="180"/>
          <c:min val="-180"/>
        </c:scaling>
        <c:delete val="0"/>
        <c:axPos val="r"/>
        <c:numFmt formatCode="General" sourceLinked="1"/>
        <c:majorTickMark val="out"/>
        <c:minorTickMark val="none"/>
        <c:tickLblPos val="nextTo"/>
        <c:crossAx val="281326720"/>
        <c:crosses val="max"/>
        <c:crossBetween val="midCat"/>
        <c:majorUnit val="45"/>
      </c:valAx>
      <c:valAx>
        <c:axId val="281326720"/>
        <c:scaling>
          <c:logBase val="10"/>
          <c:orientation val="minMax"/>
        </c:scaling>
        <c:delete val="1"/>
        <c:axPos val="b"/>
        <c:numFmt formatCode="General" sourceLinked="1"/>
        <c:majorTickMark val="out"/>
        <c:minorTickMark val="none"/>
        <c:tickLblPos val="nextTo"/>
        <c:crossAx val="225331072"/>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6"/>
          <c:order val="0"/>
          <c:tx>
            <c:v>Gain_Buck</c:v>
          </c:tx>
          <c:marker>
            <c:symbol val="none"/>
          </c:marker>
          <c:xVal>
            <c:numRef>
              <c:f>Compensation!$B$79:$B$133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Compensation!$S$79:$S$133</c:f>
              <c:numCache>
                <c:formatCode>General</c:formatCode>
                <c:ptCount val="55"/>
                <c:pt idx="0">
                  <c:v>22.88702431420262</c:v>
                </c:pt>
                <c:pt idx="1">
                  <c:v>22.886990597877087</c:v>
                </c:pt>
                <c:pt idx="2">
                  <c:v>22.886934404709752</c:v>
                </c:pt>
                <c:pt idx="3">
                  <c:v>22.886855735764104</c:v>
                </c:pt>
                <c:pt idx="4">
                  <c:v>22.886754592528298</c:v>
                </c:pt>
                <c:pt idx="5">
                  <c:v>22.886630976915679</c:v>
                </c:pt>
                <c:pt idx="6">
                  <c:v>22.886484891264626</c:v>
                </c:pt>
                <c:pt idx="7">
                  <c:v>22.886316338338254</c:v>
                </c:pt>
                <c:pt idx="8">
                  <c:v>22.886125321324453</c:v>
                </c:pt>
                <c:pt idx="9">
                  <c:v>22.885911843835324</c:v>
                </c:pt>
                <c:pt idx="10">
                  <c:v>22.882542840447051</c:v>
                </c:pt>
                <c:pt idx="11">
                  <c:v>22.876934902532149</c:v>
                </c:pt>
                <c:pt idx="12">
                  <c:v>22.869098585976893</c:v>
                </c:pt>
                <c:pt idx="13">
                  <c:v>22.859048578193928</c:v>
                </c:pt>
                <c:pt idx="14">
                  <c:v>22.846803608664871</c:v>
                </c:pt>
                <c:pt idx="15">
                  <c:v>22.832386335854022</c:v>
                </c:pt>
                <c:pt idx="16">
                  <c:v>22.815823211880677</c:v>
                </c:pt>
                <c:pt idx="17">
                  <c:v>22.797144326589699</c:v>
                </c:pt>
                <c:pt idx="18">
                  <c:v>22.776383232874306</c:v>
                </c:pt>
                <c:pt idx="19">
                  <c:v>22.463689615692882</c:v>
                </c:pt>
                <c:pt idx="20">
                  <c:v>21.996925632463483</c:v>
                </c:pt>
                <c:pt idx="21">
                  <c:v>21.432251084682036</c:v>
                </c:pt>
                <c:pt idx="22">
                  <c:v>20.817862329083216</c:v>
                </c:pt>
                <c:pt idx="23">
                  <c:v>20.187974996897417</c:v>
                </c:pt>
                <c:pt idx="24">
                  <c:v>19.563876100852458</c:v>
                </c:pt>
                <c:pt idx="25">
                  <c:v>18.957459160010174</c:v>
                </c:pt>
                <c:pt idx="26">
                  <c:v>18.374630283665205</c:v>
                </c:pt>
                <c:pt idx="27">
                  <c:v>17.817780084823699</c:v>
                </c:pt>
                <c:pt idx="28">
                  <c:v>13.531086665076458</c:v>
                </c:pt>
                <c:pt idx="29">
                  <c:v>10.831217180276845</c:v>
                </c:pt>
                <c:pt idx="30">
                  <c:v>9.0421677727394361</c:v>
                </c:pt>
                <c:pt idx="31">
                  <c:v>7.8219722451169318</c:v>
                </c:pt>
                <c:pt idx="32">
                  <c:v>6.9795537036496214</c:v>
                </c:pt>
                <c:pt idx="33">
                  <c:v>6.3991337333257148</c:v>
                </c:pt>
                <c:pt idx="34">
                  <c:v>6.0069171787199469</c:v>
                </c:pt>
                <c:pt idx="35">
                  <c:v>5.7543401188735546</c:v>
                </c:pt>
                <c:pt idx="36">
                  <c:v>5.6087330191619404</c:v>
                </c:pt>
                <c:pt idx="37">
                  <c:v>7.2814393795247279</c:v>
                </c:pt>
                <c:pt idx="38">
                  <c:v>10.095654129551736</c:v>
                </c:pt>
                <c:pt idx="39">
                  <c:v>3.9669746296036266</c:v>
                </c:pt>
                <c:pt idx="40">
                  <c:v>-1.9537460477040538</c:v>
                </c:pt>
                <c:pt idx="41">
                  <c:v>-6.2239828718845445</c:v>
                </c:pt>
                <c:pt idx="42">
                  <c:v>-9.539552103376538</c:v>
                </c:pt>
                <c:pt idx="43">
                  <c:v>-12.260091150685486</c:v>
                </c:pt>
                <c:pt idx="44">
                  <c:v>-14.57485846691961</c:v>
                </c:pt>
                <c:pt idx="45">
                  <c:v>-16.59422783258394</c:v>
                </c:pt>
                <c:pt idx="46">
                  <c:v>-29.222604468847774</c:v>
                </c:pt>
                <c:pt idx="47">
                  <c:v>-36.3721169763094</c:v>
                </c:pt>
                <c:pt idx="48">
                  <c:v>-41.406508454876629</c:v>
                </c:pt>
                <c:pt idx="49">
                  <c:v>-45.299924866494123</c:v>
                </c:pt>
                <c:pt idx="50">
                  <c:v>-48.476408187875755</c:v>
                </c:pt>
                <c:pt idx="51">
                  <c:v>-51.159843965070699</c:v>
                </c:pt>
                <c:pt idx="52">
                  <c:v>-53.483131888752162</c:v>
                </c:pt>
                <c:pt idx="53">
                  <c:v>-55.531707216524808</c:v>
                </c:pt>
                <c:pt idx="54">
                  <c:v>-57.363776482319466</c:v>
                </c:pt>
              </c:numCache>
            </c:numRef>
          </c:yVal>
          <c:smooth val="1"/>
          <c:extLst>
            <c:ext xmlns:c16="http://schemas.microsoft.com/office/drawing/2014/chart" uri="{C3380CC4-5D6E-409C-BE32-E72D297353CC}">
              <c16:uniqueId val="{00000000-212A-4F66-B432-85D1F6EDCFF5}"/>
            </c:ext>
          </c:extLst>
        </c:ser>
        <c:ser>
          <c:idx val="1"/>
          <c:order val="2"/>
          <c:tx>
            <c:v>Simplis_Gain</c:v>
          </c:tx>
          <c:marker>
            <c:symbol val="none"/>
          </c:marker>
          <c:xVal>
            <c:numRef>
              <c:f>Compensation!$AQ$84:$AQ$1284</c:f>
              <c:numCache>
                <c:formatCode>General</c:formatCode>
                <c:ptCount val="1201"/>
              </c:numCache>
            </c:numRef>
          </c:xVal>
          <c:yVal>
            <c:numRef>
              <c:f>Compensation!$AR$84:$AR$1284</c:f>
              <c:numCache>
                <c:formatCode>General</c:formatCode>
                <c:ptCount val="1201"/>
              </c:numCache>
            </c:numRef>
          </c:yVal>
          <c:smooth val="0"/>
          <c:extLst>
            <c:ext xmlns:c16="http://schemas.microsoft.com/office/drawing/2014/chart" uri="{C3380CC4-5D6E-409C-BE32-E72D297353CC}">
              <c16:uniqueId val="{00000001-212A-4F66-B432-85D1F6EDCFF5}"/>
            </c:ext>
          </c:extLst>
        </c:ser>
        <c:dLbls>
          <c:showLegendKey val="0"/>
          <c:showVal val="0"/>
          <c:showCatName val="0"/>
          <c:showSerName val="0"/>
          <c:showPercent val="0"/>
          <c:showBubbleSize val="0"/>
        </c:dLbls>
        <c:axId val="283349376"/>
        <c:axId val="283350912"/>
      </c:scatterChart>
      <c:scatterChart>
        <c:scatterStyle val="lineMarker"/>
        <c:varyColors val="0"/>
        <c:ser>
          <c:idx val="0"/>
          <c:order val="1"/>
          <c:tx>
            <c:v>Phase_Buck</c:v>
          </c:tx>
          <c:marker>
            <c:symbol val="none"/>
          </c:marker>
          <c:xVal>
            <c:numRef>
              <c:f>Compensation!$B$79:$B$133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Compensation!$T$79:$T$133</c:f>
              <c:numCache>
                <c:formatCode>General</c:formatCode>
                <c:ptCount val="55"/>
                <c:pt idx="0">
                  <c:v>-8.0467962609084023E-2</c:v>
                </c:pt>
                <c:pt idx="1">
                  <c:v>-0.16093539795353415</c:v>
                </c:pt>
                <c:pt idx="2">
                  <c:v>-0.24140177878851343</c:v>
                </c:pt>
                <c:pt idx="3">
                  <c:v>-0.3218665779087676</c:v>
                </c:pt>
                <c:pt idx="4">
                  <c:v>-0.40232926816841669</c:v>
                </c:pt>
                <c:pt idx="5">
                  <c:v>-0.48278932250075568</c:v>
                </c:pt>
                <c:pt idx="6">
                  <c:v>-0.56324621393800101</c:v>
                </c:pt>
                <c:pt idx="7">
                  <c:v>-0.64369941563108479</c:v>
                </c:pt>
                <c:pt idx="8">
                  <c:v>-0.72414840086939103</c:v>
                </c:pt>
                <c:pt idx="9">
                  <c:v>-0.80459264310052592</c:v>
                </c:pt>
                <c:pt idx="10">
                  <c:v>-1.6086585110487535</c:v>
                </c:pt>
                <c:pt idx="11">
                  <c:v>-2.4116728021942091</c:v>
                </c:pt>
                <c:pt idx="12">
                  <c:v>-3.2131146438727876</c:v>
                </c:pt>
                <c:pt idx="13">
                  <c:v>-4.0124690121571192</c:v>
                </c:pt>
                <c:pt idx="14">
                  <c:v>-4.8092285987519334</c:v>
                </c:pt>
                <c:pt idx="15">
                  <c:v>-5.6028956087840172</c:v>
                </c:pt>
                <c:pt idx="16">
                  <c:v>-6.3929834743662859</c:v>
                </c:pt>
                <c:pt idx="17">
                  <c:v>-7.1790184701637232</c:v>
                </c:pt>
                <c:pt idx="18">
                  <c:v>-7.9605412187396531</c:v>
                </c:pt>
                <c:pt idx="19">
                  <c:v>-15.439156216598199</c:v>
                </c:pt>
                <c:pt idx="20">
                  <c:v>-22.103421269464878</c:v>
                </c:pt>
                <c:pt idx="21">
                  <c:v>-27.821462291425256</c:v>
                </c:pt>
                <c:pt idx="22">
                  <c:v>-32.617588958177834</c:v>
                </c:pt>
                <c:pt idx="23">
                  <c:v>-36.597675016593449</c:v>
                </c:pt>
                <c:pt idx="24">
                  <c:v>-39.891325744342005</c:v>
                </c:pt>
                <c:pt idx="25">
                  <c:v>-42.62101967899801</c:v>
                </c:pt>
                <c:pt idx="26">
                  <c:v>-44.890652063042097</c:v>
                </c:pt>
                <c:pt idx="27">
                  <c:v>-46.784114061282132</c:v>
                </c:pt>
                <c:pt idx="28">
                  <c:v>-54.684550228783529</c:v>
                </c:pt>
                <c:pt idx="29">
                  <c:v>-54.639894423731022</c:v>
                </c:pt>
                <c:pt idx="30">
                  <c:v>-52.41830892696283</c:v>
                </c:pt>
                <c:pt idx="31">
                  <c:v>-49.677672244244604</c:v>
                </c:pt>
                <c:pt idx="32">
                  <c:v>-47.015003105329995</c:v>
                </c:pt>
                <c:pt idx="33">
                  <c:v>-44.653678445355865</c:v>
                </c:pt>
                <c:pt idx="34">
                  <c:v>-42.665809259020897</c:v>
                </c:pt>
                <c:pt idx="35">
                  <c:v>-41.060124993695382</c:v>
                </c:pt>
                <c:pt idx="36">
                  <c:v>-39.820523639226082</c:v>
                </c:pt>
                <c:pt idx="37">
                  <c:v>-44.549312969302349</c:v>
                </c:pt>
                <c:pt idx="38">
                  <c:v>-95.166166549795079</c:v>
                </c:pt>
                <c:pt idx="39">
                  <c:v>-147.26556673488392</c:v>
                </c:pt>
                <c:pt idx="40">
                  <c:v>-162.11567174037489</c:v>
                </c:pt>
                <c:pt idx="41">
                  <c:v>-167.80138400029821</c:v>
                </c:pt>
                <c:pt idx="42">
                  <c:v>-170.70816057703854</c:v>
                </c:pt>
                <c:pt idx="43">
                  <c:v>-172.46208302689936</c:v>
                </c:pt>
                <c:pt idx="44">
                  <c:v>-173.63597929485587</c:v>
                </c:pt>
                <c:pt idx="45">
                  <c:v>-174.47866014342131</c:v>
                </c:pt>
                <c:pt idx="46">
                  <c:v>-177.54308624250751</c:v>
                </c:pt>
                <c:pt idx="47">
                  <c:v>-178.3968911483675</c:v>
                </c:pt>
                <c:pt idx="48">
                  <c:v>-178.80667451570056</c:v>
                </c:pt>
                <c:pt idx="49">
                  <c:v>-179.04865542396306</c:v>
                </c:pt>
                <c:pt idx="50">
                  <c:v>-179.20870965526697</c:v>
                </c:pt>
                <c:pt idx="51">
                  <c:v>-179.32252350942684</c:v>
                </c:pt>
                <c:pt idx="52">
                  <c:v>-179.40764628236235</c:v>
                </c:pt>
                <c:pt idx="53">
                  <c:v>-179.47373024402924</c:v>
                </c:pt>
                <c:pt idx="54">
                  <c:v>-179.52652895129307</c:v>
                </c:pt>
              </c:numCache>
            </c:numRef>
          </c:yVal>
          <c:smooth val="1"/>
          <c:extLst>
            <c:ext xmlns:c16="http://schemas.microsoft.com/office/drawing/2014/chart" uri="{C3380CC4-5D6E-409C-BE32-E72D297353CC}">
              <c16:uniqueId val="{00000002-212A-4F66-B432-85D1F6EDCFF5}"/>
            </c:ext>
          </c:extLst>
        </c:ser>
        <c:dLbls>
          <c:showLegendKey val="0"/>
          <c:showVal val="0"/>
          <c:showCatName val="0"/>
          <c:showSerName val="0"/>
          <c:showPercent val="0"/>
          <c:showBubbleSize val="0"/>
        </c:dLbls>
        <c:axId val="283589248"/>
        <c:axId val="283586944"/>
      </c:scatterChart>
      <c:valAx>
        <c:axId val="283349376"/>
        <c:scaling>
          <c:logBase val="10"/>
          <c:orientation val="minMax"/>
        </c:scaling>
        <c:delete val="0"/>
        <c:axPos val="b"/>
        <c:majorGridlines/>
        <c:minorGridlines/>
        <c:numFmt formatCode="General" sourceLinked="1"/>
        <c:majorTickMark val="out"/>
        <c:minorTickMark val="cross"/>
        <c:tickLblPos val="low"/>
        <c:crossAx val="283350912"/>
        <c:crosses val="autoZero"/>
        <c:crossBetween val="midCat"/>
      </c:valAx>
      <c:valAx>
        <c:axId val="283350912"/>
        <c:scaling>
          <c:orientation val="minMax"/>
          <c:min val="-40"/>
        </c:scaling>
        <c:delete val="0"/>
        <c:axPos val="l"/>
        <c:majorGridlines/>
        <c:numFmt formatCode="General" sourceLinked="1"/>
        <c:majorTickMark val="out"/>
        <c:minorTickMark val="none"/>
        <c:tickLblPos val="nextTo"/>
        <c:crossAx val="283349376"/>
        <c:crosses val="autoZero"/>
        <c:crossBetween val="midCat"/>
        <c:majorUnit val="20"/>
      </c:valAx>
      <c:valAx>
        <c:axId val="283586944"/>
        <c:scaling>
          <c:orientation val="minMax"/>
          <c:max val="180"/>
          <c:min val="-180"/>
        </c:scaling>
        <c:delete val="0"/>
        <c:axPos val="r"/>
        <c:numFmt formatCode="General" sourceLinked="1"/>
        <c:majorTickMark val="out"/>
        <c:minorTickMark val="none"/>
        <c:tickLblPos val="nextTo"/>
        <c:crossAx val="283589248"/>
        <c:crosses val="max"/>
        <c:crossBetween val="midCat"/>
        <c:majorUnit val="45"/>
      </c:valAx>
      <c:valAx>
        <c:axId val="283589248"/>
        <c:scaling>
          <c:logBase val="10"/>
          <c:orientation val="minMax"/>
        </c:scaling>
        <c:delete val="1"/>
        <c:axPos val="b"/>
        <c:numFmt formatCode="General" sourceLinked="1"/>
        <c:majorTickMark val="out"/>
        <c:minorTickMark val="none"/>
        <c:tickLblPos val="nextTo"/>
        <c:crossAx val="283586944"/>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Buck Mode Voltage Loop  </a:t>
            </a:r>
            <a:endParaRPr lang="en-US"/>
          </a:p>
        </c:rich>
      </c:tx>
      <c:overlay val="0"/>
    </c:title>
    <c:autoTitleDeleted val="0"/>
    <c:plotArea>
      <c:layout/>
      <c:scatterChart>
        <c:scatterStyle val="lineMarker"/>
        <c:varyColors val="0"/>
        <c:ser>
          <c:idx val="0"/>
          <c:order val="0"/>
          <c:tx>
            <c:v>Gain</c:v>
          </c:tx>
          <c:marker>
            <c:symbol val="none"/>
          </c:marker>
          <c:xVal>
            <c:numRef>
              <c:f>Compensation!$B$79:$B$133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Compensation!$Y$79:$Y$133</c:f>
              <c:numCache>
                <c:formatCode>General</c:formatCode>
                <c:ptCount val="55"/>
                <c:pt idx="0">
                  <c:v>82.142448069041123</c:v>
                </c:pt>
                <c:pt idx="1">
                  <c:v>76.121823393837573</c:v>
                </c:pt>
                <c:pt idx="2">
                  <c:v>72.599956943518137</c:v>
                </c:pt>
                <c:pt idx="3">
                  <c:v>70.101124435866325</c:v>
                </c:pt>
                <c:pt idx="4">
                  <c:v>68.16284989534131</c:v>
                </c:pt>
                <c:pt idx="5">
                  <c:v>66.579134190949119</c:v>
                </c:pt>
                <c:pt idx="6">
                  <c:v>65.240091114024153</c:v>
                </c:pt>
                <c:pt idx="7">
                  <c:v>64.080128391887541</c:v>
                </c:pt>
                <c:pt idx="8">
                  <c:v>63.056937665089833</c:v>
                </c:pt>
                <c:pt idx="9">
                  <c:v>62.141631084161645</c:v>
                </c:pt>
                <c:pt idx="10">
                  <c:v>56.118557455102987</c:v>
                </c:pt>
                <c:pt idx="11">
                  <c:v>52.592616071365505</c:v>
                </c:pt>
                <c:pt idx="12">
                  <c:v>50.088092590123409</c:v>
                </c:pt>
                <c:pt idx="13">
                  <c:v>48.142524861339204</c:v>
                </c:pt>
                <c:pt idx="14">
                  <c:v>46.549931377356771</c:v>
                </c:pt>
                <c:pt idx="15">
                  <c:v>45.20044723910749</c:v>
                </c:pt>
                <c:pt idx="16">
                  <c:v>44.028505036278951</c:v>
                </c:pt>
                <c:pt idx="17">
                  <c:v>42.991824670787999</c:v>
                </c:pt>
                <c:pt idx="18">
                  <c:v>42.06154978132907</c:v>
                </c:pt>
                <c:pt idx="19">
                  <c:v>35.816288293524565</c:v>
                </c:pt>
                <c:pt idx="20">
                  <c:v>31.970559602321668</c:v>
                </c:pt>
                <c:pt idx="21">
                  <c:v>29.099521193293626</c:v>
                </c:pt>
                <c:pt idx="22">
                  <c:v>26.782394487257051</c:v>
                </c:pt>
                <c:pt idx="23">
                  <c:v>24.840312201215767</c:v>
                </c:pt>
                <c:pt idx="24">
                  <c:v>23.1775700216307</c:v>
                </c:pt>
                <c:pt idx="25">
                  <c:v>21.733769382207694</c:v>
                </c:pt>
                <c:pt idx="26">
                  <c:v>20.466485919908159</c:v>
                </c:pt>
                <c:pt idx="27">
                  <c:v>19.344012330746374</c:v>
                </c:pt>
                <c:pt idx="28">
                  <c:v>12.497618191715254</c:v>
                </c:pt>
                <c:pt idx="29">
                  <c:v>9.0888174936948314</c:v>
                </c:pt>
                <c:pt idx="30">
                  <c:v>7.0092020776656341</c:v>
                </c:pt>
                <c:pt idx="31">
                  <c:v>5.6338124865026264</c:v>
                </c:pt>
                <c:pt idx="32">
                  <c:v>4.6899291157982024</c:v>
                </c:pt>
                <c:pt idx="33">
                  <c:v>4.031787798315527</c:v>
                </c:pt>
                <c:pt idx="34">
                  <c:v>3.5726398566391797</c:v>
                </c:pt>
                <c:pt idx="35">
                  <c:v>3.2576553655472349</c:v>
                </c:pt>
                <c:pt idx="36">
                  <c:v>3.0508831761988384</c:v>
                </c:pt>
                <c:pt idx="37">
                  <c:v>4.0004220107429536</c:v>
                </c:pt>
                <c:pt idx="38">
                  <c:v>5.8705477396738743</c:v>
                </c:pt>
                <c:pt idx="39">
                  <c:v>-1.3035425041289121</c:v>
                </c:pt>
                <c:pt idx="40">
                  <c:v>-8.2785516161869168</c:v>
                </c:pt>
                <c:pt idx="41">
                  <c:v>-13.564018101173168</c:v>
                </c:pt>
                <c:pt idx="42">
                  <c:v>-17.835883555065298</c:v>
                </c:pt>
                <c:pt idx="43">
                  <c:v>-21.448512369121925</c:v>
                </c:pt>
                <c:pt idx="44">
                  <c:v>-24.592710678489848</c:v>
                </c:pt>
                <c:pt idx="45">
                  <c:v>-27.38322860498608</c:v>
                </c:pt>
                <c:pt idx="46">
                  <c:v>-45.536781446890508</c:v>
                </c:pt>
                <c:pt idx="47">
                  <c:v>-56.109819594416976</c:v>
                </c:pt>
                <c:pt idx="48">
                  <c:v>-63.608047537936727</c:v>
                </c:pt>
                <c:pt idx="49">
                  <c:v>-69.423396964447676</c:v>
                </c:pt>
                <c:pt idx="50">
                  <c:v>-74.17464302785217</c:v>
                </c:pt>
                <c:pt idx="51">
                  <c:v>-78.19166221539497</c:v>
                </c:pt>
                <c:pt idx="52">
                  <c:v>-81.671311637145152</c:v>
                </c:pt>
                <c:pt idx="53">
                  <c:v>-84.740551678720507</c:v>
                </c:pt>
                <c:pt idx="54">
                  <c:v>-87.486063447663724</c:v>
                </c:pt>
              </c:numCache>
            </c:numRef>
          </c:yVal>
          <c:smooth val="0"/>
          <c:extLst>
            <c:ext xmlns:c16="http://schemas.microsoft.com/office/drawing/2014/chart" uri="{C3380CC4-5D6E-409C-BE32-E72D297353CC}">
              <c16:uniqueId val="{00000000-FC52-49B7-8C1A-7B022AC240DA}"/>
            </c:ext>
          </c:extLst>
        </c:ser>
        <c:ser>
          <c:idx val="2"/>
          <c:order val="2"/>
          <c:tx>
            <c:v>FPPlant</c:v>
          </c:tx>
          <c:spPr>
            <a:ln>
              <a:solidFill>
                <a:schemeClr val="tx1"/>
              </a:solidFill>
            </a:ln>
          </c:spPr>
          <c:marker>
            <c:symbol val="x"/>
            <c:size val="9"/>
            <c:spPr>
              <a:noFill/>
              <a:ln w="31750">
                <a:solidFill>
                  <a:srgbClr val="FF0000"/>
                </a:solidFill>
              </a:ln>
            </c:spPr>
          </c:marker>
          <c:dPt>
            <c:idx val="0"/>
            <c:marker>
              <c:symbol val="x"/>
              <c:size val="12"/>
            </c:marker>
            <c:bubble3D val="0"/>
            <c:spPr>
              <a:ln w="25400">
                <a:solidFill>
                  <a:schemeClr val="tx1"/>
                </a:solidFill>
              </a:ln>
            </c:spPr>
            <c:extLst>
              <c:ext xmlns:c16="http://schemas.microsoft.com/office/drawing/2014/chart" uri="{C3380CC4-5D6E-409C-BE32-E72D297353CC}">
                <c16:uniqueId val="{00000002-FC52-49B7-8C1A-7B022AC240DA}"/>
              </c:ext>
            </c:extLst>
          </c:dPt>
          <c:dLbls>
            <c:dLbl>
              <c:idx val="0"/>
              <c:tx>
                <c:rich>
                  <a:bodyPr/>
                  <a:lstStyle/>
                  <a:p>
                    <a:r>
                      <a:rPr lang="en-US" sz="1400" b="1"/>
                      <a:t>F</a:t>
                    </a:r>
                    <a:r>
                      <a:rPr lang="en-US" sz="1400" b="1" baseline="-25000"/>
                      <a:t>Pplant</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52-49B7-8C1A-7B022AC240D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Compensation!$B$137</c:f>
              <c:numCache>
                <c:formatCode>0.00</c:formatCode>
                <c:ptCount val="1"/>
                <c:pt idx="0">
                  <c:v>795.45653284633818</c:v>
                </c:pt>
              </c:numCache>
            </c:numRef>
          </c:xVal>
          <c:yVal>
            <c:numRef>
              <c:f>Compensation!$Y$137</c:f>
              <c:numCache>
                <c:formatCode>General</c:formatCode>
                <c:ptCount val="1"/>
                <c:pt idx="0">
                  <c:v>21.795266284451777</c:v>
                </c:pt>
              </c:numCache>
            </c:numRef>
          </c:yVal>
          <c:smooth val="0"/>
          <c:extLst>
            <c:ext xmlns:c16="http://schemas.microsoft.com/office/drawing/2014/chart" uri="{C3380CC4-5D6E-409C-BE32-E72D297353CC}">
              <c16:uniqueId val="{00000003-FC52-49B7-8C1A-7B022AC240DA}"/>
            </c:ext>
          </c:extLst>
        </c:ser>
        <c:ser>
          <c:idx val="3"/>
          <c:order val="3"/>
          <c:tx>
            <c:v>Fzcomp</c:v>
          </c:tx>
          <c:marker>
            <c:symbol val="circle"/>
            <c:size val="9"/>
            <c:spPr>
              <a:noFill/>
              <a:ln w="22225">
                <a:solidFill>
                  <a:schemeClr val="tx1"/>
                </a:solidFill>
              </a:ln>
            </c:spPr>
          </c:marker>
          <c:dLbls>
            <c:dLbl>
              <c:idx val="0"/>
              <c:tx>
                <c:rich>
                  <a:bodyPr/>
                  <a:lstStyle/>
                  <a:p>
                    <a:r>
                      <a:rPr lang="en-US" sz="1400" b="1"/>
                      <a:t>F</a:t>
                    </a:r>
                    <a:r>
                      <a:rPr lang="en-US" sz="1400" b="1" baseline="-25000"/>
                      <a:t>Zcomp</a:t>
                    </a:r>
                    <a:endParaRPr lang="en-US" b="1" baseline="-25000"/>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52-49B7-8C1A-7B022AC240DA}"/>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Compensation!$B$135</c:f>
              <c:numCache>
                <c:formatCode>General</c:formatCode>
                <c:ptCount val="1"/>
                <c:pt idx="0">
                  <c:v>1205.719265847692</c:v>
                </c:pt>
              </c:numCache>
            </c:numRef>
          </c:xVal>
          <c:yVal>
            <c:numRef>
              <c:f>Compensation!$Y$135</c:f>
              <c:numCache>
                <c:formatCode>General</c:formatCode>
                <c:ptCount val="1"/>
                <c:pt idx="0">
                  <c:v>17.39172870313968</c:v>
                </c:pt>
              </c:numCache>
            </c:numRef>
          </c:yVal>
          <c:smooth val="0"/>
          <c:extLst>
            <c:ext xmlns:c16="http://schemas.microsoft.com/office/drawing/2014/chart" uri="{C3380CC4-5D6E-409C-BE32-E72D297353CC}">
              <c16:uniqueId val="{00000005-FC52-49B7-8C1A-7B022AC240DA}"/>
            </c:ext>
          </c:extLst>
        </c:ser>
        <c:ser>
          <c:idx val="4"/>
          <c:order val="4"/>
          <c:tx>
            <c:v>Fpcomp</c:v>
          </c:tx>
          <c:marker>
            <c:symbol val="x"/>
            <c:size val="10"/>
            <c:spPr>
              <a:ln w="25400">
                <a:solidFill>
                  <a:schemeClr val="tx1"/>
                </a:solidFill>
              </a:ln>
            </c:spPr>
          </c:marker>
          <c:dLbls>
            <c:dLbl>
              <c:idx val="0"/>
              <c:tx>
                <c:rich>
                  <a:bodyPr/>
                  <a:lstStyle/>
                  <a:p>
                    <a:r>
                      <a:rPr lang="en-US" sz="1200" b="1"/>
                      <a:t>F</a:t>
                    </a:r>
                    <a:r>
                      <a:rPr lang="en-US" sz="1200" b="1" baseline="-25000"/>
                      <a:t>Pcomp</a:t>
                    </a:r>
                    <a:endParaRPr lang="en-US" b="1" baseline="-25000"/>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52-49B7-8C1A-7B022AC240DA}"/>
                </c:ext>
              </c:extLst>
            </c:dLbl>
            <c:spPr>
              <a:noFill/>
              <a:ln>
                <a:noFill/>
              </a:ln>
              <a:effectLst/>
            </c:spPr>
            <c:txPr>
              <a:bodyPr/>
              <a:lstStyle/>
              <a:p>
                <a:pPr>
                  <a:defRPr sz="1200"/>
                </a:pPr>
                <a:endParaRPr lang="zh-CN"/>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Compensation!$B$137</c:f>
              <c:numCache>
                <c:formatCode>0.00</c:formatCode>
                <c:ptCount val="1"/>
                <c:pt idx="0">
                  <c:v>795.45653284633818</c:v>
                </c:pt>
              </c:numCache>
            </c:numRef>
          </c:xVal>
          <c:yVal>
            <c:numRef>
              <c:f>Compensation!$Y$136</c:f>
              <c:numCache>
                <c:formatCode>General</c:formatCode>
                <c:ptCount val="1"/>
                <c:pt idx="0">
                  <c:v>-1.1327207566551016</c:v>
                </c:pt>
              </c:numCache>
            </c:numRef>
          </c:yVal>
          <c:smooth val="0"/>
          <c:extLst>
            <c:ext xmlns:c16="http://schemas.microsoft.com/office/drawing/2014/chart" uri="{C3380CC4-5D6E-409C-BE32-E72D297353CC}">
              <c16:uniqueId val="{00000007-FC52-49B7-8C1A-7B022AC240DA}"/>
            </c:ext>
          </c:extLst>
        </c:ser>
        <c:dLbls>
          <c:showLegendKey val="0"/>
          <c:showVal val="0"/>
          <c:showCatName val="0"/>
          <c:showSerName val="0"/>
          <c:showPercent val="0"/>
          <c:showBubbleSize val="0"/>
        </c:dLbls>
        <c:axId val="284427008"/>
        <c:axId val="284672000"/>
      </c:scatterChart>
      <c:scatterChart>
        <c:scatterStyle val="lineMarker"/>
        <c:varyColors val="0"/>
        <c:ser>
          <c:idx val="1"/>
          <c:order val="1"/>
          <c:tx>
            <c:v>Phase</c:v>
          </c:tx>
          <c:marker>
            <c:symbol val="none"/>
          </c:marker>
          <c:xVal>
            <c:numRef>
              <c:f>Compensation!$B$79:$B$133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Compensation!$Z$79:$Z$133</c:f>
              <c:numCache>
                <c:formatCode>General</c:formatCode>
                <c:ptCount val="55"/>
                <c:pt idx="0">
                  <c:v>89.965654379436486</c:v>
                </c:pt>
                <c:pt idx="1">
                  <c:v>89.931309220764049</c:v>
                </c:pt>
                <c:pt idx="2">
                  <c:v>89.896964985854524</c:v>
                </c:pt>
                <c:pt idx="3">
                  <c:v>89.862622136541219</c:v>
                </c:pt>
                <c:pt idx="4">
                  <c:v>89.82828113459972</c:v>
                </c:pt>
                <c:pt idx="5">
                  <c:v>89.793942441728547</c:v>
                </c:pt>
                <c:pt idx="6">
                  <c:v>89.759606519530067</c:v>
                </c:pt>
                <c:pt idx="7">
                  <c:v>89.725273829491087</c:v>
                </c:pt>
                <c:pt idx="8">
                  <c:v>89.690944832963808</c:v>
                </c:pt>
                <c:pt idx="9">
                  <c:v>89.656619991146485</c:v>
                </c:pt>
                <c:pt idx="10">
                  <c:v>89.313701397246788</c:v>
                </c:pt>
                <c:pt idx="11">
                  <c:v>88.971703713679673</c:v>
                </c:pt>
                <c:pt idx="12">
                  <c:v>88.63108261457981</c:v>
                </c:pt>
                <c:pt idx="13">
                  <c:v>88.292288086681111</c:v>
                </c:pt>
                <c:pt idx="14">
                  <c:v>87.955762615683014</c:v>
                </c:pt>
                <c:pt idx="15">
                  <c:v>87.621939441282038</c:v>
                </c:pt>
                <c:pt idx="16">
                  <c:v>87.291240895881401</c:v>
                </c:pt>
                <c:pt idx="17">
                  <c:v>86.964076840646882</c:v>
                </c:pt>
                <c:pt idx="18">
                  <c:v>86.640843211027487</c:v>
                </c:pt>
                <c:pt idx="19">
                  <c:v>83.699560801764761</c:v>
                </c:pt>
                <c:pt idx="20">
                  <c:v>81.449569623200958</c:v>
                </c:pt>
                <c:pt idx="21">
                  <c:v>79.972872956775177</c:v>
                </c:pt>
                <c:pt idx="22">
                  <c:v>79.206929679651353</c:v>
                </c:pt>
                <c:pt idx="23">
                  <c:v>79.020032891132473</c:v>
                </c:pt>
                <c:pt idx="24">
                  <c:v>79.268423635606567</c:v>
                </c:pt>
                <c:pt idx="25">
                  <c:v>79.825452262306982</c:v>
                </c:pt>
                <c:pt idx="26">
                  <c:v>80.590888175856676</c:v>
                </c:pt>
                <c:pt idx="27">
                  <c:v>81.490164932486238</c:v>
                </c:pt>
                <c:pt idx="28">
                  <c:v>91.438291513749789</c:v>
                </c:pt>
                <c:pt idx="29">
                  <c:v>99.279114131080945</c:v>
                </c:pt>
                <c:pt idx="30">
                  <c:v>105.23437147544165</c:v>
                </c:pt>
                <c:pt idx="31">
                  <c:v>109.81075328478346</c:v>
                </c:pt>
                <c:pt idx="32">
                  <c:v>113.29579899008216</c:v>
                </c:pt>
                <c:pt idx="33">
                  <c:v>115.88320058825451</c:v>
                </c:pt>
                <c:pt idx="34">
                  <c:v>117.72097257374156</c:v>
                </c:pt>
                <c:pt idx="35">
                  <c:v>118.92708071408944</c:v>
                </c:pt>
                <c:pt idx="36">
                  <c:v>119.59565625502651</c:v>
                </c:pt>
                <c:pt idx="37">
                  <c:v>105.99433168515522</c:v>
                </c:pt>
                <c:pt idx="38">
                  <c:v>46.335417527428554</c:v>
                </c:pt>
                <c:pt idx="39">
                  <c:v>-13.288663724154105</c:v>
                </c:pt>
                <c:pt idx="40">
                  <c:v>-34.149103471026486</c:v>
                </c:pt>
                <c:pt idx="41">
                  <c:v>-44.61011847253117</c:v>
                </c:pt>
                <c:pt idx="42">
                  <c:v>-51.340221603364895</c:v>
                </c:pt>
                <c:pt idx="43">
                  <c:v>-56.193556117315225</c:v>
                </c:pt>
                <c:pt idx="44">
                  <c:v>-59.91454049012232</c:v>
                </c:pt>
                <c:pt idx="45">
                  <c:v>-62.878543641176236</c:v>
                </c:pt>
                <c:pt idx="46">
                  <c:v>-76.304893416930156</c:v>
                </c:pt>
                <c:pt idx="47">
                  <c:v>-80.845994196749032</c:v>
                </c:pt>
                <c:pt idx="48">
                  <c:v>-83.127787567127243</c:v>
                </c:pt>
                <c:pt idx="49">
                  <c:v>-84.499685721329485</c:v>
                </c:pt>
                <c:pt idx="50">
                  <c:v>-85.415239590886898</c:v>
                </c:pt>
                <c:pt idx="51">
                  <c:v>-86.069599241352591</c:v>
                </c:pt>
                <c:pt idx="52">
                  <c:v>-86.560553729848266</c:v>
                </c:pt>
                <c:pt idx="53">
                  <c:v>-86.942503247180284</c:v>
                </c:pt>
                <c:pt idx="54">
                  <c:v>-87.248116720891403</c:v>
                </c:pt>
              </c:numCache>
            </c:numRef>
          </c:yVal>
          <c:smooth val="0"/>
          <c:extLst>
            <c:ext xmlns:c16="http://schemas.microsoft.com/office/drawing/2014/chart" uri="{C3380CC4-5D6E-409C-BE32-E72D297353CC}">
              <c16:uniqueId val="{00000008-FC52-49B7-8C1A-7B022AC240DA}"/>
            </c:ext>
          </c:extLst>
        </c:ser>
        <c:dLbls>
          <c:showLegendKey val="0"/>
          <c:showVal val="0"/>
          <c:showCatName val="0"/>
          <c:showSerName val="0"/>
          <c:showPercent val="0"/>
          <c:showBubbleSize val="0"/>
        </c:dLbls>
        <c:axId val="340130432"/>
        <c:axId val="340128128"/>
      </c:scatterChart>
      <c:valAx>
        <c:axId val="284427008"/>
        <c:scaling>
          <c:logBase val="10"/>
          <c:orientation val="minMax"/>
          <c:min val="10"/>
        </c:scaling>
        <c:delete val="0"/>
        <c:axPos val="b"/>
        <c:majorGridlines/>
        <c:minorGridlines/>
        <c:title>
          <c:tx>
            <c:rich>
              <a:bodyPr/>
              <a:lstStyle/>
              <a:p>
                <a:pPr>
                  <a:defRPr/>
                </a:pPr>
                <a:r>
                  <a:rPr lang="en-US"/>
                  <a:t>Frequency</a:t>
                </a:r>
                <a:r>
                  <a:rPr lang="en-US" baseline="0"/>
                  <a:t> (Hz)</a:t>
                </a:r>
                <a:endParaRPr lang="en-US"/>
              </a:p>
            </c:rich>
          </c:tx>
          <c:overlay val="0"/>
        </c:title>
        <c:numFmt formatCode="General" sourceLinked="1"/>
        <c:majorTickMark val="out"/>
        <c:minorTickMark val="cross"/>
        <c:tickLblPos val="low"/>
        <c:crossAx val="284672000"/>
        <c:crosses val="autoZero"/>
        <c:crossBetween val="midCat"/>
      </c:valAx>
      <c:valAx>
        <c:axId val="284672000"/>
        <c:scaling>
          <c:orientation val="minMax"/>
          <c:max val="60"/>
          <c:min val="-40"/>
        </c:scaling>
        <c:delete val="0"/>
        <c:axPos val="l"/>
        <c:majorGridlines/>
        <c:title>
          <c:tx>
            <c:rich>
              <a:bodyPr rot="-5400000" vert="horz"/>
              <a:lstStyle/>
              <a:p>
                <a:pPr>
                  <a:defRPr/>
                </a:pPr>
                <a:r>
                  <a:rPr lang="en-US"/>
                  <a:t>Loop Gain (dB)</a:t>
                </a:r>
              </a:p>
            </c:rich>
          </c:tx>
          <c:overlay val="0"/>
        </c:title>
        <c:numFmt formatCode="General" sourceLinked="1"/>
        <c:majorTickMark val="out"/>
        <c:minorTickMark val="none"/>
        <c:tickLblPos val="nextTo"/>
        <c:crossAx val="284427008"/>
        <c:crosses val="autoZero"/>
        <c:crossBetween val="midCat"/>
        <c:majorUnit val="20"/>
      </c:valAx>
      <c:valAx>
        <c:axId val="340128128"/>
        <c:scaling>
          <c:orientation val="minMax"/>
          <c:max val="180"/>
          <c:min val="-180"/>
        </c:scaling>
        <c:delete val="0"/>
        <c:axPos val="r"/>
        <c:title>
          <c:tx>
            <c:rich>
              <a:bodyPr rot="-5400000" vert="horz"/>
              <a:lstStyle/>
              <a:p>
                <a:pPr>
                  <a:defRPr/>
                </a:pPr>
                <a:r>
                  <a:rPr lang="en-US"/>
                  <a:t>Loop Phase Margin (deg)</a:t>
                </a:r>
              </a:p>
            </c:rich>
          </c:tx>
          <c:overlay val="0"/>
        </c:title>
        <c:numFmt formatCode="General" sourceLinked="1"/>
        <c:majorTickMark val="out"/>
        <c:minorTickMark val="none"/>
        <c:tickLblPos val="nextTo"/>
        <c:crossAx val="340130432"/>
        <c:crosses val="max"/>
        <c:crossBetween val="midCat"/>
        <c:majorUnit val="45"/>
      </c:valAx>
      <c:valAx>
        <c:axId val="340130432"/>
        <c:scaling>
          <c:logBase val="10"/>
          <c:orientation val="minMax"/>
        </c:scaling>
        <c:delete val="1"/>
        <c:axPos val="b"/>
        <c:numFmt formatCode="General" sourceLinked="1"/>
        <c:majorTickMark val="out"/>
        <c:minorTickMark val="none"/>
        <c:tickLblPos val="nextTo"/>
        <c:crossAx val="340128128"/>
        <c:crosses val="autoZero"/>
        <c:crossBetween val="midCat"/>
      </c:valAx>
    </c:plotArea>
    <c:legend>
      <c:legendPos val="l"/>
      <c:legendEntry>
        <c:idx val="1"/>
        <c:delete val="1"/>
      </c:legendEntry>
      <c:legendEntry>
        <c:idx val="2"/>
        <c:delete val="1"/>
      </c:legendEntry>
      <c:legendEntry>
        <c:idx val="3"/>
        <c:delete val="1"/>
      </c:legendEntry>
      <c:layout>
        <c:manualLayout>
          <c:xMode val="edge"/>
          <c:yMode val="edge"/>
          <c:x val="0.79304241813100085"/>
          <c:y val="2.6664513567886527E-2"/>
          <c:w val="0.11678001490904641"/>
          <c:h val="9.5033720657239265E-2"/>
        </c:manualLayout>
      </c:layout>
      <c:overlay val="1"/>
      <c:spPr>
        <a:noFill/>
      </c:sp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Buck Mode Voltage Loop  </a:t>
            </a:r>
            <a:endParaRPr lang="en-US"/>
          </a:p>
        </c:rich>
      </c:tx>
      <c:overlay val="0"/>
    </c:title>
    <c:autoTitleDeleted val="0"/>
    <c:plotArea>
      <c:layout/>
      <c:scatterChart>
        <c:scatterStyle val="lineMarker"/>
        <c:varyColors val="0"/>
        <c:ser>
          <c:idx val="0"/>
          <c:order val="0"/>
          <c:tx>
            <c:v>Gain</c:v>
          </c:tx>
          <c:marker>
            <c:symbol val="none"/>
          </c:marker>
          <c:xVal>
            <c:numRef>
              <c:f>Compensation!$B$169:$B$223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Compensation!$Y$169:$Y$223</c:f>
              <c:numCache>
                <c:formatCode>General</c:formatCode>
                <c:ptCount val="55"/>
                <c:pt idx="0">
                  <c:v>83.475157785916963</c:v>
                </c:pt>
                <c:pt idx="1">
                  <c:v>77.455091214922575</c:v>
                </c:pt>
                <c:pt idx="2">
                  <c:v>73.934154594599647</c:v>
                </c:pt>
                <c:pt idx="3">
                  <c:v>71.436623127755794</c:v>
                </c:pt>
                <c:pt idx="4">
                  <c:v>69.500020118989397</c:v>
                </c:pt>
                <c:pt idx="5">
                  <c:v>67.918345513660256</c:v>
                </c:pt>
                <c:pt idx="6">
                  <c:v>66.581711977081071</c:v>
                </c:pt>
                <c:pt idx="7">
                  <c:v>65.424525909888686</c:v>
                </c:pt>
                <c:pt idx="8">
                  <c:v>64.404477427301487</c:v>
                </c:pt>
                <c:pt idx="9">
                  <c:v>63.492676958175316</c:v>
                </c:pt>
                <c:pt idx="10">
                  <c:v>57.524164011189285</c:v>
                </c:pt>
                <c:pt idx="11">
                  <c:v>54.085950808151146</c:v>
                </c:pt>
                <c:pt idx="12">
                  <c:v>51.69798764323474</c:v>
                </c:pt>
                <c:pt idx="13">
                  <c:v>49.892562807937693</c:v>
                </c:pt>
                <c:pt idx="14">
                  <c:v>48.458105922684631</c:v>
                </c:pt>
                <c:pt idx="15">
                  <c:v>47.279319865597749</c:v>
                </c:pt>
                <c:pt idx="16">
                  <c:v>46.285720168640843</c:v>
                </c:pt>
                <c:pt idx="17">
                  <c:v>45.430833357280676</c:v>
                </c:pt>
                <c:pt idx="18">
                  <c:v>44.682411629373306</c:v>
                </c:pt>
                <c:pt idx="19">
                  <c:v>39.953274737276075</c:v>
                </c:pt>
                <c:pt idx="20">
                  <c:v>37.073831214812564</c:v>
                </c:pt>
                <c:pt idx="21">
                  <c:v>34.901335330815684</c:v>
                </c:pt>
                <c:pt idx="22">
                  <c:v>33.151543416221983</c:v>
                </c:pt>
                <c:pt idx="23">
                  <c:v>31.691173430229917</c:v>
                </c:pt>
                <c:pt idx="24">
                  <c:v>30.441620363739151</c:v>
                </c:pt>
                <c:pt idx="25">
                  <c:v>29.35202107590079</c:v>
                </c:pt>
                <c:pt idx="26">
                  <c:v>28.387647424293117</c:v>
                </c:pt>
                <c:pt idx="27">
                  <c:v>27.52384599195819</c:v>
                </c:pt>
                <c:pt idx="28">
                  <c:v>21.9128657007284</c:v>
                </c:pt>
                <c:pt idx="29">
                  <c:v>18.851637533075806</c:v>
                </c:pt>
                <c:pt idx="30">
                  <c:v>16.923165668776569</c:v>
                </c:pt>
                <c:pt idx="31">
                  <c:v>15.652904528751588</c:v>
                </c:pt>
                <c:pt idx="32">
                  <c:v>14.812383111287499</c:v>
                </c:pt>
                <c:pt idx="33">
                  <c:v>14.269675309271292</c:v>
                </c:pt>
                <c:pt idx="34">
                  <c:v>13.940695376859747</c:v>
                </c:pt>
                <c:pt idx="35">
                  <c:v>13.768942867756328</c:v>
                </c:pt>
                <c:pt idx="36">
                  <c:v>13.715415109762084</c:v>
                </c:pt>
                <c:pt idx="37">
                  <c:v>16.331563970507151</c:v>
                </c:pt>
                <c:pt idx="38">
                  <c:v>19.919429296394995</c:v>
                </c:pt>
                <c:pt idx="39">
                  <c:v>13.59507472595717</c:v>
                </c:pt>
                <c:pt idx="40">
                  <c:v>7.6598467878028966</c:v>
                </c:pt>
                <c:pt idx="41">
                  <c:v>3.4193683183879262</c:v>
                </c:pt>
                <c:pt idx="42">
                  <c:v>0.12991432315882648</c:v>
                </c:pt>
                <c:pt idx="43">
                  <c:v>-2.5711471454940886</c:v>
                </c:pt>
                <c:pt idx="44">
                  <c:v>-4.8715758333194072</c:v>
                </c:pt>
                <c:pt idx="45">
                  <c:v>-6.8802429833806151</c:v>
                </c:pt>
                <c:pt idx="46">
                  <c:v>-19.472168681175997</c:v>
                </c:pt>
                <c:pt idx="47">
                  <c:v>-26.614589688185298</c:v>
                </c:pt>
                <c:pt idx="48">
                  <c:v>-31.646475646113252</c:v>
                </c:pt>
                <c:pt idx="49">
                  <c:v>-35.538728294629472</c:v>
                </c:pt>
                <c:pt idx="50">
                  <c:v>-38.714578376301745</c:v>
                </c:pt>
                <c:pt idx="51">
                  <c:v>-41.39763196620806</c:v>
                </c:pt>
                <c:pt idx="52">
                  <c:v>-43.72067168944865</c:v>
                </c:pt>
                <c:pt idx="53">
                  <c:v>-45.769076785390858</c:v>
                </c:pt>
                <c:pt idx="54">
                  <c:v>-47.601024252232726</c:v>
                </c:pt>
              </c:numCache>
            </c:numRef>
          </c:yVal>
          <c:smooth val="0"/>
          <c:extLst>
            <c:ext xmlns:c16="http://schemas.microsoft.com/office/drawing/2014/chart" uri="{C3380CC4-5D6E-409C-BE32-E72D297353CC}">
              <c16:uniqueId val="{00000000-D17A-4B54-B998-584B74E60C6B}"/>
            </c:ext>
          </c:extLst>
        </c:ser>
        <c:ser>
          <c:idx val="2"/>
          <c:order val="2"/>
          <c:tx>
            <c:v>FPPlant</c:v>
          </c:tx>
          <c:spPr>
            <a:ln>
              <a:solidFill>
                <a:schemeClr val="tx1"/>
              </a:solidFill>
            </a:ln>
          </c:spPr>
          <c:marker>
            <c:symbol val="x"/>
            <c:size val="9"/>
            <c:spPr>
              <a:noFill/>
              <a:ln w="31750">
                <a:solidFill>
                  <a:srgbClr val="FF0000"/>
                </a:solidFill>
              </a:ln>
            </c:spPr>
          </c:marker>
          <c:dPt>
            <c:idx val="0"/>
            <c:marker>
              <c:symbol val="x"/>
              <c:size val="12"/>
            </c:marker>
            <c:bubble3D val="0"/>
            <c:spPr>
              <a:ln w="25400">
                <a:solidFill>
                  <a:schemeClr val="tx1"/>
                </a:solidFill>
              </a:ln>
            </c:spPr>
            <c:extLst>
              <c:ext xmlns:c16="http://schemas.microsoft.com/office/drawing/2014/chart" uri="{C3380CC4-5D6E-409C-BE32-E72D297353CC}">
                <c16:uniqueId val="{00000002-D17A-4B54-B998-584B74E60C6B}"/>
              </c:ext>
            </c:extLst>
          </c:dPt>
          <c:dLbls>
            <c:dLbl>
              <c:idx val="0"/>
              <c:tx>
                <c:rich>
                  <a:bodyPr/>
                  <a:lstStyle/>
                  <a:p>
                    <a:r>
                      <a:rPr lang="en-US" sz="1400" b="1"/>
                      <a:t>F</a:t>
                    </a:r>
                    <a:r>
                      <a:rPr lang="en-US" sz="1400" b="1" baseline="-25000"/>
                      <a:t>Pplant</a:t>
                    </a:r>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7A-4B54-B998-584B74E60C6B}"/>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Compensation!$B$227</c:f>
              <c:numCache>
                <c:formatCode>General</c:formatCode>
                <c:ptCount val="1"/>
                <c:pt idx="0">
                  <c:v>196.49015105278153</c:v>
                </c:pt>
              </c:numCache>
            </c:numRef>
          </c:xVal>
          <c:yVal>
            <c:numRef>
              <c:f>Compensation!$Y$227</c:f>
              <c:numCache>
                <c:formatCode>General</c:formatCode>
                <c:ptCount val="1"/>
                <c:pt idx="0">
                  <c:v>40.074789397091493</c:v>
                </c:pt>
              </c:numCache>
            </c:numRef>
          </c:yVal>
          <c:smooth val="0"/>
          <c:extLst>
            <c:ext xmlns:c16="http://schemas.microsoft.com/office/drawing/2014/chart" uri="{C3380CC4-5D6E-409C-BE32-E72D297353CC}">
              <c16:uniqueId val="{00000003-D17A-4B54-B998-584B74E60C6B}"/>
            </c:ext>
          </c:extLst>
        </c:ser>
        <c:ser>
          <c:idx val="3"/>
          <c:order val="3"/>
          <c:tx>
            <c:v>Fzcomp</c:v>
          </c:tx>
          <c:marker>
            <c:symbol val="circle"/>
            <c:size val="9"/>
            <c:spPr>
              <a:noFill/>
              <a:ln w="22225">
                <a:solidFill>
                  <a:schemeClr val="tx1"/>
                </a:solidFill>
              </a:ln>
            </c:spPr>
          </c:marker>
          <c:dLbls>
            <c:dLbl>
              <c:idx val="0"/>
              <c:tx>
                <c:rich>
                  <a:bodyPr/>
                  <a:lstStyle/>
                  <a:p>
                    <a:r>
                      <a:rPr lang="en-US" sz="1400" b="1"/>
                      <a:t>F</a:t>
                    </a:r>
                    <a:r>
                      <a:rPr lang="en-US" sz="1400" b="1" baseline="-25000"/>
                      <a:t>Zcomp</a:t>
                    </a:r>
                    <a:endParaRPr lang="en-US" b="1" baseline="-25000"/>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7A-4B54-B998-584B74E60C6B}"/>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Compensation!$B$225</c:f>
              <c:numCache>
                <c:formatCode>0.00</c:formatCode>
                <c:ptCount val="1"/>
                <c:pt idx="0">
                  <c:v>120.5719265847692</c:v>
                </c:pt>
              </c:numCache>
            </c:numRef>
          </c:xVal>
          <c:yVal>
            <c:numRef>
              <c:f>Compensation!$Y$225</c:f>
              <c:numCache>
                <c:formatCode>General</c:formatCode>
                <c:ptCount val="1"/>
                <c:pt idx="0">
                  <c:v>43.385823982233717</c:v>
                </c:pt>
              </c:numCache>
            </c:numRef>
          </c:yVal>
          <c:smooth val="0"/>
          <c:extLst>
            <c:ext xmlns:c16="http://schemas.microsoft.com/office/drawing/2014/chart" uri="{C3380CC4-5D6E-409C-BE32-E72D297353CC}">
              <c16:uniqueId val="{00000005-D17A-4B54-B998-584B74E60C6B}"/>
            </c:ext>
          </c:extLst>
        </c:ser>
        <c:ser>
          <c:idx val="4"/>
          <c:order val="4"/>
          <c:tx>
            <c:v>Fpcomp</c:v>
          </c:tx>
          <c:marker>
            <c:symbol val="x"/>
            <c:size val="10"/>
            <c:spPr>
              <a:ln w="25400">
                <a:solidFill>
                  <a:schemeClr val="tx1"/>
                </a:solidFill>
              </a:ln>
            </c:spPr>
          </c:marker>
          <c:dLbls>
            <c:dLbl>
              <c:idx val="0"/>
              <c:tx>
                <c:rich>
                  <a:bodyPr/>
                  <a:lstStyle/>
                  <a:p>
                    <a:r>
                      <a:rPr lang="en-US" sz="1200" b="1"/>
                      <a:t>F</a:t>
                    </a:r>
                    <a:r>
                      <a:rPr lang="en-US" sz="1200" b="1" baseline="-25000"/>
                      <a:t>Pcomp</a:t>
                    </a:r>
                    <a:endParaRPr lang="en-US" b="1" baseline="-25000"/>
                  </a:p>
                </c:rich>
              </c:tx>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7A-4B54-B998-584B74E60C6B}"/>
                </c:ext>
              </c:extLst>
            </c:dLbl>
            <c:spPr>
              <a:noFill/>
              <a:ln>
                <a:noFill/>
              </a:ln>
              <a:effectLst/>
            </c:spPr>
            <c:txPr>
              <a:bodyPr/>
              <a:lstStyle/>
              <a:p>
                <a:pPr>
                  <a:defRPr sz="1200"/>
                </a:pPr>
                <a:endParaRPr lang="zh-CN"/>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Compensation!$B$226</c:f>
              <c:numCache>
                <c:formatCode>General</c:formatCode>
                <c:ptCount val="1"/>
                <c:pt idx="0">
                  <c:v>15915.494309189533</c:v>
                </c:pt>
              </c:numCache>
            </c:numRef>
          </c:xVal>
          <c:yVal>
            <c:numRef>
              <c:f>Compensation!$Y$226</c:f>
              <c:numCache>
                <c:formatCode>General</c:formatCode>
                <c:ptCount val="1"/>
                <c:pt idx="0">
                  <c:v>14.777892312683669</c:v>
                </c:pt>
              </c:numCache>
            </c:numRef>
          </c:yVal>
          <c:smooth val="0"/>
          <c:extLst>
            <c:ext xmlns:c16="http://schemas.microsoft.com/office/drawing/2014/chart" uri="{C3380CC4-5D6E-409C-BE32-E72D297353CC}">
              <c16:uniqueId val="{00000007-D17A-4B54-B998-584B74E60C6B}"/>
            </c:ext>
          </c:extLst>
        </c:ser>
        <c:ser>
          <c:idx val="5"/>
          <c:order val="5"/>
          <c:tx>
            <c:v>FRHPZERO</c:v>
          </c:tx>
          <c:spPr>
            <a:ln>
              <a:solidFill>
                <a:srgbClr val="FFC000"/>
              </a:solidFill>
            </a:ln>
          </c:spPr>
          <c:marker>
            <c:symbol val="circle"/>
            <c:size val="10"/>
            <c:spPr>
              <a:noFill/>
              <a:ln w="28575">
                <a:solidFill>
                  <a:srgbClr val="FF0000"/>
                </a:solidFill>
              </a:ln>
            </c:spPr>
          </c:marker>
          <c:dLbls>
            <c:dLbl>
              <c:idx val="0"/>
              <c:tx>
                <c:rich>
                  <a:bodyPr/>
                  <a:lstStyle/>
                  <a:p>
                    <a:r>
                      <a:rPr lang="en-US" sz="1400" b="1"/>
                      <a:t>F</a:t>
                    </a:r>
                    <a:r>
                      <a:rPr lang="en-US" sz="1400" b="1" baseline="-25000"/>
                      <a:t>RHPzero</a:t>
                    </a:r>
                    <a:endParaRPr lang="en-US" b="1" baseline="-25000"/>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17A-4B54-B998-584B74E60C6B}"/>
                </c:ext>
              </c:extLst>
            </c:dLbl>
            <c:spPr>
              <a:noFill/>
              <a:ln>
                <a:noFill/>
              </a:ln>
              <a:effectLst/>
            </c:spPr>
            <c:txPr>
              <a:bodyPr/>
              <a:lstStyle/>
              <a:p>
                <a:pPr>
                  <a:defRPr sz="1400"/>
                </a:pPr>
                <a:endParaRPr lang="zh-CN"/>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Compensation!$B$228</c:f>
              <c:numCache>
                <c:formatCode>General</c:formatCode>
                <c:ptCount val="1"/>
                <c:pt idx="0">
                  <c:v>9208.2502788882321</c:v>
                </c:pt>
              </c:numCache>
            </c:numRef>
          </c:xVal>
          <c:yVal>
            <c:numRef>
              <c:f>Compensation!$Y$228</c:f>
              <c:numCache>
                <c:formatCode>General</c:formatCode>
                <c:ptCount val="1"/>
                <c:pt idx="0">
                  <c:v>13.749100412004761</c:v>
                </c:pt>
              </c:numCache>
            </c:numRef>
          </c:yVal>
          <c:smooth val="0"/>
          <c:extLst>
            <c:ext xmlns:c16="http://schemas.microsoft.com/office/drawing/2014/chart" uri="{C3380CC4-5D6E-409C-BE32-E72D297353CC}">
              <c16:uniqueId val="{00000009-D17A-4B54-B998-584B74E60C6B}"/>
            </c:ext>
          </c:extLst>
        </c:ser>
        <c:dLbls>
          <c:showLegendKey val="0"/>
          <c:showVal val="0"/>
          <c:showCatName val="0"/>
          <c:showSerName val="0"/>
          <c:showPercent val="0"/>
          <c:showBubbleSize val="0"/>
        </c:dLbls>
        <c:axId val="178864896"/>
        <c:axId val="178866816"/>
      </c:scatterChart>
      <c:scatterChart>
        <c:scatterStyle val="lineMarker"/>
        <c:varyColors val="0"/>
        <c:ser>
          <c:idx val="1"/>
          <c:order val="1"/>
          <c:tx>
            <c:v>Phase</c:v>
          </c:tx>
          <c:marker>
            <c:symbol val="none"/>
          </c:marker>
          <c:xVal>
            <c:numRef>
              <c:f>Compensation!$B$169:$B$223</c:f>
              <c:numCache>
                <c:formatCode>General</c:formatCode>
                <c:ptCount val="55"/>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numCache>
            </c:numRef>
          </c:xVal>
          <c:yVal>
            <c:numRef>
              <c:f>Compensation!$Z$169:$Z$223</c:f>
              <c:numCache>
                <c:formatCode>General</c:formatCode>
                <c:ptCount val="55"/>
                <c:pt idx="0">
                  <c:v>90.169598219588622</c:v>
                </c:pt>
                <c:pt idx="1">
                  <c:v>90.339147975351096</c:v>
                </c:pt>
                <c:pt idx="2">
                  <c:v>90.508600851723116</c:v>
                </c:pt>
                <c:pt idx="3">
                  <c:v>90.6779085295573</c:v>
                </c:pt>
                <c:pt idx="4">
                  <c:v>90.847022834066308</c:v>
                </c:pt>
                <c:pt idx="5">
                  <c:v>91.015895782447956</c:v>
                </c:pt>
                <c:pt idx="6">
                  <c:v>91.184479631088891</c:v>
                </c:pt>
                <c:pt idx="7">
                  <c:v>91.352726922244273</c:v>
                </c:pt>
                <c:pt idx="8">
                  <c:v>91.520590530093941</c:v>
                </c:pt>
                <c:pt idx="9">
                  <c:v>91.688023706075668</c:v>
                </c:pt>
                <c:pt idx="10">
                  <c:v>93.328752872120319</c:v>
                </c:pt>
                <c:pt idx="11">
                  <c:v>94.879386740818433</c:v>
                </c:pt>
                <c:pt idx="12">
                  <c:v>96.305202775463798</c:v>
                </c:pt>
                <c:pt idx="13">
                  <c:v>97.581635765297875</c:v>
                </c:pt>
                <c:pt idx="14">
                  <c:v>98.694721397403782</c:v>
                </c:pt>
                <c:pt idx="15">
                  <c:v>99.640183099817577</c:v>
                </c:pt>
                <c:pt idx="16">
                  <c:v>100.42166014254049</c:v>
                </c:pt>
                <c:pt idx="17">
                  <c:v>101.04859217384977</c:v>
                </c:pt>
                <c:pt idx="18">
                  <c:v>101.53416067114124</c:v>
                </c:pt>
                <c:pt idx="19">
                  <c:v>101.75422465813078</c:v>
                </c:pt>
                <c:pt idx="20">
                  <c:v>99.457291921305227</c:v>
                </c:pt>
                <c:pt idx="21">
                  <c:v>97.316789392601123</c:v>
                </c:pt>
                <c:pt idx="22">
                  <c:v>95.582696708262432</c:v>
                </c:pt>
                <c:pt idx="23">
                  <c:v>94.165148767325277</c:v>
                </c:pt>
                <c:pt idx="24">
                  <c:v>92.967745503640174</c:v>
                </c:pt>
                <c:pt idx="25">
                  <c:v>91.923051951843505</c:v>
                </c:pt>
                <c:pt idx="26">
                  <c:v>90.986918282040818</c:v>
                </c:pt>
                <c:pt idx="27">
                  <c:v>90.130418729994702</c:v>
                </c:pt>
                <c:pt idx="28">
                  <c:v>83.525739559106995</c:v>
                </c:pt>
                <c:pt idx="29">
                  <c:v>78.232897666911612</c:v>
                </c:pt>
                <c:pt idx="30">
                  <c:v>73.412844023858796</c:v>
                </c:pt>
                <c:pt idx="31">
                  <c:v>68.865856187764805</c:v>
                </c:pt>
                <c:pt idx="32">
                  <c:v>64.521138765228997</c:v>
                </c:pt>
                <c:pt idx="33">
                  <c:v>60.345423618064096</c:v>
                </c:pt>
                <c:pt idx="34">
                  <c:v>56.317673516394564</c:v>
                </c:pt>
                <c:pt idx="35">
                  <c:v>52.420526954097227</c:v>
                </c:pt>
                <c:pt idx="36">
                  <c:v>48.636998874768764</c:v>
                </c:pt>
                <c:pt idx="37">
                  <c:v>11.811139576113044</c:v>
                </c:pt>
                <c:pt idx="38">
                  <c:v>-56.482589642421352</c:v>
                </c:pt>
                <c:pt idx="39">
                  <c:v>-119.11059497753781</c:v>
                </c:pt>
                <c:pt idx="40">
                  <c:v>-139.02833706459555</c:v>
                </c:pt>
                <c:pt idx="41">
                  <c:v>-148.27726086255629</c:v>
                </c:pt>
                <c:pt idx="42">
                  <c:v>-153.8282455218297</c:v>
                </c:pt>
                <c:pt idx="43">
                  <c:v>-157.61122353244636</c:v>
                </c:pt>
                <c:pt idx="44">
                  <c:v>-160.38649903493882</c:v>
                </c:pt>
                <c:pt idx="45">
                  <c:v>-162.52303928481791</c:v>
                </c:pt>
                <c:pt idx="46">
                  <c:v>-171.51631258353268</c:v>
                </c:pt>
                <c:pt idx="47">
                  <c:v>-174.37307527401998</c:v>
                </c:pt>
                <c:pt idx="48">
                  <c:v>-175.78725042146971</c:v>
                </c:pt>
                <c:pt idx="49">
                  <c:v>-176.63253825839422</c:v>
                </c:pt>
                <c:pt idx="50">
                  <c:v>-177.19501721192393</c:v>
                </c:pt>
                <c:pt idx="51">
                  <c:v>-177.5963663146641</c:v>
                </c:pt>
                <c:pt idx="52">
                  <c:v>-177.89718202493253</c:v>
                </c:pt>
                <c:pt idx="53">
                  <c:v>-178.13104860388972</c:v>
                </c:pt>
                <c:pt idx="54">
                  <c:v>-178.31808538491816</c:v>
                </c:pt>
              </c:numCache>
            </c:numRef>
          </c:yVal>
          <c:smooth val="0"/>
          <c:extLst>
            <c:ext xmlns:c16="http://schemas.microsoft.com/office/drawing/2014/chart" uri="{C3380CC4-5D6E-409C-BE32-E72D297353CC}">
              <c16:uniqueId val="{0000000A-D17A-4B54-B998-584B74E60C6B}"/>
            </c:ext>
          </c:extLst>
        </c:ser>
        <c:dLbls>
          <c:showLegendKey val="0"/>
          <c:showVal val="0"/>
          <c:showCatName val="0"/>
          <c:showSerName val="0"/>
          <c:showPercent val="0"/>
          <c:showBubbleSize val="0"/>
        </c:dLbls>
        <c:axId val="178879104"/>
        <c:axId val="178877184"/>
      </c:scatterChart>
      <c:valAx>
        <c:axId val="178864896"/>
        <c:scaling>
          <c:logBase val="10"/>
          <c:orientation val="minMax"/>
          <c:min val="10"/>
        </c:scaling>
        <c:delete val="0"/>
        <c:axPos val="b"/>
        <c:majorGridlines/>
        <c:minorGridlines/>
        <c:title>
          <c:tx>
            <c:rich>
              <a:bodyPr/>
              <a:lstStyle/>
              <a:p>
                <a:pPr>
                  <a:defRPr/>
                </a:pPr>
                <a:r>
                  <a:rPr lang="en-US"/>
                  <a:t>Frequency</a:t>
                </a:r>
                <a:r>
                  <a:rPr lang="en-US" baseline="0"/>
                  <a:t> (Hz)</a:t>
                </a:r>
                <a:endParaRPr lang="en-US"/>
              </a:p>
            </c:rich>
          </c:tx>
          <c:overlay val="0"/>
        </c:title>
        <c:numFmt formatCode="General" sourceLinked="1"/>
        <c:majorTickMark val="out"/>
        <c:minorTickMark val="cross"/>
        <c:tickLblPos val="low"/>
        <c:crossAx val="178866816"/>
        <c:crosses val="autoZero"/>
        <c:crossBetween val="midCat"/>
      </c:valAx>
      <c:valAx>
        <c:axId val="178866816"/>
        <c:scaling>
          <c:orientation val="minMax"/>
          <c:max val="60"/>
          <c:min val="-40"/>
        </c:scaling>
        <c:delete val="0"/>
        <c:axPos val="l"/>
        <c:majorGridlines/>
        <c:title>
          <c:tx>
            <c:rich>
              <a:bodyPr rot="-5400000" vert="horz"/>
              <a:lstStyle/>
              <a:p>
                <a:pPr>
                  <a:defRPr/>
                </a:pPr>
                <a:r>
                  <a:rPr lang="en-US"/>
                  <a:t>Loop Gain (dB)</a:t>
                </a:r>
              </a:p>
            </c:rich>
          </c:tx>
          <c:overlay val="0"/>
        </c:title>
        <c:numFmt formatCode="General" sourceLinked="1"/>
        <c:majorTickMark val="out"/>
        <c:minorTickMark val="none"/>
        <c:tickLblPos val="nextTo"/>
        <c:crossAx val="178864896"/>
        <c:crosses val="autoZero"/>
        <c:crossBetween val="midCat"/>
        <c:majorUnit val="20"/>
      </c:valAx>
      <c:valAx>
        <c:axId val="178877184"/>
        <c:scaling>
          <c:orientation val="minMax"/>
          <c:max val="180"/>
          <c:min val="-180"/>
        </c:scaling>
        <c:delete val="0"/>
        <c:axPos val="r"/>
        <c:title>
          <c:tx>
            <c:rich>
              <a:bodyPr rot="-5400000" vert="horz"/>
              <a:lstStyle/>
              <a:p>
                <a:pPr>
                  <a:defRPr/>
                </a:pPr>
                <a:r>
                  <a:rPr lang="en-US"/>
                  <a:t>Loop Phase Margin (deg)</a:t>
                </a:r>
              </a:p>
            </c:rich>
          </c:tx>
          <c:overlay val="0"/>
        </c:title>
        <c:numFmt formatCode="General" sourceLinked="1"/>
        <c:majorTickMark val="out"/>
        <c:minorTickMark val="none"/>
        <c:tickLblPos val="nextTo"/>
        <c:crossAx val="178879104"/>
        <c:crosses val="max"/>
        <c:crossBetween val="midCat"/>
        <c:majorUnit val="45"/>
      </c:valAx>
      <c:valAx>
        <c:axId val="178879104"/>
        <c:scaling>
          <c:logBase val="10"/>
          <c:orientation val="minMax"/>
        </c:scaling>
        <c:delete val="1"/>
        <c:axPos val="b"/>
        <c:numFmt formatCode="General" sourceLinked="1"/>
        <c:majorTickMark val="out"/>
        <c:minorTickMark val="none"/>
        <c:tickLblPos val="nextTo"/>
        <c:crossAx val="178877184"/>
        <c:crosses val="autoZero"/>
        <c:crossBetween val="midCat"/>
      </c:valAx>
    </c:plotArea>
    <c:legend>
      <c:legendPos val="l"/>
      <c:legendEntry>
        <c:idx val="1"/>
        <c:delete val="1"/>
      </c:legendEntry>
      <c:legendEntry>
        <c:idx val="2"/>
        <c:delete val="1"/>
      </c:legendEntry>
      <c:legendEntry>
        <c:idx val="3"/>
        <c:delete val="1"/>
      </c:legendEntry>
      <c:legendEntry>
        <c:idx val="4"/>
        <c:delete val="1"/>
      </c:legendEntry>
      <c:layout>
        <c:manualLayout>
          <c:xMode val="edge"/>
          <c:yMode val="edge"/>
          <c:x val="0.79304241813100085"/>
          <c:y val="2.6664513567886527E-2"/>
          <c:w val="9.4543330754408461E-2"/>
          <c:h val="0.12361639853858421"/>
        </c:manualLayout>
      </c:layout>
      <c:overlay val="1"/>
      <c:spPr>
        <a:no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5.xml"/><Relationship Id="rId3" Type="http://schemas.openxmlformats.org/officeDocument/2006/relationships/image" Target="../media/image1.jpg"/><Relationship Id="rId7" Type="http://schemas.openxmlformats.org/officeDocument/2006/relationships/image" Target="../media/image5.png"/><Relationship Id="rId12" Type="http://schemas.openxmlformats.org/officeDocument/2006/relationships/chart" Target="../charts/chart4.xml"/><Relationship Id="rId17" Type="http://schemas.openxmlformats.org/officeDocument/2006/relationships/image" Target="../media/image11.png"/><Relationship Id="rId2" Type="http://schemas.openxmlformats.org/officeDocument/2006/relationships/hyperlink" Target="http://www.ti.com/product/lm5170-q1?qgpn=lm5170-q1" TargetMode="External"/><Relationship Id="rId16"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chart" Target="../charts/chart2.xml"/><Relationship Id="rId4" Type="http://schemas.openxmlformats.org/officeDocument/2006/relationships/image" Target="../media/image2.png"/><Relationship Id="rId9" Type="http://schemas.openxmlformats.org/officeDocument/2006/relationships/image" Target="../media/image7.png"/><Relationship Id="rId14"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7</xdr:col>
      <xdr:colOff>257175</xdr:colOff>
      <xdr:row>129</xdr:row>
      <xdr:rowOff>189675</xdr:rowOff>
    </xdr:from>
    <xdr:to>
      <xdr:col>19</xdr:col>
      <xdr:colOff>10584</xdr:colOff>
      <xdr:row>146</xdr:row>
      <xdr:rowOff>171450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2283071</xdr:colOff>
      <xdr:row>2</xdr:row>
      <xdr:rowOff>157656</xdr:rowOff>
    </xdr:to>
    <xdr:pic macro="[1]!OpenLM27403ProductFolder">
      <xdr:nvPicPr>
        <xdr:cNvPr id="6" name="Picture 5">
          <a:hlinkClick xmlns:r="http://schemas.openxmlformats.org/officeDocument/2006/relationships" r:id="rId2"/>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896" b="8304"/>
        <a:stretch/>
      </xdr:blipFill>
      <xdr:spPr>
        <a:xfrm>
          <a:off x="0" y="0"/>
          <a:ext cx="2283071" cy="538656"/>
        </a:xfrm>
        <a:prstGeom prst="rect">
          <a:avLst/>
        </a:prstGeom>
      </xdr:spPr>
    </xdr:pic>
    <xdr:clientData/>
  </xdr:twoCellAnchor>
  <xdr:twoCellAnchor editAs="oneCell">
    <xdr:from>
      <xdr:col>8</xdr:col>
      <xdr:colOff>380998</xdr:colOff>
      <xdr:row>94</xdr:row>
      <xdr:rowOff>47624</xdr:rowOff>
    </xdr:from>
    <xdr:to>
      <xdr:col>13</xdr:col>
      <xdr:colOff>159046</xdr:colOff>
      <xdr:row>103</xdr:row>
      <xdr:rowOff>114914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86648" y="17906999"/>
          <a:ext cx="2826048" cy="1972290"/>
        </a:xfrm>
        <a:prstGeom prst="rect">
          <a:avLst/>
        </a:prstGeom>
      </xdr:spPr>
    </xdr:pic>
    <xdr:clientData/>
  </xdr:twoCellAnchor>
  <xdr:twoCellAnchor editAs="oneCell">
    <xdr:from>
      <xdr:col>3</xdr:col>
      <xdr:colOff>361950</xdr:colOff>
      <xdr:row>94</xdr:row>
      <xdr:rowOff>47624</xdr:rowOff>
    </xdr:from>
    <xdr:to>
      <xdr:col>8</xdr:col>
      <xdr:colOff>82848</xdr:colOff>
      <xdr:row>103</xdr:row>
      <xdr:rowOff>114914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62450" y="17906999"/>
          <a:ext cx="2826048" cy="1972290"/>
        </a:xfrm>
        <a:prstGeom prst="rect">
          <a:avLst/>
        </a:prstGeom>
      </xdr:spPr>
    </xdr:pic>
    <xdr:clientData/>
  </xdr:twoCellAnchor>
  <xdr:twoCellAnchor editAs="oneCell">
    <xdr:from>
      <xdr:col>13</xdr:col>
      <xdr:colOff>504824</xdr:colOff>
      <xdr:row>96</xdr:row>
      <xdr:rowOff>126656</xdr:rowOff>
    </xdr:from>
    <xdr:to>
      <xdr:col>18</xdr:col>
      <xdr:colOff>120397</xdr:colOff>
      <xdr:row>103</xdr:row>
      <xdr:rowOff>105389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63249" y="18443231"/>
          <a:ext cx="2901698" cy="1426533"/>
        </a:xfrm>
        <a:prstGeom prst="rect">
          <a:avLst/>
        </a:prstGeom>
      </xdr:spPr>
    </xdr:pic>
    <xdr:clientData/>
  </xdr:twoCellAnchor>
  <xdr:twoCellAnchor editAs="oneCell">
    <xdr:from>
      <xdr:col>3</xdr:col>
      <xdr:colOff>476250</xdr:colOff>
      <xdr:row>107</xdr:row>
      <xdr:rowOff>95250</xdr:rowOff>
    </xdr:from>
    <xdr:to>
      <xdr:col>10</xdr:col>
      <xdr:colOff>239358</xdr:colOff>
      <xdr:row>116</xdr:row>
      <xdr:rowOff>123825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00600" y="21307425"/>
          <a:ext cx="4087458" cy="1933575"/>
        </a:xfrm>
        <a:prstGeom prst="rect">
          <a:avLst/>
        </a:prstGeom>
      </xdr:spPr>
    </xdr:pic>
    <xdr:clientData/>
  </xdr:twoCellAnchor>
  <xdr:twoCellAnchor editAs="oneCell">
    <xdr:from>
      <xdr:col>4</xdr:col>
      <xdr:colOff>438150</xdr:colOff>
      <xdr:row>122</xdr:row>
      <xdr:rowOff>123825</xdr:rowOff>
    </xdr:from>
    <xdr:to>
      <xdr:col>6</xdr:col>
      <xdr:colOff>266702</xdr:colOff>
      <xdr:row>128</xdr:row>
      <xdr:rowOff>38102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72100" y="24079200"/>
          <a:ext cx="1104902" cy="1143002"/>
        </a:xfrm>
        <a:prstGeom prst="rect">
          <a:avLst/>
        </a:prstGeom>
      </xdr:spPr>
    </xdr:pic>
    <xdr:clientData/>
  </xdr:twoCellAnchor>
  <xdr:twoCellAnchor editAs="oneCell">
    <xdr:from>
      <xdr:col>8</xdr:col>
      <xdr:colOff>304800</xdr:colOff>
      <xdr:row>122</xdr:row>
      <xdr:rowOff>142875</xdr:rowOff>
    </xdr:from>
    <xdr:to>
      <xdr:col>10</xdr:col>
      <xdr:colOff>419103</xdr:colOff>
      <xdr:row>128</xdr:row>
      <xdr:rowOff>66296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734300" y="24098250"/>
          <a:ext cx="1333503" cy="1152146"/>
        </a:xfrm>
        <a:prstGeom prst="rect">
          <a:avLst/>
        </a:prstGeom>
      </xdr:spPr>
    </xdr:pic>
    <xdr:clientData/>
  </xdr:twoCellAnchor>
  <xdr:twoCellAnchor>
    <xdr:from>
      <xdr:col>4</xdr:col>
      <xdr:colOff>323849</xdr:colOff>
      <xdr:row>56</xdr:row>
      <xdr:rowOff>47625</xdr:rowOff>
    </xdr:from>
    <xdr:to>
      <xdr:col>14</xdr:col>
      <xdr:colOff>361950</xdr:colOff>
      <xdr:row>71</xdr:row>
      <xdr:rowOff>186523</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323849</xdr:colOff>
      <xdr:row>72</xdr:row>
      <xdr:rowOff>9526</xdr:rowOff>
    </xdr:from>
    <xdr:to>
      <xdr:col>14</xdr:col>
      <xdr:colOff>360698</xdr:colOff>
      <xdr:row>86</xdr:row>
      <xdr:rowOff>171451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51288</xdr:colOff>
      <xdr:row>60</xdr:row>
      <xdr:rowOff>19782</xdr:rowOff>
    </xdr:from>
    <xdr:to>
      <xdr:col>15</xdr:col>
      <xdr:colOff>205154</xdr:colOff>
      <xdr:row>60</xdr:row>
      <xdr:rowOff>158993</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11747988" y="11783157"/>
          <a:ext cx="153866" cy="1392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51288</xdr:colOff>
      <xdr:row>72</xdr:row>
      <xdr:rowOff>38832</xdr:rowOff>
    </xdr:from>
    <xdr:to>
      <xdr:col>15</xdr:col>
      <xdr:colOff>205154</xdr:colOff>
      <xdr:row>72</xdr:row>
      <xdr:rowOff>178043</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11747988" y="14173932"/>
          <a:ext cx="153866" cy="1392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257175</xdr:colOff>
      <xdr:row>147</xdr:row>
      <xdr:rowOff>171450</xdr:rowOff>
    </xdr:from>
    <xdr:to>
      <xdr:col>19</xdr:col>
      <xdr:colOff>10584</xdr:colOff>
      <xdr:row>165</xdr:row>
      <xdr:rowOff>172275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247650</xdr:colOff>
      <xdr:row>167</xdr:row>
      <xdr:rowOff>0</xdr:rowOff>
    </xdr:from>
    <xdr:to>
      <xdr:col>19</xdr:col>
      <xdr:colOff>1059</xdr:colOff>
      <xdr:row>184</xdr:row>
      <xdr:rowOff>105600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4</xdr:col>
      <xdr:colOff>104775</xdr:colOff>
      <xdr:row>10</xdr:row>
      <xdr:rowOff>133350</xdr:rowOff>
    </xdr:from>
    <xdr:to>
      <xdr:col>15</xdr:col>
      <xdr:colOff>276239</xdr:colOff>
      <xdr:row>55</xdr:row>
      <xdr:rowOff>19068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38725" y="2085975"/>
          <a:ext cx="6934214" cy="8801118"/>
        </a:xfrm>
        <a:prstGeom prst="rect">
          <a:avLst/>
        </a:prstGeom>
      </xdr:spPr>
    </xdr:pic>
    <xdr:clientData/>
  </xdr:twoCellAnchor>
  <xdr:twoCellAnchor editAs="oneCell">
    <xdr:from>
      <xdr:col>3</xdr:col>
      <xdr:colOff>285751</xdr:colOff>
      <xdr:row>133</xdr:row>
      <xdr:rowOff>104776</xdr:rowOff>
    </xdr:from>
    <xdr:to>
      <xdr:col>6</xdr:col>
      <xdr:colOff>457201</xdr:colOff>
      <xdr:row>144</xdr:row>
      <xdr:rowOff>10306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10101" y="26708101"/>
          <a:ext cx="2057400" cy="2382030"/>
        </a:xfrm>
        <a:prstGeom prst="rect">
          <a:avLst/>
        </a:prstGeom>
      </xdr:spPr>
    </xdr:pic>
    <xdr:clientData/>
  </xdr:twoCellAnchor>
  <xdr:twoCellAnchor editAs="oneCell">
    <xdr:from>
      <xdr:col>3</xdr:col>
      <xdr:colOff>171450</xdr:colOff>
      <xdr:row>151</xdr:row>
      <xdr:rowOff>66675</xdr:rowOff>
    </xdr:from>
    <xdr:to>
      <xdr:col>7</xdr:col>
      <xdr:colOff>93237</xdr:colOff>
      <xdr:row>159</xdr:row>
      <xdr:rowOff>66675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495800" y="30499050"/>
          <a:ext cx="2417337" cy="1752600"/>
        </a:xfrm>
        <a:prstGeom prst="rect">
          <a:avLst/>
        </a:prstGeom>
      </xdr:spPr>
    </xdr:pic>
    <xdr:clientData/>
  </xdr:twoCellAnchor>
  <xdr:twoCellAnchor editAs="oneCell">
    <xdr:from>
      <xdr:col>3</xdr:col>
      <xdr:colOff>133350</xdr:colOff>
      <xdr:row>170</xdr:row>
      <xdr:rowOff>9525</xdr:rowOff>
    </xdr:from>
    <xdr:to>
      <xdr:col>7</xdr:col>
      <xdr:colOff>94550</xdr:colOff>
      <xdr:row>178</xdr:row>
      <xdr:rowOff>38100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457700" y="34594800"/>
          <a:ext cx="2456750" cy="1781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235451</xdr:colOff>
      <xdr:row>7</xdr:row>
      <xdr:rowOff>180950</xdr:rowOff>
    </xdr:from>
    <xdr:to>
      <xdr:col>37</xdr:col>
      <xdr:colOff>532280</xdr:colOff>
      <xdr:row>26</xdr:row>
      <xdr:rowOff>133070</xdr:rowOff>
    </xdr:to>
    <xdr:graphicFrame macro="">
      <xdr:nvGraphicFramePr>
        <xdr:cNvPr id="24" name="Chart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746687</xdr:colOff>
      <xdr:row>8</xdr:row>
      <xdr:rowOff>169779</xdr:rowOff>
    </xdr:from>
    <xdr:to>
      <xdr:col>25</xdr:col>
      <xdr:colOff>7248</xdr:colOff>
      <xdr:row>27</xdr:row>
      <xdr:rowOff>137698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612320</xdr:colOff>
      <xdr:row>5</xdr:row>
      <xdr:rowOff>176894</xdr:rowOff>
    </xdr:from>
    <xdr:to>
      <xdr:col>22</xdr:col>
      <xdr:colOff>511971</xdr:colOff>
      <xdr:row>23</xdr:row>
      <xdr:rowOff>69522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598714</xdr:colOff>
      <xdr:row>24</xdr:row>
      <xdr:rowOff>0</xdr:rowOff>
    </xdr:from>
    <xdr:to>
      <xdr:col>22</xdr:col>
      <xdr:colOff>498365</xdr:colOff>
      <xdr:row>42</xdr:row>
      <xdr:rowOff>83128</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27214</xdr:colOff>
      <xdr:row>44</xdr:row>
      <xdr:rowOff>0</xdr:rowOff>
    </xdr:from>
    <xdr:to>
      <xdr:col>22</xdr:col>
      <xdr:colOff>539186</xdr:colOff>
      <xdr:row>62</xdr:row>
      <xdr:rowOff>83128</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69274</xdr:colOff>
      <xdr:row>167</xdr:row>
      <xdr:rowOff>123825</xdr:rowOff>
    </xdr:from>
    <xdr:to>
      <xdr:col>42</xdr:col>
      <xdr:colOff>548452</xdr:colOff>
      <xdr:row>187</xdr:row>
      <xdr:rowOff>138113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125867</xdr:colOff>
      <xdr:row>77</xdr:row>
      <xdr:rowOff>551397</xdr:rowOff>
    </xdr:from>
    <xdr:to>
      <xdr:col>42</xdr:col>
      <xdr:colOff>88284</xdr:colOff>
      <xdr:row>99</xdr:row>
      <xdr:rowOff>143864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95250</xdr:colOff>
      <xdr:row>101</xdr:row>
      <xdr:rowOff>0</xdr:rowOff>
    </xdr:from>
    <xdr:to>
      <xdr:col>38</xdr:col>
      <xdr:colOff>370494</xdr:colOff>
      <xdr:row>120</xdr:row>
      <xdr:rowOff>96075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0</xdr:colOff>
      <xdr:row>189</xdr:row>
      <xdr:rowOff>23812</xdr:rowOff>
    </xdr:from>
    <xdr:to>
      <xdr:col>38</xdr:col>
      <xdr:colOff>275244</xdr:colOff>
      <xdr:row>208</xdr:row>
      <xdr:rowOff>119887</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28575</xdr:colOff>
      <xdr:row>4</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9182100"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74035/AppData/Roaming/Microsoft/Excel/LM5175%20Buck-Boost%20Quickstart%20Tool%20--%20r9%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Converter"/>
      <sheetName val="BOM &amp; Schematic"/>
      <sheetName val="EVMs"/>
      <sheetName val="Variable Management"/>
      <sheetName val="Schematic Management"/>
      <sheetName val="Efficiency Plot Management"/>
      <sheetName val="Efficiency vs VIN Calculations"/>
      <sheetName val="Efficiency vs Load Calculations"/>
      <sheetName val="Stability Calculations"/>
      <sheetName val="Standard Value Calculator"/>
      <sheetName val="Snubber"/>
      <sheetName val="Parallel Output Caps"/>
      <sheetName val="LM5175 Buck-Boost Quickstart To"/>
    </sheetNames>
    <definedNames>
      <definedName name="OpenLM27403ProductFolder"/>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4"/>
  <sheetViews>
    <sheetView tabSelected="1" topLeftCell="A127" zoomScaleNormal="100" workbookViewId="0">
      <selection activeCell="B164" sqref="B164"/>
    </sheetView>
  </sheetViews>
  <sheetFormatPr defaultColWidth="9.125" defaultRowHeight="13.5"/>
  <cols>
    <col min="1" max="1" width="50.125" style="151" customWidth="1"/>
    <col min="2" max="2" width="10" style="152" customWidth="1"/>
    <col min="3" max="3" width="4.75" style="152" customWidth="1"/>
    <col min="4" max="4" width="9.125" style="153"/>
    <col min="5" max="5" width="10" style="152" bestFit="1" customWidth="1"/>
    <col min="6" max="9" width="9.125" style="152"/>
    <col min="10" max="10" width="9.125" style="152" customWidth="1"/>
    <col min="11" max="17" width="9.125" style="152"/>
    <col min="18" max="18" width="12.75" style="152" customWidth="1"/>
    <col min="19" max="19" width="9.125" style="174"/>
    <col min="20" max="20" width="9.125" style="153"/>
    <col min="21" max="16384" width="9.125" style="152"/>
  </cols>
  <sheetData>
    <row r="1" spans="1:22" s="194" customFormat="1">
      <c r="A1" s="193" t="s">
        <v>462</v>
      </c>
    </row>
    <row r="2" spans="1:22" s="196" customFormat="1">
      <c r="A2" s="195"/>
    </row>
    <row r="3" spans="1:22" s="196" customFormat="1" ht="12.75" customHeight="1">
      <c r="A3" s="195"/>
    </row>
    <row r="4" spans="1:22" s="140" customFormat="1" ht="14.25" thickBot="1">
      <c r="A4" s="139"/>
      <c r="F4" s="141"/>
      <c r="G4" s="141"/>
      <c r="H4" s="141"/>
      <c r="I4" s="141"/>
      <c r="J4" s="141"/>
      <c r="K4" s="141"/>
      <c r="L4" s="141"/>
      <c r="M4" s="141"/>
      <c r="N4" s="141"/>
      <c r="O4" s="141"/>
      <c r="P4" s="141"/>
      <c r="Q4" s="141"/>
      <c r="R4" s="141"/>
      <c r="S4" s="142"/>
      <c r="T4" s="141"/>
      <c r="U4" s="141"/>
      <c r="V4" s="141"/>
    </row>
    <row r="5" spans="1:22" s="140" customFormat="1" ht="14.25" thickBot="1">
      <c r="A5" s="143"/>
      <c r="B5" s="144"/>
      <c r="C5" s="145" t="s">
        <v>127</v>
      </c>
      <c r="F5" s="141"/>
      <c r="G5" s="146" t="s">
        <v>284</v>
      </c>
      <c r="H5" s="146"/>
      <c r="I5" s="146"/>
      <c r="K5" s="141"/>
      <c r="L5" s="141"/>
      <c r="M5" s="141"/>
      <c r="N5" s="141"/>
      <c r="O5" s="141"/>
      <c r="P5" s="141"/>
      <c r="R5" s="146" t="s">
        <v>285</v>
      </c>
      <c r="S5" s="142"/>
      <c r="T5" s="141"/>
      <c r="U5" s="141"/>
      <c r="V5" s="141"/>
    </row>
    <row r="6" spans="1:22" s="148" customFormat="1" ht="14.25" thickBot="1">
      <c r="A6" s="147"/>
      <c r="F6" s="149"/>
      <c r="G6" s="149"/>
      <c r="H6" s="149"/>
      <c r="I6" s="149"/>
      <c r="J6" s="149"/>
      <c r="K6" s="149"/>
      <c r="L6" s="149"/>
      <c r="M6" s="149"/>
      <c r="N6" s="149"/>
      <c r="O6" s="149"/>
      <c r="P6" s="149"/>
      <c r="Q6" s="149"/>
      <c r="R6" s="149"/>
      <c r="S6" s="150"/>
      <c r="T6" s="149"/>
      <c r="U6" s="149"/>
      <c r="V6" s="149"/>
    </row>
    <row r="7" spans="1:22">
      <c r="F7" s="154"/>
      <c r="G7" s="154"/>
      <c r="H7" s="154"/>
      <c r="I7" s="154"/>
      <c r="J7" s="154"/>
      <c r="K7" s="154"/>
      <c r="L7" s="154"/>
      <c r="M7" s="154"/>
      <c r="N7" s="154"/>
      <c r="O7" s="154"/>
      <c r="P7" s="154"/>
      <c r="Q7" s="154"/>
      <c r="R7" s="154"/>
      <c r="S7" s="155"/>
      <c r="T7" s="154"/>
      <c r="U7" s="154"/>
      <c r="V7" s="154"/>
    </row>
    <row r="8" spans="1:22" ht="18.75">
      <c r="A8" s="189" t="s">
        <v>469</v>
      </c>
      <c r="B8" s="189"/>
      <c r="C8" s="189"/>
      <c r="F8" s="154"/>
      <c r="G8" s="154"/>
      <c r="H8" s="154"/>
      <c r="I8" s="154"/>
      <c r="J8" s="154"/>
      <c r="K8" s="154"/>
      <c r="L8" s="154"/>
      <c r="M8" s="154"/>
      <c r="N8" s="154"/>
      <c r="O8" s="154"/>
      <c r="P8" s="154"/>
      <c r="Q8" s="154"/>
      <c r="R8" s="154"/>
      <c r="S8" s="155"/>
      <c r="T8" s="154"/>
      <c r="U8" s="154"/>
      <c r="V8" s="154"/>
    </row>
    <row r="9" spans="1:22" ht="12.75" customHeight="1" thickBot="1">
      <c r="A9" s="156"/>
      <c r="B9" s="156"/>
      <c r="C9" s="156"/>
      <c r="F9" s="154"/>
      <c r="G9" s="154"/>
      <c r="H9" s="154"/>
      <c r="I9" s="154"/>
      <c r="J9" s="154"/>
      <c r="K9" s="154"/>
      <c r="L9" s="154"/>
      <c r="M9" s="154"/>
      <c r="N9" s="154"/>
      <c r="O9" s="154"/>
      <c r="P9" s="154"/>
      <c r="Q9" s="154"/>
      <c r="R9" s="154"/>
      <c r="S9" s="155"/>
      <c r="T9" s="154"/>
      <c r="U9" s="154"/>
      <c r="V9" s="154"/>
    </row>
    <row r="10" spans="1:22" ht="17.25" customHeight="1" thickBot="1">
      <c r="A10" s="190" t="s">
        <v>321</v>
      </c>
      <c r="B10" s="191"/>
      <c r="C10" s="192"/>
      <c r="F10" s="154"/>
      <c r="G10" s="200" t="s">
        <v>281</v>
      </c>
      <c r="H10" s="200"/>
      <c r="I10" s="200"/>
      <c r="J10" s="200"/>
      <c r="K10" s="200"/>
      <c r="L10" s="200"/>
      <c r="M10" s="200"/>
      <c r="N10" s="157"/>
      <c r="O10" s="157"/>
      <c r="P10" s="154"/>
      <c r="Q10" s="154"/>
      <c r="R10" s="154"/>
      <c r="S10" s="155"/>
      <c r="T10" s="154"/>
      <c r="U10" s="154"/>
      <c r="V10" s="154"/>
    </row>
    <row r="11" spans="1:22" ht="15" customHeight="1">
      <c r="A11" s="158" t="s">
        <v>330</v>
      </c>
      <c r="B11" s="183">
        <v>35</v>
      </c>
      <c r="C11" s="159" t="s">
        <v>1</v>
      </c>
      <c r="F11" s="154"/>
      <c r="G11" s="200"/>
      <c r="H11" s="200"/>
      <c r="I11" s="200"/>
      <c r="J11" s="200"/>
      <c r="K11" s="200"/>
      <c r="L11" s="200"/>
      <c r="M11" s="200"/>
      <c r="N11" s="157"/>
      <c r="O11" s="157"/>
      <c r="Q11" s="154"/>
      <c r="R11" s="154"/>
      <c r="S11" s="155"/>
      <c r="T11" s="154"/>
      <c r="U11" s="154"/>
      <c r="V11" s="154"/>
    </row>
    <row r="12" spans="1:22" ht="15" customHeight="1">
      <c r="A12" s="158" t="s">
        <v>331</v>
      </c>
      <c r="B12" s="183">
        <v>48</v>
      </c>
      <c r="C12" s="159" t="s">
        <v>1</v>
      </c>
      <c r="F12" s="154"/>
      <c r="G12" s="154"/>
      <c r="Q12" s="154"/>
      <c r="R12" s="154"/>
      <c r="S12" s="155"/>
      <c r="T12" s="154"/>
      <c r="U12" s="154"/>
      <c r="V12" s="154"/>
    </row>
    <row r="13" spans="1:22" ht="14.25" thickBot="1">
      <c r="A13" s="160" t="s">
        <v>332</v>
      </c>
      <c r="B13" s="184">
        <v>56</v>
      </c>
      <c r="C13" s="161" t="s">
        <v>1</v>
      </c>
      <c r="F13" s="154"/>
      <c r="G13" s="154"/>
      <c r="H13" s="154"/>
      <c r="I13" s="154"/>
      <c r="J13" s="154"/>
      <c r="K13" s="154"/>
      <c r="L13" s="154"/>
      <c r="M13" s="154"/>
      <c r="N13" s="154"/>
      <c r="O13" s="154"/>
      <c r="P13" s="154"/>
      <c r="Q13" s="154"/>
      <c r="R13" s="154"/>
      <c r="S13" s="155"/>
      <c r="T13" s="154"/>
      <c r="U13" s="154"/>
      <c r="V13" s="154"/>
    </row>
    <row r="14" spans="1:22" ht="14.25" thickBot="1">
      <c r="A14" s="162"/>
      <c r="B14" s="163"/>
      <c r="C14" s="153"/>
      <c r="F14" s="154"/>
      <c r="G14" s="154"/>
      <c r="H14" s="154"/>
      <c r="I14" s="154"/>
      <c r="J14" s="154"/>
      <c r="K14" s="154"/>
      <c r="L14" s="154"/>
      <c r="M14" s="154"/>
      <c r="N14" s="154"/>
      <c r="O14" s="154"/>
      <c r="P14" s="154"/>
      <c r="Q14" s="154"/>
      <c r="R14" s="154"/>
      <c r="S14" s="155"/>
      <c r="T14" s="154"/>
      <c r="U14" s="154"/>
      <c r="V14" s="154"/>
    </row>
    <row r="15" spans="1:22" ht="14.25" thickBot="1">
      <c r="A15" s="190" t="s">
        <v>320</v>
      </c>
      <c r="B15" s="191"/>
      <c r="C15" s="192"/>
      <c r="F15" s="154"/>
      <c r="G15" s="154"/>
      <c r="H15" s="154"/>
      <c r="I15" s="154"/>
      <c r="J15" s="154"/>
      <c r="K15" s="154"/>
      <c r="L15" s="154"/>
      <c r="M15" s="154"/>
      <c r="N15" s="154"/>
      <c r="O15" s="154"/>
      <c r="P15" s="154"/>
      <c r="Q15" s="154"/>
      <c r="R15" s="154"/>
      <c r="S15" s="155"/>
      <c r="T15" s="154"/>
      <c r="U15" s="154"/>
      <c r="V15" s="154"/>
    </row>
    <row r="16" spans="1:22">
      <c r="A16" s="158" t="s">
        <v>327</v>
      </c>
      <c r="B16" s="183">
        <v>12.15</v>
      </c>
      <c r="C16" s="159" t="s">
        <v>1</v>
      </c>
      <c r="F16" s="154"/>
      <c r="G16" s="154"/>
      <c r="H16" s="154"/>
      <c r="I16" s="154"/>
      <c r="J16" s="154"/>
      <c r="K16" s="154"/>
      <c r="L16" s="154"/>
      <c r="M16" s="154"/>
      <c r="N16" s="154"/>
      <c r="O16" s="154"/>
      <c r="P16" s="154"/>
      <c r="Q16" s="154"/>
      <c r="R16" s="154"/>
      <c r="S16" s="155"/>
      <c r="T16" s="154"/>
      <c r="U16" s="154"/>
      <c r="V16" s="154"/>
    </row>
    <row r="17" spans="1:22">
      <c r="A17" s="158" t="s">
        <v>328</v>
      </c>
      <c r="B17" s="183">
        <v>12.2</v>
      </c>
      <c r="C17" s="159" t="s">
        <v>1</v>
      </c>
      <c r="F17" s="154"/>
      <c r="G17" s="154"/>
      <c r="H17" s="154"/>
      <c r="I17" s="154"/>
      <c r="J17" s="154"/>
      <c r="K17" s="154"/>
      <c r="L17" s="154"/>
      <c r="M17" s="154"/>
      <c r="N17" s="154"/>
      <c r="O17" s="154"/>
      <c r="P17" s="154"/>
      <c r="Q17" s="154"/>
      <c r="R17" s="154"/>
      <c r="S17" s="155"/>
      <c r="T17" s="154"/>
      <c r="U17" s="154"/>
      <c r="V17" s="154"/>
    </row>
    <row r="18" spans="1:22" ht="14.25" thickBot="1">
      <c r="A18" s="160" t="s">
        <v>329</v>
      </c>
      <c r="B18" s="184">
        <v>12.25</v>
      </c>
      <c r="C18" s="161" t="s">
        <v>1</v>
      </c>
      <c r="F18" s="154"/>
      <c r="G18" s="154"/>
      <c r="H18" s="154"/>
      <c r="I18" s="154"/>
      <c r="J18" s="154"/>
      <c r="K18" s="154"/>
      <c r="L18" s="154"/>
      <c r="M18" s="154"/>
      <c r="N18" s="154"/>
      <c r="O18" s="154"/>
      <c r="P18" s="154"/>
      <c r="Q18" s="154"/>
      <c r="R18" s="154"/>
      <c r="S18" s="155"/>
      <c r="T18" s="154"/>
      <c r="U18" s="154"/>
      <c r="V18" s="154"/>
    </row>
    <row r="19" spans="1:22" ht="14.25" thickBot="1">
      <c r="A19" s="162"/>
      <c r="B19" s="163"/>
      <c r="C19" s="153"/>
      <c r="F19" s="154"/>
      <c r="G19" s="154"/>
      <c r="H19" s="154"/>
      <c r="I19" s="154"/>
      <c r="J19" s="154"/>
      <c r="K19" s="154"/>
      <c r="L19" s="154"/>
      <c r="M19" s="154"/>
      <c r="N19" s="154"/>
      <c r="O19" s="154"/>
      <c r="P19" s="154"/>
      <c r="Q19" s="154"/>
      <c r="R19" s="154"/>
      <c r="S19" s="155"/>
      <c r="T19" s="154"/>
      <c r="U19" s="154"/>
      <c r="V19" s="154"/>
    </row>
    <row r="20" spans="1:22" ht="14.25" thickBot="1">
      <c r="A20" s="190" t="s">
        <v>2</v>
      </c>
      <c r="B20" s="191"/>
      <c r="C20" s="192"/>
      <c r="F20" s="154"/>
      <c r="G20" s="154"/>
      <c r="H20" s="154"/>
      <c r="I20" s="154"/>
      <c r="J20" s="154"/>
      <c r="K20" s="154"/>
      <c r="L20" s="154"/>
      <c r="M20" s="154"/>
      <c r="N20" s="154"/>
      <c r="O20" s="154"/>
      <c r="P20" s="154"/>
      <c r="Q20" s="154"/>
      <c r="R20" s="154"/>
      <c r="S20" s="155"/>
      <c r="T20" s="154"/>
      <c r="U20" s="154"/>
      <c r="V20" s="154"/>
    </row>
    <row r="21" spans="1:22">
      <c r="A21" s="158" t="s">
        <v>326</v>
      </c>
      <c r="B21" s="183">
        <v>100</v>
      </c>
      <c r="C21" s="159" t="s">
        <v>3</v>
      </c>
      <c r="F21" s="154"/>
      <c r="G21" s="154"/>
      <c r="H21" s="154"/>
      <c r="I21" s="154"/>
      <c r="J21" s="154"/>
      <c r="K21" s="154"/>
      <c r="L21" s="154"/>
      <c r="M21" s="154"/>
      <c r="N21" s="154"/>
      <c r="O21" s="154"/>
      <c r="P21" s="154"/>
      <c r="Q21" s="154"/>
      <c r="R21" s="154"/>
      <c r="S21" s="155"/>
      <c r="T21" s="154"/>
      <c r="U21" s="154"/>
      <c r="V21" s="154"/>
    </row>
    <row r="22" spans="1:22" ht="17.25" thickBot="1">
      <c r="A22" s="160" t="s">
        <v>470</v>
      </c>
      <c r="B22" s="164">
        <f>Calculations!B16</f>
        <v>40</v>
      </c>
      <c r="C22" s="161" t="s">
        <v>16</v>
      </c>
      <c r="F22" s="154"/>
      <c r="G22" s="154"/>
      <c r="H22" s="154"/>
      <c r="I22" s="154"/>
      <c r="J22" s="154"/>
      <c r="K22" s="154"/>
      <c r="L22" s="154"/>
      <c r="M22" s="154"/>
      <c r="N22" s="154"/>
      <c r="O22" s="154"/>
      <c r="P22" s="154"/>
      <c r="Q22" s="154"/>
      <c r="R22" s="154"/>
      <c r="S22" s="155"/>
      <c r="T22" s="154"/>
      <c r="U22" s="154"/>
      <c r="V22" s="154"/>
    </row>
    <row r="23" spans="1:22" ht="14.25" thickBot="1">
      <c r="A23" s="162"/>
      <c r="B23" s="153"/>
      <c r="C23" s="153"/>
      <c r="F23" s="154"/>
      <c r="G23" s="154"/>
      <c r="H23" s="154"/>
      <c r="I23" s="154"/>
      <c r="J23" s="154"/>
      <c r="K23" s="154"/>
      <c r="L23" s="154"/>
      <c r="M23" s="154"/>
      <c r="N23" s="154"/>
      <c r="O23" s="154"/>
      <c r="P23" s="154"/>
      <c r="Q23" s="154"/>
      <c r="R23" s="154"/>
      <c r="S23" s="155"/>
      <c r="T23" s="154"/>
      <c r="U23" s="154"/>
      <c r="V23" s="154"/>
    </row>
    <row r="24" spans="1:22" ht="14.25" thickBot="1">
      <c r="A24" s="190" t="s">
        <v>282</v>
      </c>
      <c r="B24" s="191"/>
      <c r="C24" s="192"/>
      <c r="F24" s="154"/>
      <c r="G24" s="154"/>
      <c r="H24" s="154"/>
      <c r="I24" s="154"/>
      <c r="J24" s="154"/>
      <c r="K24" s="154"/>
      <c r="L24" s="154"/>
      <c r="M24" s="154"/>
      <c r="N24" s="154"/>
      <c r="O24" s="154"/>
      <c r="P24" s="154"/>
      <c r="Q24" s="154"/>
      <c r="R24" s="154"/>
      <c r="S24" s="155"/>
      <c r="T24" s="154"/>
      <c r="U24" s="154"/>
      <c r="V24" s="154"/>
    </row>
    <row r="25" spans="1:22">
      <c r="A25" s="158" t="s">
        <v>27</v>
      </c>
      <c r="B25" s="183">
        <v>4</v>
      </c>
      <c r="C25" s="159"/>
      <c r="F25" s="154"/>
      <c r="G25" s="154"/>
      <c r="H25" s="154"/>
      <c r="I25" s="154"/>
      <c r="J25" s="154"/>
      <c r="K25" s="154"/>
      <c r="L25" s="154"/>
      <c r="M25" s="154"/>
      <c r="N25" s="154"/>
      <c r="O25" s="154"/>
      <c r="P25" s="154"/>
      <c r="Q25" s="154"/>
      <c r="R25" s="154"/>
      <c r="S25" s="155"/>
      <c r="T25" s="154"/>
      <c r="U25" s="154"/>
      <c r="V25" s="154"/>
    </row>
    <row r="26" spans="1:22">
      <c r="A26" s="158" t="s">
        <v>325</v>
      </c>
      <c r="B26" s="183">
        <v>350</v>
      </c>
      <c r="C26" s="159" t="s">
        <v>4</v>
      </c>
      <c r="F26" s="154"/>
      <c r="G26" s="154"/>
      <c r="H26" s="154"/>
      <c r="I26" s="154"/>
      <c r="J26" s="154"/>
      <c r="K26" s="154"/>
      <c r="L26" s="154"/>
      <c r="M26" s="154"/>
      <c r="N26" s="154"/>
      <c r="O26" s="154"/>
      <c r="P26" s="154"/>
      <c r="Q26" s="154"/>
      <c r="R26" s="154"/>
      <c r="S26" s="155"/>
      <c r="T26" s="154"/>
      <c r="U26" s="154"/>
      <c r="V26" s="154"/>
    </row>
    <row r="27" spans="1:22" ht="16.5">
      <c r="A27" s="158" t="s">
        <v>324</v>
      </c>
      <c r="B27" s="165">
        <f>Calculations!B27</f>
        <v>0.57142857142857151</v>
      </c>
      <c r="C27" s="159" t="s">
        <v>7</v>
      </c>
      <c r="F27" s="154"/>
      <c r="G27" s="154"/>
      <c r="H27" s="154"/>
      <c r="I27" s="154"/>
      <c r="J27" s="154"/>
      <c r="K27" s="154"/>
      <c r="L27" s="154"/>
      <c r="M27" s="154"/>
      <c r="N27" s="154"/>
      <c r="O27" s="154"/>
      <c r="P27" s="154"/>
      <c r="Q27" s="154"/>
      <c r="R27" s="154"/>
      <c r="S27" s="155"/>
      <c r="T27" s="154"/>
      <c r="U27" s="154"/>
      <c r="V27" s="154"/>
    </row>
    <row r="28" spans="1:22" ht="16.5">
      <c r="A28" s="158" t="s">
        <v>323</v>
      </c>
      <c r="B28" s="183">
        <v>0.2</v>
      </c>
      <c r="C28" s="159" t="s">
        <v>7</v>
      </c>
      <c r="F28" s="154"/>
      <c r="G28" s="154"/>
      <c r="H28" s="154"/>
      <c r="I28" s="154"/>
      <c r="J28" s="154"/>
      <c r="K28" s="154"/>
      <c r="L28" s="154"/>
      <c r="M28" s="154"/>
      <c r="N28" s="154"/>
      <c r="O28" s="154"/>
      <c r="P28" s="154"/>
      <c r="Q28" s="154"/>
      <c r="R28" s="154"/>
      <c r="S28" s="155"/>
      <c r="T28" s="154"/>
      <c r="U28" s="154"/>
      <c r="V28" s="154"/>
    </row>
    <row r="29" spans="1:22">
      <c r="A29" s="158" t="s">
        <v>158</v>
      </c>
      <c r="B29" s="153">
        <f>VCS_Max/Rcs</f>
        <v>250</v>
      </c>
      <c r="C29" s="159" t="s">
        <v>4</v>
      </c>
      <c r="F29" s="154"/>
      <c r="G29" s="154"/>
      <c r="H29" s="154"/>
      <c r="I29" s="154"/>
      <c r="J29" s="154"/>
      <c r="K29" s="154"/>
      <c r="L29" s="154"/>
      <c r="M29" s="154"/>
      <c r="N29" s="154"/>
      <c r="O29" s="154"/>
      <c r="P29" s="154"/>
      <c r="Q29" s="154"/>
      <c r="R29" s="154"/>
      <c r="S29" s="155"/>
      <c r="T29" s="154"/>
      <c r="U29" s="154"/>
      <c r="V29" s="154"/>
    </row>
    <row r="30" spans="1:22" ht="14.25" thickBot="1">
      <c r="A30" s="160" t="s">
        <v>322</v>
      </c>
      <c r="B30" s="164">
        <f>Calculations!B31</f>
        <v>1000</v>
      </c>
      <c r="C30" s="161" t="s">
        <v>4</v>
      </c>
      <c r="F30" s="154"/>
      <c r="G30" s="154"/>
      <c r="H30" s="154"/>
      <c r="I30" s="154"/>
      <c r="J30" s="154"/>
      <c r="K30" s="154"/>
      <c r="L30" s="154"/>
      <c r="M30" s="154"/>
      <c r="N30" s="154"/>
      <c r="O30" s="154"/>
      <c r="P30" s="154"/>
      <c r="Q30" s="154"/>
      <c r="R30" s="154"/>
      <c r="S30" s="155"/>
      <c r="T30" s="154"/>
      <c r="U30" s="154"/>
      <c r="V30" s="154"/>
    </row>
    <row r="31" spans="1:22" ht="18.75">
      <c r="A31" s="197"/>
      <c r="B31" s="197"/>
      <c r="C31" s="197"/>
      <c r="F31" s="154"/>
      <c r="G31" s="154"/>
      <c r="H31" s="154"/>
      <c r="I31" s="154"/>
      <c r="J31" s="154"/>
      <c r="K31" s="154"/>
      <c r="L31" s="154"/>
      <c r="M31" s="154"/>
      <c r="N31" s="154"/>
      <c r="O31" s="154"/>
      <c r="P31" s="154"/>
      <c r="Q31" s="154"/>
      <c r="R31" s="154"/>
      <c r="S31" s="155"/>
      <c r="T31" s="154"/>
      <c r="U31" s="154"/>
      <c r="V31" s="154"/>
    </row>
    <row r="32" spans="1:22" ht="18.75">
      <c r="A32" s="189" t="s">
        <v>283</v>
      </c>
      <c r="B32" s="189"/>
      <c r="C32" s="189"/>
      <c r="F32" s="154"/>
      <c r="G32" s="154"/>
      <c r="H32" s="154"/>
      <c r="I32" s="154"/>
      <c r="J32" s="154"/>
      <c r="K32" s="154"/>
      <c r="L32" s="154"/>
      <c r="M32" s="154"/>
      <c r="N32" s="154"/>
      <c r="O32" s="154"/>
      <c r="P32" s="154"/>
      <c r="Q32" s="154"/>
      <c r="R32" s="154"/>
      <c r="S32" s="155"/>
      <c r="T32" s="154"/>
      <c r="U32" s="154"/>
      <c r="V32" s="154"/>
    </row>
    <row r="33" spans="1:22" ht="9" customHeight="1" thickBot="1">
      <c r="A33" s="166"/>
      <c r="B33" s="166"/>
      <c r="C33" s="166"/>
      <c r="F33" s="154"/>
      <c r="G33" s="154"/>
      <c r="H33" s="154"/>
      <c r="I33" s="154"/>
      <c r="J33" s="154"/>
      <c r="K33" s="154"/>
      <c r="L33" s="154"/>
      <c r="M33" s="154"/>
      <c r="N33" s="154"/>
      <c r="O33" s="154"/>
      <c r="P33" s="154"/>
      <c r="Q33" s="154"/>
      <c r="R33" s="154"/>
      <c r="S33" s="155"/>
      <c r="T33" s="154"/>
      <c r="U33" s="154"/>
      <c r="V33" s="154"/>
    </row>
    <row r="34" spans="1:22" ht="14.25" thickBot="1">
      <c r="A34" s="190" t="s">
        <v>9</v>
      </c>
      <c r="B34" s="191"/>
      <c r="C34" s="192"/>
      <c r="F34" s="154"/>
      <c r="G34" s="154"/>
      <c r="H34" s="154"/>
      <c r="I34" s="154"/>
      <c r="J34" s="154"/>
      <c r="K34" s="154"/>
      <c r="L34" s="154"/>
      <c r="M34" s="154"/>
      <c r="N34" s="154"/>
      <c r="O34" s="154"/>
      <c r="P34" s="154"/>
      <c r="Q34" s="154"/>
      <c r="R34" s="154"/>
      <c r="S34" s="155"/>
      <c r="T34" s="154"/>
      <c r="U34" s="154"/>
      <c r="V34" s="154"/>
    </row>
    <row r="35" spans="1:22">
      <c r="A35" s="158" t="s">
        <v>471</v>
      </c>
      <c r="B35" s="185">
        <v>40</v>
      </c>
      <c r="C35" s="167" t="s">
        <v>26</v>
      </c>
      <c r="F35" s="154"/>
      <c r="G35" s="154"/>
      <c r="H35" s="154"/>
      <c r="I35" s="154"/>
      <c r="J35" s="154"/>
      <c r="K35" s="154"/>
      <c r="L35" s="154"/>
      <c r="M35" s="154"/>
      <c r="N35" s="154"/>
      <c r="O35" s="154"/>
      <c r="P35" s="154"/>
      <c r="Q35" s="154"/>
      <c r="R35" s="154"/>
      <c r="S35" s="155"/>
      <c r="T35" s="154"/>
      <c r="U35" s="154"/>
      <c r="V35" s="154"/>
    </row>
    <row r="36" spans="1:22">
      <c r="A36" s="158" t="s">
        <v>472</v>
      </c>
      <c r="B36" s="165">
        <f>Calculations!B37</f>
        <v>2.7263265306122442</v>
      </c>
      <c r="C36" s="159" t="s">
        <v>6</v>
      </c>
      <c r="F36" s="154"/>
      <c r="G36" s="154"/>
      <c r="H36" s="154"/>
      <c r="I36" s="154"/>
      <c r="J36" s="154"/>
      <c r="K36" s="154"/>
      <c r="L36" s="154"/>
      <c r="M36" s="154"/>
      <c r="N36" s="154"/>
      <c r="O36" s="154"/>
      <c r="P36" s="154"/>
      <c r="Q36" s="154"/>
      <c r="R36" s="154"/>
      <c r="S36" s="155"/>
      <c r="T36" s="154"/>
      <c r="U36" s="154"/>
      <c r="V36" s="154"/>
    </row>
    <row r="37" spans="1:22" ht="16.5">
      <c r="A37" s="158" t="s">
        <v>473</v>
      </c>
      <c r="B37" s="183">
        <v>2.4</v>
      </c>
      <c r="C37" s="159" t="s">
        <v>6</v>
      </c>
      <c r="E37" s="168"/>
      <c r="F37" s="154"/>
      <c r="G37" s="154"/>
      <c r="H37" s="154"/>
      <c r="I37" s="154"/>
      <c r="J37" s="154"/>
      <c r="K37" s="154"/>
      <c r="L37" s="154"/>
      <c r="M37" s="154"/>
      <c r="N37" s="154"/>
      <c r="O37" s="154"/>
      <c r="P37" s="154"/>
      <c r="Q37" s="154"/>
      <c r="R37" s="154"/>
      <c r="S37" s="155"/>
      <c r="T37" s="154"/>
      <c r="U37" s="154"/>
      <c r="V37" s="154"/>
    </row>
    <row r="38" spans="1:22" ht="15">
      <c r="A38" s="158" t="s">
        <v>29</v>
      </c>
      <c r="B38" s="183">
        <v>120</v>
      </c>
      <c r="C38" s="159" t="s">
        <v>7</v>
      </c>
      <c r="F38" s="154"/>
      <c r="G38" s="154"/>
      <c r="H38" s="154"/>
      <c r="I38" s="154"/>
      <c r="J38" s="154"/>
      <c r="K38" s="154"/>
      <c r="L38" s="154"/>
      <c r="M38" s="154"/>
      <c r="N38" s="154"/>
      <c r="O38" s="154"/>
      <c r="P38" s="154"/>
      <c r="Q38" s="154"/>
      <c r="R38" s="154"/>
      <c r="S38" s="155"/>
      <c r="T38" s="154"/>
      <c r="U38" s="154"/>
      <c r="V38" s="154"/>
    </row>
    <row r="39" spans="1:22" ht="14.25" thickBot="1">
      <c r="A39" s="160" t="s">
        <v>474</v>
      </c>
      <c r="B39" s="169">
        <f>I_Channel_Peak_No_Ilimit</f>
        <v>107.37946428571428</v>
      </c>
      <c r="C39" s="161" t="s">
        <v>4</v>
      </c>
      <c r="F39" s="154"/>
      <c r="G39" s="154"/>
      <c r="H39" s="154"/>
      <c r="I39" s="154"/>
      <c r="J39" s="154"/>
      <c r="K39" s="154"/>
      <c r="L39" s="154"/>
      <c r="M39" s="154"/>
      <c r="N39" s="154"/>
      <c r="O39" s="154"/>
      <c r="P39" s="154"/>
      <c r="Q39" s="154"/>
      <c r="R39" s="154"/>
      <c r="S39" s="155"/>
      <c r="T39" s="154"/>
      <c r="U39" s="154"/>
      <c r="V39" s="154"/>
    </row>
    <row r="40" spans="1:22">
      <c r="A40" s="158"/>
      <c r="B40" s="170"/>
      <c r="C40" s="153"/>
      <c r="F40" s="154"/>
      <c r="G40" s="154"/>
      <c r="H40" s="154"/>
      <c r="I40" s="154"/>
      <c r="J40" s="154"/>
      <c r="K40" s="154"/>
      <c r="L40" s="154"/>
      <c r="M40" s="154"/>
      <c r="N40" s="154"/>
      <c r="O40" s="154"/>
      <c r="P40" s="154"/>
      <c r="Q40" s="154"/>
      <c r="R40" s="154"/>
      <c r="S40" s="155"/>
      <c r="T40" s="154"/>
      <c r="U40" s="154"/>
      <c r="V40" s="154"/>
    </row>
    <row r="41" spans="1:22" ht="18.75">
      <c r="A41" s="189" t="s">
        <v>286</v>
      </c>
      <c r="B41" s="189"/>
      <c r="C41" s="189"/>
      <c r="F41" s="154"/>
      <c r="G41" s="154"/>
      <c r="H41" s="154"/>
      <c r="I41" s="154"/>
      <c r="J41" s="154"/>
      <c r="K41" s="154"/>
      <c r="L41" s="154"/>
      <c r="M41" s="154"/>
      <c r="N41" s="154"/>
      <c r="O41" s="154"/>
      <c r="P41" s="154"/>
      <c r="Q41" s="154"/>
      <c r="R41" s="154"/>
      <c r="S41" s="155"/>
      <c r="T41" s="154"/>
      <c r="U41" s="154"/>
      <c r="V41" s="154"/>
    </row>
    <row r="42" spans="1:22" ht="7.5" customHeight="1" thickBot="1">
      <c r="A42" s="158"/>
      <c r="B42" s="170"/>
      <c r="C42" s="153"/>
      <c r="F42" s="154"/>
      <c r="G42" s="154"/>
      <c r="H42" s="154"/>
      <c r="I42" s="154"/>
      <c r="J42" s="154"/>
      <c r="K42" s="154"/>
      <c r="L42" s="154"/>
      <c r="M42" s="154"/>
      <c r="N42" s="154"/>
      <c r="O42" s="154"/>
      <c r="P42" s="154"/>
      <c r="Q42" s="154"/>
      <c r="R42" s="154"/>
      <c r="S42" s="155"/>
      <c r="T42" s="154"/>
      <c r="U42" s="154"/>
      <c r="V42" s="154"/>
    </row>
    <row r="43" spans="1:22" ht="14.25" thickBot="1">
      <c r="A43" s="190" t="s">
        <v>287</v>
      </c>
      <c r="B43" s="191"/>
      <c r="C43" s="192"/>
      <c r="F43" s="154"/>
      <c r="G43" s="154"/>
      <c r="H43" s="154"/>
      <c r="I43" s="154"/>
      <c r="J43" s="154"/>
      <c r="K43" s="154"/>
      <c r="L43" s="154"/>
      <c r="M43" s="154"/>
      <c r="N43" s="154"/>
      <c r="O43" s="154"/>
      <c r="P43" s="154"/>
      <c r="Q43" s="154"/>
      <c r="R43" s="154"/>
      <c r="S43" s="155"/>
      <c r="T43" s="154"/>
      <c r="U43" s="154"/>
      <c r="V43" s="154"/>
    </row>
    <row r="44" spans="1:22">
      <c r="A44" s="158" t="s">
        <v>340</v>
      </c>
      <c r="B44" s="185">
        <v>5</v>
      </c>
      <c r="C44" s="167" t="s">
        <v>26</v>
      </c>
      <c r="F44" s="154"/>
      <c r="G44" s="154"/>
      <c r="H44" s="154"/>
      <c r="I44" s="154"/>
      <c r="J44" s="154"/>
      <c r="K44" s="154"/>
      <c r="L44" s="154"/>
      <c r="M44" s="154"/>
      <c r="N44" s="154"/>
      <c r="O44" s="154"/>
      <c r="P44" s="154"/>
      <c r="Q44" s="154"/>
      <c r="R44" s="154"/>
      <c r="S44" s="155"/>
      <c r="T44" s="154"/>
      <c r="U44" s="154"/>
      <c r="V44" s="154"/>
    </row>
    <row r="45" spans="1:22">
      <c r="A45" s="158" t="s">
        <v>344</v>
      </c>
      <c r="B45" s="170">
        <f>I_Channel_Peak_Select</f>
        <v>112.74843749999999</v>
      </c>
      <c r="C45" s="159" t="s">
        <v>4</v>
      </c>
      <c r="F45" s="154"/>
      <c r="G45" s="154"/>
      <c r="H45" s="154"/>
      <c r="I45" s="154"/>
      <c r="J45" s="154"/>
      <c r="K45" s="154"/>
      <c r="L45" s="154"/>
      <c r="M45" s="154"/>
      <c r="N45" s="154"/>
      <c r="O45" s="154"/>
      <c r="P45" s="154"/>
      <c r="Q45" s="154"/>
      <c r="R45" s="154"/>
      <c r="S45" s="155"/>
      <c r="T45" s="154"/>
      <c r="U45" s="154"/>
      <c r="V45" s="154"/>
    </row>
    <row r="46" spans="1:22" ht="16.5">
      <c r="A46" s="158" t="s">
        <v>341</v>
      </c>
      <c r="B46" s="170">
        <f>Calculations!B68</f>
        <v>20.499715909090906</v>
      </c>
      <c r="C46" s="159" t="s">
        <v>16</v>
      </c>
      <c r="F46" s="154"/>
      <c r="G46" s="154"/>
      <c r="H46" s="154"/>
      <c r="I46" s="154"/>
      <c r="J46" s="154"/>
      <c r="K46" s="154"/>
      <c r="L46" s="154"/>
      <c r="M46" s="154"/>
      <c r="N46" s="154"/>
      <c r="O46" s="154"/>
      <c r="P46" s="154"/>
      <c r="Q46" s="154"/>
      <c r="R46" s="154"/>
      <c r="S46" s="155"/>
      <c r="T46" s="154"/>
      <c r="U46" s="154"/>
      <c r="V46" s="154"/>
    </row>
    <row r="47" spans="1:22" ht="16.5">
      <c r="A47" s="158" t="s">
        <v>342</v>
      </c>
      <c r="B47" s="186">
        <v>47.5</v>
      </c>
      <c r="C47" s="159" t="s">
        <v>16</v>
      </c>
      <c r="F47" s="154"/>
      <c r="G47" s="154"/>
      <c r="H47" s="154"/>
      <c r="I47" s="154"/>
      <c r="J47" s="154"/>
      <c r="K47" s="154"/>
      <c r="L47" s="154"/>
      <c r="M47" s="154"/>
      <c r="N47" s="154"/>
      <c r="O47" s="154"/>
      <c r="P47" s="154"/>
      <c r="Q47" s="154"/>
      <c r="R47" s="154"/>
      <c r="S47" s="155"/>
      <c r="T47" s="154"/>
      <c r="U47" s="154"/>
      <c r="V47" s="154"/>
    </row>
    <row r="48" spans="1:22" ht="14.25" thickBot="1">
      <c r="A48" s="160" t="s">
        <v>343</v>
      </c>
      <c r="B48" s="169">
        <f>Calculations!B70</f>
        <v>261.25</v>
      </c>
      <c r="C48" s="161" t="s">
        <v>4</v>
      </c>
      <c r="F48" s="154"/>
      <c r="G48" s="154"/>
      <c r="H48" s="154"/>
      <c r="I48" s="154"/>
      <c r="J48" s="154"/>
      <c r="K48" s="154"/>
      <c r="L48" s="154"/>
      <c r="M48" s="154"/>
      <c r="N48" s="154"/>
      <c r="O48" s="154"/>
      <c r="P48" s="154"/>
      <c r="Q48" s="154"/>
      <c r="R48" s="154"/>
      <c r="S48" s="155"/>
      <c r="T48" s="154"/>
      <c r="U48" s="154"/>
      <c r="V48" s="154"/>
    </row>
    <row r="49" spans="1:22">
      <c r="A49" s="162"/>
      <c r="B49" s="170"/>
      <c r="C49" s="153"/>
      <c r="F49" s="154"/>
      <c r="G49" s="154"/>
      <c r="H49" s="154"/>
      <c r="I49" s="154"/>
      <c r="J49" s="154"/>
      <c r="K49" s="154"/>
      <c r="L49" s="154"/>
      <c r="M49" s="154"/>
      <c r="N49" s="154"/>
      <c r="O49" s="154"/>
      <c r="P49" s="154"/>
      <c r="Q49" s="154"/>
      <c r="R49" s="154"/>
      <c r="S49" s="155"/>
      <c r="T49" s="154"/>
      <c r="U49" s="154"/>
      <c r="V49" s="154"/>
    </row>
    <row r="50" spans="1:22" ht="18.75">
      <c r="A50" s="189" t="s">
        <v>289</v>
      </c>
      <c r="B50" s="189"/>
      <c r="C50" s="189"/>
      <c r="F50" s="154"/>
      <c r="G50" s="154"/>
      <c r="H50" s="154"/>
      <c r="I50" s="154"/>
      <c r="J50" s="154"/>
      <c r="K50" s="154"/>
      <c r="L50" s="154"/>
      <c r="M50" s="154"/>
      <c r="N50" s="154"/>
      <c r="O50" s="154"/>
      <c r="P50" s="154"/>
      <c r="Q50" s="154"/>
      <c r="R50" s="154"/>
      <c r="S50" s="155"/>
      <c r="T50" s="154"/>
      <c r="U50" s="154"/>
      <c r="V50" s="154"/>
    </row>
    <row r="51" spans="1:22" ht="6.75" customHeight="1" thickBot="1">
      <c r="A51" s="162"/>
      <c r="B51" s="170"/>
      <c r="C51" s="153"/>
      <c r="F51" s="154"/>
      <c r="G51" s="154"/>
      <c r="H51" s="154"/>
      <c r="I51" s="154"/>
      <c r="J51" s="154"/>
      <c r="K51" s="154"/>
      <c r="L51" s="154"/>
      <c r="M51" s="154"/>
      <c r="N51" s="154"/>
      <c r="O51" s="154"/>
      <c r="P51" s="154"/>
      <c r="Q51" s="154"/>
      <c r="R51" s="154"/>
      <c r="S51" s="155"/>
      <c r="T51" s="154"/>
      <c r="U51" s="154"/>
      <c r="V51" s="154"/>
    </row>
    <row r="52" spans="1:22" ht="14.25" thickBot="1">
      <c r="A52" s="190" t="s">
        <v>338</v>
      </c>
      <c r="B52" s="191"/>
      <c r="C52" s="192"/>
      <c r="F52" s="154"/>
      <c r="G52" s="154"/>
      <c r="H52" s="154"/>
      <c r="I52" s="154"/>
      <c r="J52" s="154"/>
      <c r="K52" s="154"/>
      <c r="L52" s="154"/>
      <c r="M52" s="154"/>
      <c r="N52" s="154"/>
      <c r="O52" s="154"/>
      <c r="P52" s="154"/>
      <c r="Q52" s="154"/>
      <c r="R52" s="154"/>
      <c r="S52" s="155"/>
      <c r="T52" s="154"/>
      <c r="U52" s="154"/>
      <c r="V52" s="154"/>
    </row>
    <row r="53" spans="1:22" ht="16.5">
      <c r="A53" s="158" t="s">
        <v>347</v>
      </c>
      <c r="B53" s="183">
        <v>5740</v>
      </c>
      <c r="C53" s="171" t="s">
        <v>32</v>
      </c>
      <c r="F53" s="154"/>
      <c r="G53" s="154"/>
      <c r="H53" s="154"/>
      <c r="I53" s="154"/>
      <c r="J53" s="154"/>
      <c r="K53" s="154"/>
      <c r="L53" s="154"/>
      <c r="M53" s="154"/>
      <c r="N53" s="154"/>
      <c r="O53" s="154"/>
      <c r="P53" s="154"/>
      <c r="Q53" s="154"/>
      <c r="R53" s="154"/>
      <c r="S53" s="155"/>
      <c r="T53" s="154"/>
      <c r="U53" s="154"/>
      <c r="V53" s="154"/>
    </row>
    <row r="54" spans="1:22" ht="15.75" thickBot="1">
      <c r="A54" s="160" t="s">
        <v>345</v>
      </c>
      <c r="B54" s="184">
        <v>4</v>
      </c>
      <c r="C54" s="161" t="s">
        <v>7</v>
      </c>
      <c r="F54" s="154"/>
      <c r="G54" s="154"/>
      <c r="H54" s="154"/>
      <c r="I54" s="154"/>
      <c r="J54" s="154"/>
      <c r="K54" s="154"/>
      <c r="L54" s="154"/>
      <c r="M54" s="154"/>
      <c r="N54" s="154"/>
      <c r="O54" s="154"/>
      <c r="P54" s="154"/>
      <c r="Q54" s="154"/>
      <c r="R54" s="154"/>
      <c r="S54" s="155"/>
      <c r="T54" s="154"/>
      <c r="U54" s="154"/>
      <c r="V54" s="154"/>
    </row>
    <row r="55" spans="1:22" ht="14.25" thickBot="1">
      <c r="A55" s="190" t="s">
        <v>339</v>
      </c>
      <c r="B55" s="191"/>
      <c r="C55" s="192"/>
      <c r="F55" s="154"/>
      <c r="G55" s="154"/>
      <c r="H55" s="154"/>
      <c r="I55" s="154"/>
      <c r="J55" s="154"/>
      <c r="K55" s="154"/>
      <c r="L55" s="154"/>
      <c r="M55" s="154"/>
      <c r="N55" s="154"/>
      <c r="O55" s="154"/>
      <c r="P55" s="154"/>
      <c r="Q55" s="154"/>
      <c r="R55" s="154"/>
      <c r="S55" s="155"/>
      <c r="T55" s="154"/>
      <c r="U55" s="154"/>
      <c r="V55" s="154"/>
    </row>
    <row r="56" spans="1:22" ht="16.5">
      <c r="A56" s="158" t="s">
        <v>348</v>
      </c>
      <c r="B56" s="183">
        <v>2990</v>
      </c>
      <c r="C56" s="171" t="s">
        <v>32</v>
      </c>
      <c r="F56" s="154"/>
      <c r="G56" s="154"/>
      <c r="H56" s="154"/>
      <c r="I56" s="154"/>
      <c r="J56" s="154"/>
      <c r="K56" s="154"/>
      <c r="L56" s="154"/>
      <c r="M56" s="154"/>
      <c r="N56" s="154"/>
      <c r="O56" s="154"/>
      <c r="P56" s="154"/>
      <c r="Q56" s="154"/>
      <c r="R56" s="154"/>
      <c r="S56" s="155"/>
      <c r="T56" s="154"/>
      <c r="U56" s="154"/>
      <c r="V56" s="154"/>
    </row>
    <row r="57" spans="1:22" ht="15.75" thickBot="1">
      <c r="A57" s="160" t="s">
        <v>346</v>
      </c>
      <c r="B57" s="184">
        <v>5.61</v>
      </c>
      <c r="C57" s="161" t="s">
        <v>7</v>
      </c>
      <c r="F57" s="154"/>
      <c r="G57" s="154"/>
      <c r="H57" s="154"/>
      <c r="I57" s="154"/>
      <c r="J57" s="154"/>
      <c r="K57" s="154"/>
      <c r="L57" s="154"/>
      <c r="M57" s="154"/>
      <c r="N57" s="154"/>
      <c r="O57" s="154"/>
      <c r="P57" s="154"/>
      <c r="Q57" s="154"/>
      <c r="R57" s="154"/>
      <c r="S57" s="155"/>
      <c r="T57" s="154"/>
      <c r="U57" s="154"/>
      <c r="V57" s="154"/>
    </row>
    <row r="58" spans="1:22">
      <c r="F58" s="154"/>
      <c r="G58" s="154"/>
      <c r="H58" s="154"/>
      <c r="I58" s="154"/>
      <c r="J58" s="154"/>
      <c r="K58" s="154"/>
      <c r="L58" s="154"/>
      <c r="M58" s="154"/>
      <c r="N58" s="154"/>
      <c r="O58" s="154"/>
      <c r="P58" s="154"/>
      <c r="Q58" s="154"/>
      <c r="R58" s="154"/>
      <c r="S58" s="155"/>
      <c r="T58" s="154"/>
      <c r="U58" s="154"/>
      <c r="V58" s="154"/>
    </row>
    <row r="59" spans="1:22" ht="18.75">
      <c r="A59" s="189" t="s">
        <v>295</v>
      </c>
      <c r="B59" s="189"/>
      <c r="C59" s="189"/>
      <c r="F59" s="154"/>
      <c r="G59" s="154"/>
      <c r="H59" s="154"/>
      <c r="I59" s="154"/>
      <c r="J59" s="154"/>
      <c r="K59" s="154"/>
      <c r="L59" s="154"/>
      <c r="M59" s="154"/>
      <c r="N59" s="154"/>
      <c r="O59" s="154"/>
      <c r="P59" s="154"/>
      <c r="Q59" s="154"/>
      <c r="R59" s="154"/>
      <c r="S59" s="155"/>
      <c r="T59" s="154"/>
      <c r="U59" s="154"/>
      <c r="V59" s="154"/>
    </row>
    <row r="60" spans="1:22" ht="6" customHeight="1" thickBot="1">
      <c r="F60" s="154"/>
      <c r="G60" s="154"/>
      <c r="H60" s="154"/>
      <c r="I60" s="154"/>
      <c r="J60" s="154"/>
      <c r="K60" s="154"/>
      <c r="L60" s="154"/>
      <c r="M60" s="154"/>
      <c r="N60" s="154"/>
      <c r="O60" s="154"/>
      <c r="P60" s="154"/>
      <c r="Q60" s="154"/>
      <c r="R60" s="154"/>
      <c r="S60" s="155"/>
      <c r="T60" s="154"/>
      <c r="U60" s="154"/>
      <c r="V60" s="154"/>
    </row>
    <row r="61" spans="1:22" ht="14.25" thickBot="1">
      <c r="A61" s="190" t="s">
        <v>296</v>
      </c>
      <c r="B61" s="191"/>
      <c r="C61" s="192"/>
      <c r="F61" s="154"/>
      <c r="G61" s="154"/>
      <c r="H61" s="154"/>
      <c r="I61" s="154"/>
      <c r="J61" s="154"/>
      <c r="K61" s="154"/>
      <c r="L61" s="154"/>
      <c r="M61" s="154"/>
      <c r="N61" s="154"/>
      <c r="O61" s="154"/>
      <c r="P61" s="203" t="s">
        <v>384</v>
      </c>
      <c r="Q61" s="204"/>
      <c r="R61" s="154"/>
      <c r="S61" s="155"/>
      <c r="T61" s="154"/>
      <c r="U61" s="154"/>
      <c r="V61" s="154"/>
    </row>
    <row r="62" spans="1:22" ht="16.5">
      <c r="A62" s="172" t="s">
        <v>349</v>
      </c>
      <c r="B62" s="187">
        <v>1</v>
      </c>
      <c r="C62" s="173" t="s">
        <v>40</v>
      </c>
      <c r="F62" s="154"/>
      <c r="G62" s="154"/>
      <c r="H62" s="154"/>
      <c r="I62" s="154"/>
      <c r="J62" s="154"/>
      <c r="K62" s="154"/>
      <c r="L62" s="154"/>
      <c r="M62" s="154"/>
      <c r="N62" s="154"/>
      <c r="O62" s="154"/>
      <c r="P62" s="154"/>
      <c r="Q62" s="154"/>
      <c r="R62" s="154"/>
      <c r="S62" s="155"/>
      <c r="T62" s="154"/>
      <c r="U62" s="154"/>
      <c r="V62" s="154"/>
    </row>
    <row r="63" spans="1:22" ht="16.5">
      <c r="A63" s="158" t="s">
        <v>350</v>
      </c>
      <c r="B63" s="170">
        <f>Calculations!B76</f>
        <v>96</v>
      </c>
      <c r="C63" s="159" t="s">
        <v>104</v>
      </c>
      <c r="F63" s="154"/>
      <c r="G63" s="154"/>
      <c r="H63" s="154"/>
      <c r="I63" s="154"/>
      <c r="J63" s="154"/>
      <c r="K63" s="154"/>
      <c r="L63" s="154"/>
      <c r="M63" s="154"/>
      <c r="N63" s="154"/>
      <c r="O63" s="154"/>
      <c r="P63" s="154"/>
      <c r="Q63" s="154"/>
      <c r="R63" s="154"/>
      <c r="S63" s="155"/>
      <c r="T63" s="154"/>
      <c r="U63" s="154"/>
      <c r="V63" s="154"/>
    </row>
    <row r="64" spans="1:22" ht="16.5">
      <c r="A64" s="158" t="s">
        <v>351</v>
      </c>
      <c r="B64" s="183">
        <v>95.3</v>
      </c>
      <c r="C64" s="159" t="s">
        <v>16</v>
      </c>
      <c r="F64" s="154"/>
      <c r="G64" s="154"/>
      <c r="H64" s="154"/>
      <c r="I64" s="154"/>
      <c r="J64" s="154"/>
      <c r="K64" s="154"/>
      <c r="L64" s="154"/>
      <c r="M64" s="154"/>
      <c r="N64" s="154"/>
      <c r="O64" s="154"/>
      <c r="P64" s="154"/>
      <c r="Q64" s="154"/>
      <c r="R64" s="154"/>
      <c r="S64" s="155"/>
      <c r="T64" s="154"/>
      <c r="U64" s="154"/>
      <c r="V64" s="154"/>
    </row>
    <row r="65" spans="1:22">
      <c r="A65" s="158" t="s">
        <v>475</v>
      </c>
      <c r="B65" s="170">
        <f>Calculations!B78</f>
        <v>3.6726128016789081</v>
      </c>
      <c r="C65" s="159" t="s">
        <v>1</v>
      </c>
      <c r="F65" s="154"/>
      <c r="G65" s="154"/>
      <c r="H65" s="154"/>
      <c r="I65" s="154"/>
      <c r="J65" s="154"/>
      <c r="K65" s="154"/>
      <c r="L65" s="154"/>
      <c r="M65" s="154"/>
      <c r="N65" s="154"/>
      <c r="O65" s="154"/>
      <c r="P65" s="154"/>
      <c r="Q65" s="154"/>
      <c r="R65" s="154"/>
      <c r="S65" s="155"/>
      <c r="T65" s="154"/>
      <c r="U65" s="154"/>
      <c r="V65" s="154"/>
    </row>
    <row r="66" spans="1:22">
      <c r="A66" s="158" t="s">
        <v>476</v>
      </c>
      <c r="B66" s="170">
        <f>Calculations!B79</f>
        <v>5.0367261280167881</v>
      </c>
      <c r="C66" s="159" t="s">
        <v>1</v>
      </c>
      <c r="F66" s="154"/>
      <c r="G66" s="154"/>
      <c r="H66" s="154"/>
      <c r="I66" s="154"/>
      <c r="J66" s="154"/>
      <c r="K66" s="154"/>
      <c r="L66" s="154"/>
      <c r="M66" s="154"/>
      <c r="N66" s="154"/>
      <c r="O66" s="154"/>
      <c r="P66" s="154"/>
      <c r="Q66" s="154"/>
      <c r="R66" s="154"/>
      <c r="S66" s="155"/>
      <c r="T66" s="154"/>
      <c r="U66" s="154"/>
      <c r="V66" s="154"/>
    </row>
    <row r="67" spans="1:22" ht="14.25" thickBot="1">
      <c r="A67" s="160" t="s">
        <v>477</v>
      </c>
      <c r="B67" s="169">
        <f>Calculations!B80</f>
        <v>5.8761804826862534</v>
      </c>
      <c r="C67" s="161" t="s">
        <v>1</v>
      </c>
      <c r="F67" s="154"/>
      <c r="G67" s="154"/>
      <c r="H67" s="154"/>
      <c r="I67" s="154"/>
      <c r="J67" s="154"/>
      <c r="K67" s="154"/>
      <c r="L67" s="154"/>
      <c r="M67" s="154"/>
      <c r="N67" s="154"/>
      <c r="O67" s="154"/>
      <c r="P67" s="154"/>
      <c r="Q67" s="154"/>
      <c r="R67" s="154"/>
      <c r="S67" s="155"/>
      <c r="T67" s="154"/>
      <c r="U67" s="154"/>
      <c r="V67" s="154"/>
    </row>
    <row r="68" spans="1:22">
      <c r="A68" s="162"/>
      <c r="B68" s="153"/>
      <c r="C68" s="153"/>
      <c r="F68" s="154"/>
      <c r="G68" s="154"/>
      <c r="H68" s="154"/>
      <c r="I68" s="154"/>
      <c r="J68" s="154"/>
      <c r="K68" s="154"/>
      <c r="L68" s="154"/>
      <c r="M68" s="154"/>
      <c r="N68" s="154"/>
      <c r="O68" s="154"/>
      <c r="P68" s="154"/>
      <c r="Q68" s="154"/>
      <c r="R68" s="154"/>
      <c r="S68" s="155"/>
      <c r="T68" s="154"/>
      <c r="U68" s="154"/>
      <c r="V68" s="154"/>
    </row>
    <row r="69" spans="1:22" ht="18.75">
      <c r="A69" s="189" t="s">
        <v>297</v>
      </c>
      <c r="B69" s="189"/>
      <c r="C69" s="189"/>
      <c r="F69" s="154"/>
      <c r="G69" s="154"/>
      <c r="H69" s="154"/>
      <c r="I69" s="154"/>
      <c r="J69" s="154"/>
      <c r="K69" s="154"/>
      <c r="L69" s="154"/>
      <c r="M69" s="154"/>
      <c r="N69" s="154"/>
      <c r="O69" s="154"/>
      <c r="P69" s="154"/>
      <c r="Q69" s="154"/>
      <c r="R69" s="154"/>
      <c r="S69" s="155"/>
      <c r="T69" s="154"/>
      <c r="U69" s="154"/>
      <c r="V69" s="154"/>
    </row>
    <row r="70" spans="1:22" ht="6" customHeight="1" thickBot="1">
      <c r="A70" s="162"/>
      <c r="B70" s="153"/>
      <c r="C70" s="153"/>
      <c r="F70" s="154"/>
      <c r="G70" s="154"/>
      <c r="H70" s="154"/>
      <c r="I70" s="154"/>
      <c r="J70" s="154"/>
      <c r="K70" s="154"/>
      <c r="L70" s="154"/>
      <c r="M70" s="154"/>
      <c r="N70" s="154"/>
      <c r="O70" s="154"/>
      <c r="P70" s="154"/>
      <c r="Q70" s="154"/>
      <c r="R70" s="154"/>
      <c r="S70" s="155"/>
      <c r="T70" s="154"/>
      <c r="U70" s="154"/>
      <c r="V70" s="154"/>
    </row>
    <row r="71" spans="1:22" ht="14.25" thickBot="1">
      <c r="A71" s="190" t="s">
        <v>112</v>
      </c>
      <c r="B71" s="191"/>
      <c r="C71" s="192"/>
      <c r="F71" s="154"/>
      <c r="G71" s="154"/>
      <c r="H71" s="154"/>
      <c r="I71" s="154"/>
      <c r="J71" s="154"/>
      <c r="K71" s="154"/>
      <c r="L71" s="154"/>
      <c r="M71" s="154"/>
      <c r="N71" s="154"/>
      <c r="O71" s="154"/>
      <c r="P71" s="154"/>
      <c r="Q71" s="154"/>
      <c r="R71" s="154"/>
      <c r="S71" s="155"/>
      <c r="T71" s="154"/>
      <c r="U71" s="154"/>
      <c r="V71" s="154"/>
    </row>
    <row r="72" spans="1:22" ht="14.25" thickBot="1">
      <c r="A72" s="158" t="s">
        <v>352</v>
      </c>
      <c r="B72" s="183">
        <v>2</v>
      </c>
      <c r="C72" s="159" t="s">
        <v>114</v>
      </c>
      <c r="F72" s="154"/>
      <c r="G72" s="154"/>
      <c r="H72" s="154"/>
      <c r="I72" s="154"/>
      <c r="J72" s="154"/>
      <c r="K72" s="154"/>
      <c r="L72" s="154"/>
      <c r="M72" s="154"/>
      <c r="N72" s="154"/>
      <c r="O72" s="154"/>
      <c r="P72" s="154"/>
      <c r="Q72" s="154"/>
      <c r="R72" s="154"/>
      <c r="S72" s="155"/>
      <c r="T72" s="154"/>
      <c r="U72" s="154"/>
      <c r="V72" s="154"/>
    </row>
    <row r="73" spans="1:22" ht="17.25" thickBot="1">
      <c r="A73" s="158" t="s">
        <v>353</v>
      </c>
      <c r="B73" s="153">
        <f>Calculations!B84</f>
        <v>0.01</v>
      </c>
      <c r="C73" s="159" t="s">
        <v>32</v>
      </c>
      <c r="P73" s="203" t="s">
        <v>384</v>
      </c>
      <c r="Q73" s="204"/>
    </row>
    <row r="74" spans="1:22" ht="16.5">
      <c r="A74" s="158" t="s">
        <v>354</v>
      </c>
      <c r="B74" s="183">
        <v>3.3000000000000002E-2</v>
      </c>
      <c r="C74" s="159" t="s">
        <v>32</v>
      </c>
    </row>
    <row r="75" spans="1:22" ht="14.25" thickBot="1">
      <c r="A75" s="160" t="s">
        <v>182</v>
      </c>
      <c r="B75" s="164">
        <f>Calculations!B86</f>
        <v>6.6</v>
      </c>
      <c r="C75" s="161" t="s">
        <v>114</v>
      </c>
    </row>
    <row r="76" spans="1:22">
      <c r="A76" s="162"/>
      <c r="B76" s="153"/>
      <c r="C76" s="153"/>
    </row>
    <row r="77" spans="1:22" ht="18.75">
      <c r="A77" s="189" t="s">
        <v>300</v>
      </c>
      <c r="B77" s="189"/>
      <c r="C77" s="189"/>
    </row>
    <row r="78" spans="1:22" ht="7.5" customHeight="1" thickBot="1">
      <c r="A78" s="162"/>
      <c r="B78" s="153"/>
      <c r="C78" s="153"/>
    </row>
    <row r="79" spans="1:22" ht="14.25" thickBot="1">
      <c r="A79" s="190" t="s">
        <v>298</v>
      </c>
      <c r="B79" s="191"/>
      <c r="C79" s="192"/>
      <c r="F79" s="175"/>
      <c r="G79" s="175"/>
      <c r="H79" s="175"/>
      <c r="I79" s="175"/>
      <c r="J79" s="175"/>
      <c r="K79" s="175"/>
      <c r="N79" s="175"/>
      <c r="O79" s="175"/>
      <c r="P79" s="175"/>
      <c r="Q79" s="175"/>
      <c r="R79" s="175"/>
      <c r="S79" s="176"/>
    </row>
    <row r="80" spans="1:22">
      <c r="A80" s="158" t="s">
        <v>337</v>
      </c>
      <c r="B80" s="183">
        <v>70</v>
      </c>
      <c r="C80" s="159" t="s">
        <v>1</v>
      </c>
      <c r="F80" s="175"/>
      <c r="G80" s="175"/>
      <c r="H80" s="175"/>
      <c r="I80" s="175"/>
      <c r="J80" s="175"/>
      <c r="K80" s="175"/>
      <c r="N80" s="175"/>
      <c r="O80" s="175"/>
      <c r="P80" s="175"/>
      <c r="Q80" s="175"/>
      <c r="R80" s="175"/>
      <c r="S80" s="176"/>
    </row>
    <row r="81" spans="1:22" ht="16.5">
      <c r="A81" s="158" t="s">
        <v>355</v>
      </c>
      <c r="B81" s="170">
        <f>Calculations!B90</f>
        <v>51.660248492334517</v>
      </c>
      <c r="C81" s="159" t="s">
        <v>104</v>
      </c>
      <c r="F81" s="175"/>
      <c r="G81" s="175"/>
      <c r="H81" s="175"/>
      <c r="I81" s="175"/>
      <c r="J81" s="175"/>
      <c r="K81" s="175"/>
      <c r="N81" s="175"/>
      <c r="O81" s="175"/>
      <c r="P81" s="175"/>
      <c r="Q81" s="175"/>
      <c r="R81" s="175"/>
      <c r="S81" s="176"/>
    </row>
    <row r="82" spans="1:22" ht="16.5">
      <c r="A82" s="158" t="s">
        <v>356</v>
      </c>
      <c r="B82" s="183">
        <v>51.1</v>
      </c>
      <c r="C82" s="159" t="s">
        <v>104</v>
      </c>
      <c r="F82" s="175"/>
      <c r="G82" s="175"/>
      <c r="H82" s="175"/>
      <c r="I82" s="175"/>
      <c r="J82" s="175"/>
      <c r="K82" s="175"/>
      <c r="N82" s="175"/>
      <c r="O82" s="175"/>
      <c r="P82" s="175"/>
      <c r="Q82" s="175"/>
      <c r="R82" s="175"/>
      <c r="S82" s="176"/>
    </row>
    <row r="83" spans="1:22" ht="14.25" thickBot="1">
      <c r="A83" s="160" t="s">
        <v>336</v>
      </c>
      <c r="B83" s="169">
        <f>Calculations!B92</f>
        <v>70.754471624266145</v>
      </c>
      <c r="C83" s="161" t="s">
        <v>1</v>
      </c>
      <c r="F83" s="175"/>
      <c r="G83" s="175"/>
      <c r="H83" s="175"/>
      <c r="I83" s="175"/>
      <c r="J83" s="175"/>
      <c r="K83" s="175"/>
      <c r="N83" s="175"/>
      <c r="O83" s="175"/>
      <c r="P83" s="175"/>
      <c r="Q83" s="175"/>
      <c r="R83" s="175"/>
      <c r="S83" s="176"/>
    </row>
    <row r="84" spans="1:22" ht="14.25" thickBot="1">
      <c r="A84" s="190" t="s">
        <v>299</v>
      </c>
      <c r="B84" s="191"/>
      <c r="C84" s="192"/>
      <c r="F84" s="175"/>
      <c r="G84" s="175"/>
      <c r="H84" s="175"/>
      <c r="I84" s="175"/>
      <c r="J84" s="175"/>
      <c r="K84" s="175"/>
      <c r="N84" s="175"/>
      <c r="O84" s="175"/>
      <c r="P84" s="175"/>
      <c r="Q84" s="175"/>
      <c r="R84" s="175"/>
      <c r="S84" s="176"/>
    </row>
    <row r="85" spans="1:22">
      <c r="A85" s="158" t="s">
        <v>335</v>
      </c>
      <c r="B85" s="183">
        <v>23</v>
      </c>
      <c r="C85" s="159" t="s">
        <v>1</v>
      </c>
      <c r="F85" s="175"/>
      <c r="G85" s="175"/>
      <c r="H85" s="175"/>
      <c r="I85" s="175"/>
      <c r="J85" s="175"/>
      <c r="K85" s="175"/>
      <c r="N85" s="175"/>
      <c r="O85" s="175"/>
      <c r="P85" s="175"/>
      <c r="Q85" s="175"/>
      <c r="R85" s="175"/>
      <c r="S85" s="176"/>
    </row>
    <row r="86" spans="1:22" ht="16.5">
      <c r="A86" s="158" t="s">
        <v>357</v>
      </c>
      <c r="B86" s="170">
        <f>Calculations!B94</f>
        <v>54.320421728168689</v>
      </c>
      <c r="C86" s="159" t="s">
        <v>104</v>
      </c>
      <c r="F86" s="175"/>
      <c r="G86" s="175"/>
      <c r="H86" s="175"/>
      <c r="I86" s="175"/>
      <c r="J86" s="175"/>
      <c r="K86" s="175"/>
      <c r="N86" s="175"/>
      <c r="O86" s="175"/>
      <c r="P86" s="175"/>
      <c r="Q86" s="175"/>
      <c r="R86" s="175"/>
      <c r="S86" s="176"/>
    </row>
    <row r="87" spans="1:22" ht="16.5">
      <c r="A87" s="158" t="s">
        <v>358</v>
      </c>
      <c r="B87" s="183">
        <v>54.9</v>
      </c>
      <c r="C87" s="159" t="s">
        <v>104</v>
      </c>
      <c r="F87" s="175"/>
      <c r="G87" s="175"/>
      <c r="H87" s="175"/>
      <c r="I87" s="175"/>
      <c r="J87" s="175"/>
      <c r="K87" s="175"/>
      <c r="N87" s="175"/>
      <c r="O87" s="175"/>
      <c r="P87" s="175"/>
      <c r="Q87" s="175"/>
      <c r="R87" s="175"/>
      <c r="S87" s="176"/>
    </row>
    <row r="88" spans="1:22" ht="14.25" thickBot="1">
      <c r="A88" s="160" t="s">
        <v>334</v>
      </c>
      <c r="B88" s="169">
        <f>Calculations!B96</f>
        <v>22.769699453551912</v>
      </c>
      <c r="C88" s="161" t="s">
        <v>1</v>
      </c>
      <c r="F88" s="175"/>
      <c r="G88" s="175"/>
      <c r="H88" s="175"/>
      <c r="I88" s="175"/>
      <c r="J88" s="175"/>
      <c r="K88" s="175"/>
      <c r="N88" s="175"/>
      <c r="O88" s="175"/>
      <c r="P88" s="175"/>
      <c r="Q88" s="175"/>
      <c r="R88" s="175"/>
      <c r="S88" s="176"/>
    </row>
    <row r="90" spans="1:22" ht="18.75">
      <c r="A90" s="189" t="s">
        <v>463</v>
      </c>
      <c r="B90" s="189"/>
      <c r="C90" s="189"/>
    </row>
    <row r="91" spans="1:22" ht="6" customHeight="1" thickBot="1">
      <c r="E91" s="154"/>
      <c r="F91" s="154"/>
      <c r="G91" s="154"/>
      <c r="H91" s="154"/>
      <c r="I91" s="154"/>
      <c r="J91" s="154"/>
      <c r="K91" s="154"/>
      <c r="L91" s="154"/>
      <c r="M91" s="154"/>
      <c r="N91" s="154"/>
      <c r="O91" s="154"/>
      <c r="P91" s="154"/>
      <c r="Q91" s="154"/>
      <c r="R91" s="154"/>
      <c r="S91" s="155"/>
    </row>
    <row r="92" spans="1:22" ht="14.25" thickBot="1">
      <c r="A92" s="190" t="s">
        <v>113</v>
      </c>
      <c r="B92" s="191"/>
      <c r="C92" s="192"/>
      <c r="E92" s="154"/>
      <c r="F92" s="154"/>
      <c r="G92" s="154"/>
      <c r="H92" s="154"/>
      <c r="I92" s="154"/>
      <c r="J92" s="154"/>
      <c r="K92" s="154"/>
      <c r="L92" s="154"/>
      <c r="M92" s="154"/>
      <c r="N92" s="154"/>
      <c r="O92" s="154"/>
      <c r="P92" s="154"/>
      <c r="Q92" s="154"/>
      <c r="R92" s="154"/>
      <c r="S92" s="155"/>
    </row>
    <row r="93" spans="1:22">
      <c r="A93" s="158" t="s">
        <v>117</v>
      </c>
      <c r="B93" s="198" t="s">
        <v>173</v>
      </c>
      <c r="C93" s="199"/>
      <c r="E93" s="154"/>
      <c r="F93" s="201" t="s">
        <v>309</v>
      </c>
      <c r="G93" s="201"/>
      <c r="H93" s="201"/>
      <c r="I93" s="154"/>
      <c r="J93" s="154"/>
      <c r="K93" s="201" t="s">
        <v>307</v>
      </c>
      <c r="L93" s="201"/>
      <c r="M93" s="201"/>
      <c r="N93" s="154"/>
      <c r="O93" s="154"/>
      <c r="P93" s="154"/>
      <c r="Q93" s="201" t="s">
        <v>308</v>
      </c>
      <c r="R93" s="201"/>
      <c r="S93" s="155"/>
      <c r="V93" s="175"/>
    </row>
    <row r="94" spans="1:22">
      <c r="A94" s="158" t="s">
        <v>318</v>
      </c>
      <c r="B94" s="183">
        <v>24</v>
      </c>
      <c r="C94" s="159" t="s">
        <v>1</v>
      </c>
      <c r="E94" s="154"/>
      <c r="F94" s="154"/>
      <c r="G94" s="154"/>
      <c r="H94" s="154"/>
      <c r="I94" s="154"/>
      <c r="J94" s="154"/>
      <c r="K94" s="154"/>
      <c r="L94" s="154"/>
      <c r="M94" s="154"/>
      <c r="N94" s="154"/>
      <c r="O94" s="154"/>
      <c r="P94" s="154"/>
      <c r="Q94" s="154"/>
      <c r="R94" s="154"/>
      <c r="S94" s="155"/>
      <c r="V94" s="175"/>
    </row>
    <row r="95" spans="1:22" ht="16.5">
      <c r="A95" s="158" t="s">
        <v>310</v>
      </c>
      <c r="B95" s="183">
        <v>38.299999999999997</v>
      </c>
      <c r="C95" s="159" t="s">
        <v>104</v>
      </c>
      <c r="E95" s="154"/>
      <c r="F95" s="154"/>
      <c r="G95" s="154"/>
      <c r="H95" s="154"/>
      <c r="I95" s="154"/>
      <c r="J95" s="154"/>
      <c r="K95" s="154"/>
      <c r="L95" s="154"/>
      <c r="M95" s="154"/>
      <c r="N95" s="154"/>
      <c r="O95" s="154"/>
      <c r="P95" s="154"/>
      <c r="Q95" s="154"/>
      <c r="R95" s="154"/>
      <c r="S95" s="155"/>
      <c r="V95" s="175"/>
    </row>
    <row r="96" spans="1:22" ht="16.5">
      <c r="A96" s="158" t="s">
        <v>464</v>
      </c>
      <c r="B96" s="177">
        <f>Calculations!B102</f>
        <v>329.37999999999994</v>
      </c>
      <c r="C96" s="159" t="s">
        <v>104</v>
      </c>
      <c r="E96" s="154"/>
      <c r="F96" s="154"/>
      <c r="G96" s="154"/>
      <c r="H96" s="154"/>
      <c r="I96" s="154"/>
      <c r="J96" s="154"/>
      <c r="K96" s="154"/>
      <c r="L96" s="154"/>
      <c r="M96" s="154"/>
      <c r="N96" s="154"/>
      <c r="O96" s="154"/>
      <c r="P96" s="154"/>
      <c r="Q96" s="154"/>
      <c r="R96" s="154"/>
      <c r="S96" s="155"/>
      <c r="V96" s="175"/>
    </row>
    <row r="97" spans="1:22" ht="16.5">
      <c r="A97" s="158" t="s">
        <v>311</v>
      </c>
      <c r="B97" s="183">
        <v>100</v>
      </c>
      <c r="C97" s="159" t="s">
        <v>104</v>
      </c>
      <c r="E97" s="154"/>
      <c r="F97" s="154"/>
      <c r="G97" s="154"/>
      <c r="H97" s="154"/>
      <c r="I97" s="154"/>
      <c r="J97" s="154"/>
      <c r="K97" s="154"/>
      <c r="L97" s="154"/>
      <c r="M97" s="154"/>
      <c r="N97" s="154"/>
      <c r="O97" s="154"/>
      <c r="P97" s="154"/>
      <c r="Q97" s="154"/>
      <c r="R97" s="154"/>
      <c r="S97" s="155"/>
      <c r="V97" s="175"/>
    </row>
    <row r="98" spans="1:22">
      <c r="A98" s="158" t="s">
        <v>316</v>
      </c>
      <c r="B98" s="198" t="s">
        <v>222</v>
      </c>
      <c r="C98" s="199"/>
      <c r="E98" s="154"/>
      <c r="F98" s="154"/>
      <c r="G98" s="154"/>
      <c r="H98" s="154"/>
      <c r="I98" s="154"/>
      <c r="J98" s="154"/>
      <c r="K98" s="154"/>
      <c r="L98" s="154"/>
      <c r="M98" s="154"/>
      <c r="N98" s="154"/>
      <c r="O98" s="154"/>
      <c r="P98" s="154"/>
      <c r="Q98" s="154"/>
      <c r="R98" s="154"/>
      <c r="S98" s="155"/>
      <c r="T98" s="178"/>
      <c r="U98" s="179"/>
    </row>
    <row r="99" spans="1:22">
      <c r="A99" s="158" t="s">
        <v>241</v>
      </c>
      <c r="B99" s="183">
        <v>2.4</v>
      </c>
      <c r="C99" s="159" t="s">
        <v>1</v>
      </c>
      <c r="E99" s="154"/>
      <c r="F99" s="154"/>
      <c r="G99" s="154"/>
      <c r="H99" s="154"/>
      <c r="I99" s="154"/>
      <c r="J99" s="154"/>
      <c r="K99" s="154"/>
      <c r="L99" s="154"/>
      <c r="M99" s="154"/>
      <c r="N99" s="154"/>
      <c r="O99" s="154"/>
      <c r="P99" s="154"/>
      <c r="Q99" s="154"/>
      <c r="R99" s="154"/>
      <c r="S99" s="155"/>
    </row>
    <row r="100" spans="1:22" ht="16.5">
      <c r="A100" s="158" t="s">
        <v>313</v>
      </c>
      <c r="B100" s="165">
        <f>Calculations!B106</f>
        <v>-1.1077368040491684</v>
      </c>
      <c r="C100" s="159" t="s">
        <v>104</v>
      </c>
      <c r="E100" s="154"/>
      <c r="F100" s="154"/>
      <c r="G100" s="154"/>
      <c r="H100" s="154"/>
      <c r="I100" s="154"/>
      <c r="J100" s="154"/>
      <c r="K100" s="154"/>
      <c r="L100" s="154"/>
      <c r="M100" s="154"/>
      <c r="N100" s="154"/>
      <c r="O100" s="154"/>
      <c r="P100" s="154"/>
      <c r="Q100" s="154"/>
      <c r="R100" s="154"/>
      <c r="S100" s="155"/>
    </row>
    <row r="101" spans="1:22" ht="16.5">
      <c r="A101" s="158" t="s">
        <v>314</v>
      </c>
      <c r="B101" s="183">
        <v>0.97299999999999998</v>
      </c>
      <c r="C101" s="159" t="s">
        <v>104</v>
      </c>
      <c r="E101" s="154"/>
      <c r="F101" s="154"/>
      <c r="G101" s="154"/>
      <c r="H101" s="154"/>
      <c r="I101" s="154"/>
      <c r="J101" s="154"/>
      <c r="K101" s="154"/>
      <c r="L101" s="154"/>
      <c r="M101" s="154"/>
      <c r="N101" s="154"/>
      <c r="O101" s="154"/>
      <c r="P101" s="154"/>
      <c r="Q101" s="154"/>
      <c r="R101" s="154"/>
      <c r="S101" s="155"/>
    </row>
    <row r="102" spans="1:22">
      <c r="A102" s="158" t="s">
        <v>315</v>
      </c>
      <c r="B102" s="170">
        <f>Calculations!B108</f>
        <v>2.4999999999999996</v>
      </c>
      <c r="C102" s="159" t="s">
        <v>1</v>
      </c>
      <c r="E102" s="154"/>
      <c r="F102" s="154"/>
      <c r="G102" s="154"/>
      <c r="H102" s="154"/>
      <c r="I102" s="154"/>
      <c r="J102" s="154"/>
      <c r="K102" s="154"/>
      <c r="L102" s="154"/>
      <c r="M102" s="154"/>
      <c r="N102" s="154"/>
      <c r="O102" s="154"/>
      <c r="P102" s="154"/>
      <c r="Q102" s="154"/>
      <c r="R102" s="154"/>
      <c r="S102" s="155"/>
    </row>
    <row r="103" spans="1:22">
      <c r="A103" s="158" t="s">
        <v>317</v>
      </c>
      <c r="B103" s="177">
        <f>Calculations!B109</f>
        <v>9.0274151436031342</v>
      </c>
      <c r="C103" s="159" t="s">
        <v>1</v>
      </c>
      <c r="E103" s="154"/>
      <c r="F103" s="154"/>
      <c r="G103" s="154"/>
      <c r="H103" s="154"/>
      <c r="I103" s="154"/>
      <c r="J103" s="154"/>
      <c r="K103" s="154"/>
      <c r="L103" s="180"/>
      <c r="M103" s="154"/>
      <c r="N103" s="154"/>
      <c r="O103" s="154"/>
      <c r="P103" s="154"/>
      <c r="Q103" s="154"/>
      <c r="R103" s="154"/>
      <c r="S103" s="155"/>
    </row>
    <row r="104" spans="1:22">
      <c r="A104" s="158" t="s">
        <v>319</v>
      </c>
      <c r="B104" s="177">
        <f>Calculations!B110</f>
        <v>6.5274151436031342</v>
      </c>
      <c r="C104" s="159" t="s">
        <v>1</v>
      </c>
      <c r="E104" s="154"/>
      <c r="F104" s="154"/>
      <c r="G104" s="154"/>
      <c r="H104" s="154"/>
      <c r="I104" s="154"/>
      <c r="J104" s="154"/>
      <c r="K104" s="154"/>
      <c r="L104" s="180"/>
      <c r="M104" s="154"/>
      <c r="N104" s="154"/>
      <c r="O104" s="154"/>
      <c r="P104" s="154"/>
      <c r="Q104" s="154"/>
      <c r="R104" s="154"/>
      <c r="S104" s="155"/>
    </row>
    <row r="105" spans="1:22" ht="14.25" thickBot="1">
      <c r="A105" s="160" t="s">
        <v>178</v>
      </c>
      <c r="B105" s="181">
        <f>Calculations!B111</f>
        <v>4.5137075718015671</v>
      </c>
      <c r="C105" s="161" t="s">
        <v>1</v>
      </c>
      <c r="E105" s="154"/>
      <c r="F105" s="154"/>
      <c r="G105" s="154"/>
      <c r="H105" s="154"/>
      <c r="I105" s="154"/>
      <c r="J105" s="154"/>
      <c r="K105" s="154"/>
      <c r="L105" s="180"/>
      <c r="M105" s="154"/>
      <c r="N105" s="154"/>
      <c r="O105" s="154"/>
      <c r="P105" s="154"/>
      <c r="Q105" s="154"/>
      <c r="R105" s="154"/>
      <c r="S105" s="155"/>
    </row>
    <row r="106" spans="1:22">
      <c r="E106" s="154"/>
      <c r="F106" s="180"/>
      <c r="G106" s="180"/>
      <c r="H106" s="180"/>
      <c r="I106" s="180"/>
      <c r="J106" s="180"/>
      <c r="K106" s="180"/>
      <c r="L106" s="180"/>
      <c r="M106" s="154"/>
      <c r="N106" s="154"/>
      <c r="O106" s="154"/>
      <c r="P106" s="154"/>
      <c r="Q106" s="154"/>
      <c r="R106" s="154"/>
      <c r="S106" s="155"/>
    </row>
    <row r="107" spans="1:22" ht="18.75">
      <c r="A107" s="189" t="s">
        <v>301</v>
      </c>
      <c r="B107" s="189"/>
      <c r="C107" s="189"/>
      <c r="E107" s="154"/>
      <c r="F107" s="180"/>
      <c r="G107" s="180"/>
      <c r="H107" s="180"/>
      <c r="I107" s="180"/>
      <c r="J107" s="180"/>
      <c r="K107" s="180"/>
      <c r="L107" s="180"/>
      <c r="M107" s="154"/>
      <c r="N107" s="154"/>
      <c r="O107" s="154"/>
      <c r="P107" s="154"/>
      <c r="Q107" s="154"/>
      <c r="R107" s="154"/>
      <c r="S107" s="155"/>
    </row>
    <row r="108" spans="1:22" ht="8.25" customHeight="1" thickBot="1">
      <c r="E108" s="154"/>
      <c r="F108" s="180"/>
      <c r="G108" s="180"/>
      <c r="H108" s="180"/>
      <c r="I108" s="180"/>
      <c r="J108" s="180"/>
      <c r="K108" s="180"/>
      <c r="L108" s="180"/>
      <c r="M108" s="154"/>
      <c r="N108" s="154"/>
      <c r="O108" s="154"/>
      <c r="P108" s="154"/>
      <c r="Q108" s="154"/>
      <c r="R108" s="154"/>
      <c r="S108" s="155"/>
    </row>
    <row r="109" spans="1:22" ht="14.25" thickBot="1">
      <c r="A109" s="190" t="s">
        <v>302</v>
      </c>
      <c r="B109" s="191"/>
      <c r="C109" s="192"/>
      <c r="E109" s="154"/>
      <c r="F109" s="154"/>
      <c r="G109" s="154"/>
      <c r="H109" s="154"/>
      <c r="I109" s="154"/>
      <c r="J109" s="154"/>
      <c r="K109" s="154"/>
      <c r="L109" s="154"/>
      <c r="M109" s="154"/>
      <c r="N109" s="154"/>
      <c r="O109" s="154"/>
      <c r="P109" s="154"/>
      <c r="Q109" s="154"/>
      <c r="R109" s="154"/>
      <c r="S109" s="155"/>
    </row>
    <row r="110" spans="1:22" ht="16.5">
      <c r="A110" s="158" t="s">
        <v>478</v>
      </c>
      <c r="B110" s="183">
        <v>3.2</v>
      </c>
      <c r="C110" s="159" t="s">
        <v>1</v>
      </c>
      <c r="E110" s="154"/>
      <c r="F110" s="154"/>
      <c r="G110" s="154"/>
      <c r="H110" s="154"/>
      <c r="I110" s="154"/>
      <c r="J110" s="154"/>
      <c r="K110" s="154"/>
      <c r="L110" s="154"/>
      <c r="M110" s="154"/>
      <c r="N110" s="154"/>
      <c r="O110" s="154"/>
      <c r="P110" s="154"/>
      <c r="Q110" s="154"/>
      <c r="R110" s="154"/>
      <c r="S110" s="155"/>
    </row>
    <row r="111" spans="1:22" ht="16.5">
      <c r="A111" s="158" t="s">
        <v>465</v>
      </c>
      <c r="B111" s="170">
        <f>Calculations!B116</f>
        <v>11.636363636363637</v>
      </c>
      <c r="C111" s="159" t="s">
        <v>104</v>
      </c>
      <c r="E111" s="154"/>
      <c r="F111" s="154"/>
      <c r="G111" s="154"/>
      <c r="H111" s="154"/>
      <c r="I111" s="154"/>
      <c r="J111" s="154"/>
      <c r="K111" s="154"/>
      <c r="L111" s="154"/>
      <c r="M111" s="154"/>
      <c r="N111" s="154"/>
      <c r="O111" s="154"/>
      <c r="P111" s="154"/>
      <c r="Q111" s="154"/>
      <c r="R111" s="154"/>
      <c r="S111" s="155"/>
    </row>
    <row r="112" spans="1:22" ht="16.5">
      <c r="A112" s="158" t="s">
        <v>364</v>
      </c>
      <c r="B112" s="183">
        <v>9.09</v>
      </c>
      <c r="C112" s="159" t="s">
        <v>104</v>
      </c>
      <c r="E112" s="154"/>
      <c r="F112" s="154"/>
      <c r="G112" s="154"/>
      <c r="H112" s="154"/>
      <c r="I112" s="154"/>
      <c r="J112" s="154"/>
      <c r="K112" s="154"/>
      <c r="L112" s="154"/>
      <c r="M112" s="154"/>
      <c r="N112" s="154"/>
      <c r="O112" s="154"/>
      <c r="P112" s="154"/>
      <c r="Q112" s="154"/>
      <c r="R112" s="154"/>
      <c r="S112" s="155"/>
    </row>
    <row r="113" spans="1:19" ht="16.5">
      <c r="A113" s="158" t="s">
        <v>480</v>
      </c>
      <c r="B113" s="165">
        <f>Calculations!B118</f>
        <v>2.4997500000000001</v>
      </c>
      <c r="C113" s="159" t="s">
        <v>1</v>
      </c>
      <c r="E113" s="154"/>
      <c r="F113" s="154"/>
      <c r="G113" s="154"/>
      <c r="H113" s="154"/>
      <c r="I113" s="154"/>
      <c r="J113" s="154"/>
      <c r="K113" s="154"/>
      <c r="L113" s="154"/>
      <c r="M113" s="154"/>
      <c r="N113" s="154"/>
      <c r="O113" s="154"/>
      <c r="P113" s="154"/>
      <c r="Q113" s="154"/>
      <c r="R113" s="154"/>
      <c r="S113" s="155"/>
    </row>
    <row r="114" spans="1:19" ht="16.5">
      <c r="A114" s="158" t="s">
        <v>479</v>
      </c>
      <c r="B114" s="165">
        <f>Calculations!B119</f>
        <v>0.22724999999999998</v>
      </c>
      <c r="C114" s="159" t="s">
        <v>1</v>
      </c>
      <c r="E114" s="154"/>
      <c r="F114" s="154"/>
      <c r="G114" s="154"/>
      <c r="H114" s="154"/>
      <c r="I114" s="154"/>
      <c r="J114" s="154"/>
      <c r="K114" s="154"/>
      <c r="L114" s="154"/>
      <c r="M114" s="154"/>
      <c r="N114" s="154"/>
      <c r="O114" s="154"/>
      <c r="P114" s="154"/>
      <c r="Q114" s="154"/>
      <c r="R114" s="154"/>
      <c r="S114" s="155"/>
    </row>
    <row r="115" spans="1:19" ht="16.5">
      <c r="A115" s="158" t="s">
        <v>365</v>
      </c>
      <c r="B115" s="170">
        <f>Calculations!B120</f>
        <v>11.001100110011</v>
      </c>
      <c r="C115" s="159" t="s">
        <v>40</v>
      </c>
      <c r="E115" s="154"/>
      <c r="F115" s="154"/>
      <c r="G115" s="154"/>
      <c r="H115" s="154"/>
      <c r="I115" s="154"/>
      <c r="J115" s="154"/>
      <c r="K115" s="154"/>
      <c r="L115" s="154"/>
      <c r="M115" s="154"/>
      <c r="N115" s="154"/>
      <c r="O115" s="154"/>
      <c r="P115" s="154"/>
      <c r="Q115" s="154"/>
      <c r="R115" s="154"/>
      <c r="S115" s="155"/>
    </row>
    <row r="116" spans="1:19" ht="16.5">
      <c r="A116" s="158" t="s">
        <v>366</v>
      </c>
      <c r="B116" s="183">
        <v>10</v>
      </c>
      <c r="C116" s="159" t="s">
        <v>40</v>
      </c>
      <c r="E116" s="154"/>
      <c r="F116" s="154"/>
      <c r="G116" s="154"/>
      <c r="H116" s="154"/>
      <c r="I116" s="154"/>
      <c r="J116" s="154"/>
      <c r="K116" s="154"/>
      <c r="L116" s="154"/>
      <c r="M116" s="154"/>
      <c r="N116" s="154"/>
      <c r="O116" s="154"/>
      <c r="P116" s="154"/>
      <c r="Q116" s="154"/>
      <c r="R116" s="154"/>
      <c r="S116" s="155"/>
    </row>
    <row r="117" spans="1:19" ht="16.5">
      <c r="A117" s="158" t="s">
        <v>481</v>
      </c>
      <c r="B117" s="177">
        <f>Calculations!B123</f>
        <v>6.3278300141804449</v>
      </c>
      <c r="C117" s="159" t="s">
        <v>72</v>
      </c>
      <c r="E117" s="154"/>
      <c r="F117" s="154"/>
      <c r="G117" s="154"/>
      <c r="H117" s="154"/>
      <c r="I117" s="154"/>
      <c r="J117" s="154"/>
      <c r="K117" s="154"/>
      <c r="L117" s="154"/>
      <c r="M117" s="154"/>
      <c r="N117" s="154"/>
      <c r="O117" s="154"/>
      <c r="P117" s="154"/>
      <c r="Q117" s="154"/>
      <c r="R117" s="154"/>
      <c r="S117" s="155"/>
    </row>
    <row r="118" spans="1:19" ht="17.25" thickBot="1">
      <c r="A118" s="160" t="s">
        <v>482</v>
      </c>
      <c r="B118" s="169">
        <f>Calculations!B122</f>
        <v>1.7508794619570447</v>
      </c>
      <c r="C118" s="161" t="s">
        <v>3</v>
      </c>
      <c r="E118" s="154"/>
      <c r="F118" s="154"/>
      <c r="G118" s="154"/>
      <c r="H118" s="154"/>
      <c r="I118" s="154"/>
      <c r="J118" s="154"/>
      <c r="K118" s="154"/>
      <c r="L118" s="154"/>
      <c r="M118" s="154"/>
      <c r="N118" s="154"/>
      <c r="O118" s="154"/>
      <c r="P118" s="154"/>
      <c r="Q118" s="154"/>
      <c r="R118" s="154"/>
      <c r="S118" s="155"/>
    </row>
    <row r="119" spans="1:19">
      <c r="A119" s="162"/>
      <c r="B119" s="153"/>
      <c r="C119" s="153"/>
      <c r="E119" s="154"/>
      <c r="F119" s="154"/>
      <c r="G119" s="154"/>
      <c r="H119" s="154"/>
      <c r="I119" s="154"/>
      <c r="J119" s="154"/>
      <c r="K119" s="154"/>
      <c r="L119" s="154"/>
      <c r="M119" s="154"/>
      <c r="N119" s="154"/>
      <c r="O119" s="154"/>
      <c r="P119" s="154"/>
      <c r="Q119" s="154"/>
      <c r="R119" s="154"/>
      <c r="S119" s="155"/>
    </row>
    <row r="120" spans="1:19" ht="18.75">
      <c r="A120" s="189" t="s">
        <v>304</v>
      </c>
      <c r="B120" s="189"/>
      <c r="C120" s="189"/>
      <c r="E120" s="154"/>
      <c r="F120" s="154"/>
      <c r="G120" s="154"/>
      <c r="H120" s="154"/>
      <c r="I120" s="154"/>
      <c r="J120" s="154"/>
      <c r="K120" s="154"/>
      <c r="L120" s="154"/>
      <c r="M120" s="154"/>
      <c r="N120" s="154"/>
      <c r="O120" s="154"/>
      <c r="P120" s="154"/>
      <c r="Q120" s="154"/>
      <c r="R120" s="154"/>
      <c r="S120" s="155"/>
    </row>
    <row r="121" spans="1:19" ht="6.75" customHeight="1" thickBot="1">
      <c r="A121" s="162"/>
      <c r="B121" s="153"/>
      <c r="C121" s="153"/>
      <c r="E121" s="154"/>
      <c r="F121" s="154"/>
      <c r="G121" s="154"/>
      <c r="H121" s="154"/>
      <c r="I121" s="154"/>
      <c r="J121" s="154"/>
      <c r="K121" s="154"/>
      <c r="L121" s="154"/>
      <c r="M121" s="154"/>
      <c r="N121" s="154"/>
      <c r="O121" s="154"/>
      <c r="P121" s="154"/>
      <c r="Q121" s="154"/>
      <c r="R121" s="154"/>
      <c r="S121" s="155"/>
    </row>
    <row r="122" spans="1:19" ht="14.25" thickBot="1">
      <c r="A122" s="190" t="s">
        <v>303</v>
      </c>
      <c r="B122" s="191"/>
      <c r="C122" s="192"/>
      <c r="E122" s="202" t="s">
        <v>361</v>
      </c>
      <c r="F122" s="202"/>
      <c r="G122" s="202"/>
      <c r="H122" s="175"/>
      <c r="I122" s="202" t="s">
        <v>362</v>
      </c>
      <c r="J122" s="202"/>
      <c r="K122" s="202"/>
      <c r="N122" s="175"/>
      <c r="O122" s="175"/>
      <c r="P122" s="175"/>
      <c r="Q122" s="175"/>
      <c r="R122" s="175"/>
      <c r="S122" s="176"/>
    </row>
    <row r="123" spans="1:19">
      <c r="A123" s="158" t="s">
        <v>224</v>
      </c>
      <c r="B123" s="198" t="s">
        <v>226</v>
      </c>
      <c r="C123" s="199"/>
      <c r="F123" s="175"/>
      <c r="G123" s="175"/>
      <c r="H123" s="175"/>
      <c r="I123" s="175"/>
      <c r="J123" s="175"/>
      <c r="K123" s="175"/>
      <c r="N123" s="175"/>
      <c r="O123" s="175"/>
      <c r="P123" s="175"/>
      <c r="Q123" s="175"/>
      <c r="R123" s="175"/>
      <c r="S123" s="176"/>
    </row>
    <row r="124" spans="1:19">
      <c r="A124" s="158" t="s">
        <v>359</v>
      </c>
      <c r="B124" s="183">
        <v>55</v>
      </c>
      <c r="C124" s="159" t="s">
        <v>97</v>
      </c>
      <c r="F124" s="175"/>
      <c r="G124" s="175"/>
      <c r="H124" s="175"/>
      <c r="I124" s="175"/>
      <c r="J124" s="175"/>
      <c r="K124" s="175"/>
      <c r="N124" s="175"/>
      <c r="O124" s="175"/>
      <c r="P124" s="175"/>
      <c r="Q124" s="175"/>
      <c r="R124" s="175"/>
      <c r="S124" s="176"/>
    </row>
    <row r="125" spans="1:19" ht="16.5">
      <c r="A125" s="158" t="s">
        <v>466</v>
      </c>
      <c r="B125" s="153">
        <f>Calculations!B129</f>
        <v>9.75</v>
      </c>
      <c r="C125" s="159" t="s">
        <v>104</v>
      </c>
      <c r="F125" s="175"/>
      <c r="G125" s="175"/>
      <c r="H125" s="175"/>
      <c r="I125" s="175"/>
      <c r="J125" s="175"/>
      <c r="K125" s="175"/>
      <c r="N125" s="175"/>
      <c r="O125" s="175"/>
      <c r="P125" s="175"/>
      <c r="Q125" s="175"/>
      <c r="R125" s="175"/>
      <c r="S125" s="176"/>
    </row>
    <row r="126" spans="1:19" ht="16.5">
      <c r="A126" s="158" t="s">
        <v>360</v>
      </c>
      <c r="B126" s="183">
        <v>40.200000000000003</v>
      </c>
      <c r="C126" s="159" t="s">
        <v>104</v>
      </c>
      <c r="F126" s="175"/>
      <c r="G126" s="175"/>
      <c r="H126" s="175"/>
      <c r="I126" s="175"/>
      <c r="J126" s="175"/>
      <c r="K126" s="175"/>
      <c r="N126" s="175"/>
      <c r="O126" s="175"/>
      <c r="P126" s="175"/>
      <c r="Q126" s="175"/>
      <c r="R126" s="175"/>
      <c r="S126" s="176"/>
    </row>
    <row r="127" spans="1:19">
      <c r="A127" s="158" t="s">
        <v>237</v>
      </c>
      <c r="B127" s="153">
        <f>Calculations!B131</f>
        <v>176.79999999999998</v>
      </c>
      <c r="C127" s="159" t="s">
        <v>97</v>
      </c>
      <c r="F127" s="175"/>
      <c r="G127" s="175"/>
      <c r="H127" s="175"/>
      <c r="I127" s="175"/>
      <c r="J127" s="175"/>
      <c r="K127" s="175"/>
      <c r="N127" s="175"/>
      <c r="O127" s="175"/>
      <c r="P127" s="175"/>
      <c r="Q127" s="175"/>
      <c r="R127" s="175"/>
      <c r="S127" s="176"/>
    </row>
    <row r="128" spans="1:19" ht="14.25" thickBot="1">
      <c r="A128" s="160" t="s">
        <v>238</v>
      </c>
      <c r="B128" s="164">
        <f>Calculations!B132</f>
        <v>176.79999999999998</v>
      </c>
      <c r="C128" s="161" t="s">
        <v>97</v>
      </c>
      <c r="F128" s="175"/>
      <c r="G128" s="175"/>
      <c r="H128" s="175"/>
      <c r="I128" s="175"/>
      <c r="J128" s="175"/>
      <c r="K128" s="175"/>
      <c r="N128" s="175"/>
      <c r="O128" s="175"/>
      <c r="P128" s="175"/>
      <c r="Q128" s="175"/>
      <c r="R128" s="175"/>
      <c r="S128" s="176"/>
    </row>
    <row r="129" spans="1:19">
      <c r="A129" s="162"/>
      <c r="B129" s="153"/>
      <c r="C129" s="153"/>
    </row>
    <row r="130" spans="1:19" s="153" customFormat="1">
      <c r="A130" s="162"/>
      <c r="S130" s="174"/>
    </row>
    <row r="131" spans="1:19" s="153" customFormat="1" ht="18.75">
      <c r="A131" s="189" t="s">
        <v>305</v>
      </c>
      <c r="B131" s="189"/>
      <c r="C131" s="189"/>
      <c r="S131" s="174"/>
    </row>
    <row r="132" spans="1:19" ht="14.25" thickBot="1">
      <c r="A132" s="162"/>
      <c r="B132" s="153"/>
      <c r="C132" s="153"/>
    </row>
    <row r="133" spans="1:19" ht="14.25" thickBot="1">
      <c r="A133" s="190" t="s">
        <v>306</v>
      </c>
      <c r="B133" s="191"/>
      <c r="C133" s="192"/>
    </row>
    <row r="134" spans="1:19">
      <c r="A134" s="158" t="s">
        <v>250</v>
      </c>
      <c r="B134" s="183">
        <v>50</v>
      </c>
      <c r="C134" s="159" t="s">
        <v>251</v>
      </c>
    </row>
    <row r="135" spans="1:19" ht="16.5">
      <c r="A135" s="158" t="s">
        <v>363</v>
      </c>
      <c r="B135" s="165">
        <f>Calculations!B137</f>
        <v>3.3289908930054777</v>
      </c>
      <c r="C135" s="159" t="s">
        <v>3</v>
      </c>
    </row>
    <row r="136" spans="1:19" ht="16.5">
      <c r="A136" s="158" t="s">
        <v>467</v>
      </c>
      <c r="B136" s="153">
        <f>Calculations!B139/1000</f>
        <v>10</v>
      </c>
      <c r="C136" s="159" t="s">
        <v>3</v>
      </c>
    </row>
    <row r="137" spans="1:19" ht="16.5">
      <c r="A137" s="158" t="s">
        <v>468</v>
      </c>
      <c r="B137" s="183">
        <v>10</v>
      </c>
      <c r="C137" s="159" t="s">
        <v>3</v>
      </c>
    </row>
    <row r="138" spans="1:19" ht="16.5">
      <c r="A138" s="158" t="s">
        <v>367</v>
      </c>
      <c r="B138" s="165">
        <f>Calculations!B143</f>
        <v>1.6677095175483831</v>
      </c>
      <c r="C138" s="159" t="s">
        <v>104</v>
      </c>
    </row>
    <row r="139" spans="1:19" ht="16.5">
      <c r="A139" s="158" t="s">
        <v>368</v>
      </c>
      <c r="B139" s="183">
        <v>11</v>
      </c>
      <c r="C139" s="159" t="s">
        <v>104</v>
      </c>
    </row>
    <row r="140" spans="1:19" ht="16.5">
      <c r="A140" s="158" t="s">
        <v>370</v>
      </c>
      <c r="B140" s="170">
        <f>Calculations!B145</f>
        <v>28.667321519229759</v>
      </c>
      <c r="C140" s="159" t="s">
        <v>40</v>
      </c>
    </row>
    <row r="141" spans="1:19" ht="16.5">
      <c r="A141" s="158" t="s">
        <v>369</v>
      </c>
      <c r="B141" s="183">
        <v>15</v>
      </c>
      <c r="C141" s="159" t="s">
        <v>40</v>
      </c>
    </row>
    <row r="142" spans="1:19" ht="16.5">
      <c r="A142" s="158" t="s">
        <v>372</v>
      </c>
      <c r="B142" s="170">
        <f>Calculations!B147</f>
        <v>0.2866732151922976</v>
      </c>
      <c r="C142" s="159" t="s">
        <v>40</v>
      </c>
    </row>
    <row r="143" spans="1:19" ht="16.5">
      <c r="A143" s="158" t="s">
        <v>371</v>
      </c>
      <c r="B143" s="183">
        <v>1</v>
      </c>
      <c r="C143" s="159" t="s">
        <v>40</v>
      </c>
    </row>
    <row r="144" spans="1:19" ht="16.5">
      <c r="A144" s="158" t="s">
        <v>374</v>
      </c>
      <c r="B144" s="165">
        <f>Calculations!B149</f>
        <v>0.96457541267815361</v>
      </c>
      <c r="C144" s="159" t="s">
        <v>3</v>
      </c>
    </row>
    <row r="145" spans="1:19" ht="17.25" thickBot="1">
      <c r="A145" s="160" t="s">
        <v>373</v>
      </c>
      <c r="B145" s="181">
        <f>Calculations!B150</f>
        <v>14.468631190172303</v>
      </c>
      <c r="C145" s="161" t="s">
        <v>3</v>
      </c>
    </row>
    <row r="148" spans="1:19" s="153" customFormat="1">
      <c r="A148" s="162"/>
      <c r="S148" s="174"/>
    </row>
    <row r="149" spans="1:19" s="153" customFormat="1" ht="18.75">
      <c r="A149" s="189" t="s">
        <v>460</v>
      </c>
      <c r="B149" s="189"/>
      <c r="C149" s="189"/>
      <c r="S149" s="174"/>
    </row>
    <row r="150" spans="1:19" ht="8.25" customHeight="1" thickBot="1"/>
    <row r="151" spans="1:19" ht="14.25" thickBot="1">
      <c r="A151" s="190" t="s">
        <v>459</v>
      </c>
      <c r="B151" s="191"/>
      <c r="C151" s="192"/>
    </row>
    <row r="152" spans="1:19" ht="16.5">
      <c r="A152" s="172" t="s">
        <v>484</v>
      </c>
      <c r="B152" s="187">
        <v>2</v>
      </c>
      <c r="C152" s="173" t="s">
        <v>1</v>
      </c>
    </row>
    <row r="153" spans="1:19" ht="16.5">
      <c r="A153" s="158" t="s">
        <v>485</v>
      </c>
      <c r="B153" s="183">
        <v>10</v>
      </c>
      <c r="C153" s="159" t="s">
        <v>104</v>
      </c>
    </row>
    <row r="154" spans="1:19" ht="16.5">
      <c r="A154" s="158" t="s">
        <v>487</v>
      </c>
      <c r="B154" s="153">
        <f>Calculations!B159/1000</f>
        <v>51</v>
      </c>
      <c r="C154" s="159" t="s">
        <v>104</v>
      </c>
    </row>
    <row r="155" spans="1:19" ht="16.5">
      <c r="A155" s="158" t="s">
        <v>486</v>
      </c>
      <c r="B155" s="183">
        <v>51</v>
      </c>
      <c r="C155" s="159" t="s">
        <v>104</v>
      </c>
    </row>
    <row r="156" spans="1:19">
      <c r="A156" s="158" t="s">
        <v>432</v>
      </c>
      <c r="B156" s="153">
        <f>Calculations!B164/1000</f>
        <v>1</v>
      </c>
      <c r="C156" s="159" t="s">
        <v>3</v>
      </c>
    </row>
    <row r="157" spans="1:19">
      <c r="A157" s="158" t="s">
        <v>258</v>
      </c>
      <c r="B157" s="183">
        <v>1</v>
      </c>
      <c r="C157" s="159" t="s">
        <v>3</v>
      </c>
    </row>
    <row r="158" spans="1:19" ht="16.5">
      <c r="A158" s="158" t="s">
        <v>455</v>
      </c>
      <c r="B158" s="165">
        <f>Calculations!B170/1000</f>
        <v>5.1843457585093997</v>
      </c>
      <c r="C158" s="159" t="s">
        <v>104</v>
      </c>
    </row>
    <row r="159" spans="1:19" ht="16.5">
      <c r="A159" s="158" t="s">
        <v>456</v>
      </c>
      <c r="B159" s="183">
        <v>40</v>
      </c>
      <c r="C159" s="159" t="s">
        <v>104</v>
      </c>
    </row>
    <row r="160" spans="1:19" ht="16.5">
      <c r="A160" s="158" t="s">
        <v>457</v>
      </c>
      <c r="B160" s="170">
        <f>Calculations!B172*(10^9)</f>
        <v>38.593104958633567</v>
      </c>
      <c r="C160" s="159" t="s">
        <v>40</v>
      </c>
    </row>
    <row r="161" spans="1:19" ht="16.5">
      <c r="A161" s="158" t="s">
        <v>458</v>
      </c>
      <c r="B161" s="183">
        <v>3.3</v>
      </c>
      <c r="C161" s="159" t="s">
        <v>40</v>
      </c>
    </row>
    <row r="162" spans="1:19" ht="16.5">
      <c r="A162" s="158" t="s">
        <v>454</v>
      </c>
      <c r="B162" s="165">
        <f>Calculations!B174*(10^9)</f>
        <v>4.4287169624661482</v>
      </c>
      <c r="C162" s="159" t="s">
        <v>40</v>
      </c>
    </row>
    <row r="163" spans="1:19" ht="16.5">
      <c r="A163" s="158" t="s">
        <v>453</v>
      </c>
      <c r="B163" s="183">
        <v>0.1</v>
      </c>
      <c r="C163" s="159" t="s">
        <v>40</v>
      </c>
    </row>
    <row r="164" spans="1:19" ht="16.5">
      <c r="A164" s="158" t="s">
        <v>374</v>
      </c>
      <c r="B164" s="165">
        <f>Calculations!B176</f>
        <v>1.2057192658476921</v>
      </c>
      <c r="C164" s="159" t="s">
        <v>3</v>
      </c>
    </row>
    <row r="165" spans="1:19" ht="17.25" thickBot="1">
      <c r="A165" s="160" t="s">
        <v>373</v>
      </c>
      <c r="B165" s="169">
        <f>Calculations!B177</f>
        <v>39.78873577297383</v>
      </c>
      <c r="C165" s="161" t="s">
        <v>3</v>
      </c>
    </row>
    <row r="167" spans="1:19" s="153" customFormat="1">
      <c r="A167" s="162"/>
      <c r="S167" s="174"/>
    </row>
    <row r="168" spans="1:19" s="153" customFormat="1" ht="18.75">
      <c r="A168" s="189" t="s">
        <v>483</v>
      </c>
      <c r="B168" s="189"/>
      <c r="C168" s="189"/>
      <c r="S168" s="174"/>
    </row>
    <row r="169" spans="1:19" ht="14.25" thickBot="1"/>
    <row r="170" spans="1:19" ht="14.25" thickBot="1">
      <c r="A170" s="190" t="s">
        <v>461</v>
      </c>
      <c r="B170" s="191"/>
      <c r="C170" s="192"/>
    </row>
    <row r="171" spans="1:19" ht="16.5">
      <c r="A171" s="172" t="s">
        <v>484</v>
      </c>
      <c r="B171" s="187">
        <v>2.5</v>
      </c>
      <c r="C171" s="173" t="s">
        <v>1</v>
      </c>
    </row>
    <row r="172" spans="1:19" ht="16.5">
      <c r="A172" s="158" t="s">
        <v>485</v>
      </c>
      <c r="B172" s="183">
        <v>1.2</v>
      </c>
      <c r="C172" s="159" t="s">
        <v>104</v>
      </c>
    </row>
    <row r="173" spans="1:19" ht="16.5">
      <c r="A173" s="158" t="s">
        <v>487</v>
      </c>
      <c r="B173" s="153">
        <f>Calculations!B183/1000</f>
        <v>21.84</v>
      </c>
      <c r="C173" s="159" t="s">
        <v>104</v>
      </c>
    </row>
    <row r="174" spans="1:19" ht="16.5">
      <c r="A174" s="158" t="s">
        <v>486</v>
      </c>
      <c r="B174" s="183">
        <v>22</v>
      </c>
      <c r="C174" s="159" t="s">
        <v>104</v>
      </c>
    </row>
    <row r="175" spans="1:19">
      <c r="A175" s="158" t="s">
        <v>432</v>
      </c>
      <c r="B175" s="165">
        <f>Calculations!B188/1000</f>
        <v>1.8416500557776465</v>
      </c>
      <c r="C175" s="159" t="s">
        <v>3</v>
      </c>
    </row>
    <row r="176" spans="1:19">
      <c r="A176" s="158" t="s">
        <v>258</v>
      </c>
      <c r="B176" s="188">
        <v>0.81899999999999995</v>
      </c>
      <c r="C176" s="159" t="s">
        <v>3</v>
      </c>
    </row>
    <row r="177" spans="1:3" ht="16.5">
      <c r="A177" s="158" t="s">
        <v>428</v>
      </c>
      <c r="B177" s="170">
        <f>Calculations!B194/1000</f>
        <v>3.3940450792785835</v>
      </c>
      <c r="C177" s="159" t="s">
        <v>104</v>
      </c>
    </row>
    <row r="178" spans="1:3" ht="16.5">
      <c r="A178" s="158" t="s">
        <v>427</v>
      </c>
      <c r="B178" s="183">
        <v>100</v>
      </c>
      <c r="C178" s="159" t="s">
        <v>104</v>
      </c>
    </row>
    <row r="179" spans="1:3" ht="16.5">
      <c r="A179" s="158" t="s">
        <v>426</v>
      </c>
      <c r="B179" s="165">
        <f>Calculations!B196*(10^9)</f>
        <v>238.65016494170555</v>
      </c>
      <c r="C179" s="159" t="s">
        <v>40</v>
      </c>
    </row>
    <row r="180" spans="1:3" ht="16.5">
      <c r="A180" s="158" t="s">
        <v>429</v>
      </c>
      <c r="B180" s="183">
        <v>13.2</v>
      </c>
      <c r="C180" s="159" t="s">
        <v>40</v>
      </c>
    </row>
    <row r="181" spans="1:3" ht="16.5">
      <c r="A181" s="158" t="s">
        <v>430</v>
      </c>
      <c r="B181" s="182">
        <f>Calculations!B198*(10^9)</f>
        <v>0.93784813916333887</v>
      </c>
      <c r="C181" s="159" t="s">
        <v>40</v>
      </c>
    </row>
    <row r="182" spans="1:3" ht="16.5">
      <c r="A182" s="158" t="s">
        <v>431</v>
      </c>
      <c r="B182" s="183">
        <v>0.1</v>
      </c>
      <c r="C182" s="159" t="s">
        <v>40</v>
      </c>
    </row>
    <row r="183" spans="1:3" ht="16.5">
      <c r="A183" s="158" t="s">
        <v>374</v>
      </c>
      <c r="B183" s="165">
        <f>Calculations!B200/1000</f>
        <v>0.1205719265847692</v>
      </c>
      <c r="C183" s="159" t="s">
        <v>3</v>
      </c>
    </row>
    <row r="184" spans="1:3" ht="17.25" thickBot="1">
      <c r="A184" s="160" t="s">
        <v>373</v>
      </c>
      <c r="B184" s="169">
        <f>Calculations!B201/1000</f>
        <v>15.915494309189533</v>
      </c>
      <c r="C184" s="161" t="s">
        <v>3</v>
      </c>
    </row>
  </sheetData>
  <sheetProtection password="E1A4" sheet="1" objects="1" scenarios="1"/>
  <mergeCells count="44">
    <mergeCell ref="A131:C131"/>
    <mergeCell ref="G10:M11"/>
    <mergeCell ref="F93:H93"/>
    <mergeCell ref="K93:M93"/>
    <mergeCell ref="Q93:R93"/>
    <mergeCell ref="E122:G122"/>
    <mergeCell ref="I122:K122"/>
    <mergeCell ref="P61:Q61"/>
    <mergeCell ref="P73:Q73"/>
    <mergeCell ref="A120:C120"/>
    <mergeCell ref="A79:C79"/>
    <mergeCell ref="B93:C93"/>
    <mergeCell ref="A92:C92"/>
    <mergeCell ref="A71:C71"/>
    <mergeCell ref="A43:C43"/>
    <mergeCell ref="A61:C61"/>
    <mergeCell ref="A90:C90"/>
    <mergeCell ref="A109:C109"/>
    <mergeCell ref="A107:C107"/>
    <mergeCell ref="A122:C122"/>
    <mergeCell ref="B123:C123"/>
    <mergeCell ref="B98:C98"/>
    <mergeCell ref="A52:C52"/>
    <mergeCell ref="A55:C55"/>
    <mergeCell ref="A59:C59"/>
    <mergeCell ref="A69:C69"/>
    <mergeCell ref="A84:C84"/>
    <mergeCell ref="A77:C77"/>
    <mergeCell ref="A149:C149"/>
    <mergeCell ref="A151:C151"/>
    <mergeCell ref="A168:C168"/>
    <mergeCell ref="A170:C170"/>
    <mergeCell ref="A1:XFD3"/>
    <mergeCell ref="A15:C15"/>
    <mergeCell ref="A10:C10"/>
    <mergeCell ref="A34:C34"/>
    <mergeCell ref="A24:C24"/>
    <mergeCell ref="A20:C20"/>
    <mergeCell ref="A8:C8"/>
    <mergeCell ref="A31:C31"/>
    <mergeCell ref="A133:C133"/>
    <mergeCell ref="A32:C32"/>
    <mergeCell ref="A41:C41"/>
    <mergeCell ref="A50:C50"/>
  </mergeCells>
  <phoneticPr fontId="20" type="noConversion"/>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7" id="{F0C824F8-5BA3-457B-B341-B725FCDB2787}">
            <xm:f>Calculations!$D$70=1</xm:f>
            <x14:dxf>
              <fill>
                <patternFill>
                  <bgColor rgb="FFFF0000"/>
                </patternFill>
              </fill>
            </x14:dxf>
          </x14:cfRule>
          <xm:sqref>B48</xm:sqref>
        </x14:conditionalFormatting>
        <x14:conditionalFormatting xmlns:xm="http://schemas.microsoft.com/office/excel/2006/main">
          <x14:cfRule type="expression" priority="58" id="{47B0D3B7-ACA9-4766-B67F-B6DE49181E4C}">
            <xm:f>Calculations!$D$78=1</xm:f>
            <x14:dxf>
              <fill>
                <patternFill>
                  <bgColor rgb="FFFF0000"/>
                </patternFill>
              </fill>
            </x14:dxf>
          </x14:cfRule>
          <xm:sqref>B65</xm:sqref>
        </x14:conditionalFormatting>
        <x14:conditionalFormatting xmlns:xm="http://schemas.microsoft.com/office/excel/2006/main">
          <x14:cfRule type="expression" priority="59" id="{F0C824F8-5BA3-457B-B341-B725FCDB2787}">
            <xm:f>Calculations!$D$79=1</xm:f>
            <x14:dxf>
              <fill>
                <patternFill>
                  <bgColor rgb="FFFF0000"/>
                </patternFill>
              </fill>
            </x14:dxf>
          </x14:cfRule>
          <xm:sqref>B66</xm:sqref>
        </x14:conditionalFormatting>
        <x14:conditionalFormatting xmlns:xm="http://schemas.microsoft.com/office/excel/2006/main">
          <x14:cfRule type="expression" priority="60" id="{F0C824F8-5BA3-457B-B341-B725FCDB2787}">
            <xm:f>Calculations!$D$80=1</xm:f>
            <x14:dxf>
              <fill>
                <patternFill>
                  <bgColor rgb="FFFF0000"/>
                </patternFill>
              </fill>
            </x14:dxf>
          </x14:cfRule>
          <xm:sqref>B67</xm:sqref>
        </x14:conditionalFormatting>
        <x14:conditionalFormatting xmlns:xm="http://schemas.microsoft.com/office/excel/2006/main">
          <x14:cfRule type="expression" priority="61" id="{72F261F3-C112-49B4-9B33-09E9FE7FF750}">
            <xm:f>Calculations!$D$115=1</xm:f>
            <x14:dxf>
              <fill>
                <patternFill>
                  <bgColor rgb="FFFF0000"/>
                </patternFill>
              </fill>
            </x14:dxf>
          </x14:cfRule>
          <xm:sqref>B110</xm:sqref>
        </x14:conditionalFormatting>
        <x14:conditionalFormatting xmlns:xm="http://schemas.microsoft.com/office/excel/2006/main">
          <x14:cfRule type="expression" priority="62" id="{DE18DFA1-F8B7-4BDD-8B82-246AAAD06FE9}">
            <xm:f>Calculations!$D$118=1</xm:f>
            <x14:dxf>
              <fill>
                <patternFill>
                  <bgColor rgb="FFFF0000"/>
                </patternFill>
              </fill>
            </x14:dxf>
          </x14:cfRule>
          <xm:sqref>B113</xm:sqref>
        </x14:conditionalFormatting>
        <x14:conditionalFormatting xmlns:xm="http://schemas.microsoft.com/office/excel/2006/main">
          <x14:cfRule type="expression" priority="63" id="{E70EFD81-9486-4A10-8397-F2F06071C353}">
            <xm:f>Calculations!$B$99=0</xm:f>
            <x14:dxf>
              <font>
                <strike/>
              </font>
              <fill>
                <patternFill>
                  <bgColor theme="0" tint="-0.24994659260841701"/>
                </patternFill>
              </fill>
            </x14:dxf>
          </x14:cfRule>
          <xm:sqref>B94:C105</xm:sqref>
        </x14:conditionalFormatting>
        <x14:conditionalFormatting xmlns:xm="http://schemas.microsoft.com/office/excel/2006/main">
          <x14:cfRule type="expression" priority="64" id="{07FC6EAE-5778-4309-937A-687AA588D44B}">
            <xm:f>Calculations!$B$104=0</xm:f>
            <x14:dxf>
              <font>
                <strike/>
              </font>
              <fill>
                <patternFill>
                  <bgColor theme="0" tint="-0.24994659260841701"/>
                </patternFill>
              </fill>
            </x14:dxf>
          </x14:cfRule>
          <xm:sqref>B99:C101</xm:sqref>
        </x14:conditionalFormatting>
        <x14:conditionalFormatting xmlns:xm="http://schemas.microsoft.com/office/excel/2006/main">
          <x14:cfRule type="expression" priority="65" id="{6C6BBDF6-48B1-4593-9A50-F8BCAE673E59}">
            <xm:f>Calculations!$B$127=0</xm:f>
            <x14:dxf>
              <font>
                <strike/>
              </font>
              <fill>
                <patternFill>
                  <bgColor theme="0" tint="-0.14996795556505021"/>
                </patternFill>
              </fill>
            </x14:dxf>
          </x14:cfRule>
          <xm:sqref>B124:C126</xm:sqref>
        </x14:conditionalFormatting>
        <x14:conditionalFormatting xmlns:xm="http://schemas.microsoft.com/office/excel/2006/main">
          <x14:cfRule type="expression" priority="66" id="{5FD8402E-D623-4B39-9061-D3818A91AD41}">
            <xm:f>Calculations!$D$128=1</xm:f>
            <x14:dxf>
              <fill>
                <patternFill>
                  <bgColor rgb="FFFF0000"/>
                </patternFill>
              </fill>
            </x14:dxf>
          </x14:cfRule>
          <xm:sqref>B124</xm:sqref>
        </x14:conditionalFormatting>
        <x14:conditionalFormatting xmlns:xm="http://schemas.microsoft.com/office/excel/2006/main">
          <x14:cfRule type="expression" priority="67" id="{91209B0B-F871-480E-9983-A619770C0D01}">
            <xm:f>AND(Calculations!$B$99=1,Calculations!$B$104=0)</xm:f>
            <x14:dxf>
              <fill>
                <patternFill>
                  <bgColor rgb="FF92D050"/>
                </patternFill>
              </fill>
            </x14:dxf>
          </x14:cfRule>
          <xm:sqref>F93:H93</xm:sqref>
        </x14:conditionalFormatting>
        <x14:conditionalFormatting xmlns:xm="http://schemas.microsoft.com/office/excel/2006/main">
          <x14:cfRule type="expression" priority="68" id="{5F4F848D-4984-4736-B027-68BB1B3C735D}">
            <xm:f>AND(Calculations!$B$99=1,Calculations!$B$104=1)</xm:f>
            <x14:dxf>
              <fill>
                <patternFill>
                  <bgColor rgb="FF92D050"/>
                </patternFill>
              </fill>
            </x14:dxf>
          </x14:cfRule>
          <xm:sqref>K93:M93</xm:sqref>
        </x14:conditionalFormatting>
        <x14:conditionalFormatting xmlns:xm="http://schemas.microsoft.com/office/excel/2006/main">
          <x14:cfRule type="expression" priority="69" id="{0CCB05D5-D715-4391-84E1-7EFF00A93B29}">
            <xm:f>Calculations!$B$99=0</xm:f>
            <x14:dxf>
              <fill>
                <patternFill>
                  <bgColor rgb="FF92D050"/>
                </patternFill>
              </fill>
            </x14:dxf>
          </x14:cfRule>
          <xm:sqref>Q93:R93</xm:sqref>
        </x14:conditionalFormatting>
        <x14:conditionalFormatting xmlns:xm="http://schemas.microsoft.com/office/excel/2006/main">
          <x14:cfRule type="expression" priority="70" id="{2BDC1368-641D-41C3-834A-06208609199D}">
            <xm:f>Calculations!$B$127=1</xm:f>
            <x14:dxf>
              <fill>
                <patternFill>
                  <bgColor rgb="FF92D050"/>
                </patternFill>
              </fill>
            </x14:dxf>
          </x14:cfRule>
          <xm:sqref>I122:K122</xm:sqref>
        </x14:conditionalFormatting>
        <x14:conditionalFormatting xmlns:xm="http://schemas.microsoft.com/office/excel/2006/main">
          <x14:cfRule type="expression" priority="71" id="{C5399D73-4691-49DF-B087-94B60D9C1390}">
            <xm:f>Calculations!$B$127=0</xm:f>
            <x14:dxf>
              <fill>
                <patternFill>
                  <bgColor rgb="FF92D050"/>
                </patternFill>
              </fill>
            </x14:dxf>
          </x14:cfRule>
          <xm:sqref>E122:G122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Lists!$A$2:$A$3</xm:f>
          </x14:formula1>
          <xm:sqref>B93</xm:sqref>
        </x14:dataValidation>
        <x14:dataValidation type="list" allowBlank="1" showInputMessage="1" xr:uid="{00000000-0002-0000-0000-000001000000}">
          <x14:formula1>
            <xm:f>Lists!$E$2:$E$3</xm:f>
          </x14:formula1>
          <xm:sqref>B110</xm:sqref>
        </x14:dataValidation>
        <x14:dataValidation type="list" allowBlank="1" showInputMessage="1" showErrorMessage="1" xr:uid="{00000000-0002-0000-0000-000002000000}">
          <x14:formula1>
            <xm:f>Lists!$C$2:$C$3</xm:f>
          </x14:formula1>
          <xm:sqref>B98</xm:sqref>
        </x14:dataValidation>
        <x14:dataValidation type="list" allowBlank="1" showInputMessage="1" showErrorMessage="1" xr:uid="{00000000-0002-0000-0000-000003000000}">
          <x14:formula1>
            <xm:f>Lists!$G$2:$G$3</xm:f>
          </x14:formula1>
          <xm:sqref>B123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P201"/>
  <sheetViews>
    <sheetView topLeftCell="A168" zoomScaleNormal="100" workbookViewId="0">
      <selection activeCell="E193" sqref="E193"/>
    </sheetView>
  </sheetViews>
  <sheetFormatPr defaultRowHeight="13.5"/>
  <cols>
    <col min="1" max="1" width="46.375" style="36" customWidth="1"/>
    <col min="2" max="2" width="12.75" style="35" bestFit="1" customWidth="1"/>
    <col min="3" max="3" width="10" style="36" bestFit="1" customWidth="1"/>
    <col min="4" max="4" width="10.25" style="36" bestFit="1" customWidth="1"/>
    <col min="5" max="5" width="10.25" style="36" customWidth="1"/>
    <col min="6" max="11" width="10.25" customWidth="1"/>
    <col min="12" max="12" width="10.875" bestFit="1" customWidth="1"/>
    <col min="15" max="15" width="10.625" customWidth="1"/>
    <col min="16" max="16" width="12" bestFit="1" customWidth="1"/>
    <col min="17" max="17" width="9.625" customWidth="1"/>
    <col min="18" max="19" width="12" customWidth="1"/>
    <col min="20" max="20" width="11.625" customWidth="1"/>
    <col min="29" max="29" width="11" customWidth="1"/>
    <col min="32" max="32" width="12.25" customWidth="1"/>
    <col min="56" max="56" width="9.125" customWidth="1"/>
    <col min="59" max="59" width="9.125" customWidth="1"/>
  </cols>
  <sheetData>
    <row r="2" spans="1:39">
      <c r="N2" s="21" t="s">
        <v>28</v>
      </c>
      <c r="O2" s="21"/>
      <c r="P2" s="21"/>
      <c r="Q2" s="21"/>
      <c r="R2" s="21"/>
      <c r="S2" s="21"/>
      <c r="T2" s="21"/>
      <c r="U2" s="21"/>
      <c r="V2" s="21"/>
      <c r="W2" s="21"/>
      <c r="X2" s="21"/>
      <c r="Y2" s="21"/>
      <c r="Z2" s="21"/>
      <c r="AA2" s="21"/>
    </row>
    <row r="3" spans="1:39" ht="14.25" thickBot="1">
      <c r="N3" s="21"/>
      <c r="O3" s="21"/>
      <c r="P3" s="21"/>
      <c r="Q3" s="21"/>
      <c r="R3" s="21"/>
      <c r="S3" s="21"/>
      <c r="T3" s="21"/>
      <c r="U3" s="21"/>
      <c r="V3" s="21"/>
      <c r="W3" s="21"/>
      <c r="X3" s="21"/>
      <c r="Y3" s="21"/>
      <c r="Z3" s="21"/>
      <c r="AA3" s="21"/>
    </row>
    <row r="4" spans="1:39">
      <c r="P4" s="213" t="s">
        <v>375</v>
      </c>
      <c r="Q4" s="214"/>
      <c r="R4" s="214"/>
      <c r="S4" s="215"/>
      <c r="T4" s="213" t="s">
        <v>24</v>
      </c>
      <c r="U4" s="214"/>
      <c r="V4" s="214"/>
      <c r="W4" s="215"/>
      <c r="X4" s="213" t="s">
        <v>75</v>
      </c>
      <c r="Y4" s="214"/>
      <c r="Z4" s="214"/>
      <c r="AA4" s="215"/>
      <c r="AB4" s="213" t="s">
        <v>376</v>
      </c>
      <c r="AC4" s="214"/>
      <c r="AD4" s="214"/>
      <c r="AE4" s="215"/>
      <c r="AF4" s="213" t="s">
        <v>377</v>
      </c>
      <c r="AG4" s="214"/>
      <c r="AH4" s="214"/>
      <c r="AI4" s="215"/>
      <c r="AJ4" s="213" t="s">
        <v>378</v>
      </c>
      <c r="AK4" s="214"/>
      <c r="AL4" s="214"/>
      <c r="AM4" s="215"/>
    </row>
    <row r="5" spans="1:39" ht="40.5">
      <c r="D5" s="55" t="s">
        <v>90</v>
      </c>
      <c r="F5" s="2"/>
      <c r="G5" s="2"/>
      <c r="H5" s="2"/>
      <c r="I5" s="2"/>
      <c r="J5" s="2"/>
      <c r="K5" s="2"/>
      <c r="N5" t="s">
        <v>11</v>
      </c>
      <c r="O5" s="22" t="s">
        <v>25</v>
      </c>
      <c r="P5" s="3" t="s">
        <v>15</v>
      </c>
      <c r="Q5" s="4" t="s">
        <v>14</v>
      </c>
      <c r="R5" s="4" t="s">
        <v>13</v>
      </c>
      <c r="S5" s="5" t="s">
        <v>12</v>
      </c>
      <c r="T5" s="3" t="s">
        <v>15</v>
      </c>
      <c r="U5" s="4" t="s">
        <v>14</v>
      </c>
      <c r="V5" s="4" t="s">
        <v>13</v>
      </c>
      <c r="W5" s="5" t="s">
        <v>12</v>
      </c>
      <c r="X5" s="3" t="s">
        <v>15</v>
      </c>
      <c r="Y5" s="4" t="s">
        <v>14</v>
      </c>
      <c r="Z5" s="4" t="s">
        <v>13</v>
      </c>
      <c r="AA5" s="5" t="s">
        <v>12</v>
      </c>
      <c r="AB5" s="3" t="s">
        <v>15</v>
      </c>
      <c r="AC5" s="4" t="s">
        <v>14</v>
      </c>
      <c r="AD5" s="4" t="s">
        <v>13</v>
      </c>
      <c r="AE5" s="5" t="s">
        <v>12</v>
      </c>
      <c r="AF5" s="3" t="s">
        <v>15</v>
      </c>
      <c r="AG5" s="4" t="s">
        <v>14</v>
      </c>
      <c r="AH5" s="4" t="s">
        <v>13</v>
      </c>
      <c r="AI5" s="5" t="s">
        <v>12</v>
      </c>
      <c r="AJ5" s="3" t="s">
        <v>15</v>
      </c>
      <c r="AK5" s="4" t="s">
        <v>14</v>
      </c>
      <c r="AL5" s="4" t="s">
        <v>13</v>
      </c>
      <c r="AM5" s="5" t="s">
        <v>12</v>
      </c>
    </row>
    <row r="6" spans="1:39">
      <c r="A6" s="205" t="s">
        <v>118</v>
      </c>
      <c r="B6" s="205"/>
      <c r="C6" s="205"/>
      <c r="E6" s="82" t="s">
        <v>333</v>
      </c>
      <c r="N6">
        <v>0</v>
      </c>
      <c r="O6">
        <f t="shared" ref="O6:O37" si="0">N6/Rcs</f>
        <v>0</v>
      </c>
      <c r="P6" s="6">
        <f t="shared" ref="P6:P37" si="1">IF($O6&lt;((V48_Min-V12_Nom)*V12_Nom)/((2*Lm*Fsw)*V48_Min),SQRT((2*$O6*Lm*Fsw*V12_Nom)/(V48_Min*(V48_Min-V12_Nom))),(V12_Nom/V48_Min))</f>
        <v>0</v>
      </c>
      <c r="Q6" s="1">
        <f t="shared" ref="Q6:Q37" si="2">IF($O6&lt;((V48_Min-V12_Nom)*V12_Nom)/((2*Lm*Fsw)*V48_Min),SQRT((2*$O6*Lm*Fsw*V12_Nom)/(V48_Min*(V48_Min-V12_Nom)))*((V48_Min-V12_Nom)/(V12_Nom)),1-(V12_Nom/V48_Min))</f>
        <v>0</v>
      </c>
      <c r="R6" s="1">
        <f t="shared" ref="R6:R37" si="3">IF($O6&lt;((V48_Min-V12_Nom)*V12_Nom)/((2*Lm*Fsw)*V48_Min),(P6/(Fsw*Lm))*(V48_Min-V12_Nom),((P6/(Fsw*Lm))*(V48_Min-V12_Nom)))</f>
        <v>0</v>
      </c>
      <c r="S6" s="7">
        <f t="shared" ref="S6:S37" si="4">IF($O6&lt;((V48_Min-V12_Nom)*V12_Nom)/((2*Lm*Fsw)*V48_Min),(P6/(Fsw*Lm))*(V48_Min-V12_Nom),(R6/2)+$O6)</f>
        <v>0</v>
      </c>
      <c r="T6" s="6">
        <f t="shared" ref="T6:T37" si="5">IF($O6&lt;((V48_Nom-V12_Nom)*V12_Nom)/((2*Lm*Fsw)*V48_Nom),SQRT((2*$O6*Lm*Fsw*V12_Nom)/(V48_Nom*(V48_Nom-V12_Nom))),(V12_Nom/V48_Nom))</f>
        <v>0</v>
      </c>
      <c r="U6" s="1">
        <f t="shared" ref="U6:U37" si="6">IF($O6&lt;((V48_Nom-V12_Nom)*V12_Nom)/((2*Lm*Fsw)*V48_Nom),SQRT((2*$O6*Lm*Fsw*V12_Nom)/(V48_Nom*(V48_Nom-V12_Nom)))*((V48_Nom-V12_Nom)/(V12_Nom)),1-(V12_Nom/V48_Nom))</f>
        <v>0</v>
      </c>
      <c r="V6" s="1">
        <f t="shared" ref="V6:V37" si="7">IF($O6&lt;((V48_Nom-V12_Nom)*V12_Nom)/((2*Lm*Fsw)*V48_Nom),(T6/(Fsw*Lm))*(V48_Nom-V12_Nom),((T6/(Fsw*Lm))*(V48_Nom-V12_Nom)))</f>
        <v>0</v>
      </c>
      <c r="W6" s="7">
        <f t="shared" ref="W6:W37" si="8">IF($O6&lt;((V48_Nom-V12_Nom)*V12_Nom)/((2*Lm*Fsw)*V48_Nom),(T6/(Fsw*Lm))*(V48_Nom-V12_Nom),(V6/2)+$O6)</f>
        <v>0</v>
      </c>
      <c r="X6" s="6">
        <f t="shared" ref="X6:X37" si="9">IF($O6&lt;((V48_Max-V12_Nom)*V12_Nom)/((2*Lm*Fsw)*V48_Max),SQRT((2*$O6*Lm*Fsw*V12_Nom)/(V48_Max*(V48_Max-V12_Nom))),(V12_Nom/V48_Max))</f>
        <v>0</v>
      </c>
      <c r="Y6" s="1">
        <f t="shared" ref="Y6:Y37" si="10">IF($O6&lt;((V48_Max-V12_Nom)*V12_Nom)/((2*Lm*Fsw)*V48_Max),SQRT((2*$O6*Lm*Fsw*V12_Nom)/(V48_Max*(V48_Max-V12_Nom)))*((V48_Max-V12_Nom)/(V12_Nom)),1-(V12_Nom/V48_Max))</f>
        <v>0</v>
      </c>
      <c r="Z6" s="1">
        <f t="shared" ref="Z6:Z37" si="11">IF($O6&lt;((V48_Max-V12_Nom)*V12_Nom)/((2*Lm*Fsw)*V48_Max),(X6/(Fsw*Lm))*(V48_Max-V12_Nom),((X6/(Fsw*Lm))*(V48_Max-V12_Nom)))</f>
        <v>0</v>
      </c>
      <c r="AA6" s="7">
        <f t="shared" ref="AA6:AA37" si="12">IF($O6&lt;((V48_Max-V12_Nom)*V12_Nom)/((2*Lm*Fsw)*V48_Max),(X6/(Fsw*Lm))*(V48_Max-V12_Nom),(Z6/2)+$O6)</f>
        <v>0</v>
      </c>
      <c r="AB6" s="6">
        <f t="shared" ref="AB6:AB37" si="13">IF($O6&lt;((V48_Nom-V12_Min)*V12_Min)/((2*Lm*Fsw)*V48_Nom),SQRT((2*$O6*Lm*Fsw*V12_Min)/(V48_Nom*(V48_Nom-V12_Min))),(V12_Min/V48_Nom))</f>
        <v>0</v>
      </c>
      <c r="AC6" s="1">
        <f t="shared" ref="AC6:AC37" si="14">IF($O6&lt;((V48_Nom-V12_Min)*V12_Min)/((2*Lm*Fsw)*V48_Nom),SQRT((2*$O6*Lm*Fsw*V12_Min)/(V48_Nom*(V48_Nom-V12_Min)))*((V48_Nom-V12_Min)/(V12_Min)),1-(V12_Min/V48_Nom))</f>
        <v>0</v>
      </c>
      <c r="AD6" s="1">
        <f t="shared" ref="AD6:AD37" si="15">IF($O6&lt;((V48_Nom-V12_Min)*V12_Min)/((2*Lm*Fsw)*V48_Nom),(AB6/(Fsw*Lm))*(V48_Nom-V12_Min),((AB6/(Fsw*Lm))*(V48_Nom-V12_Min)))</f>
        <v>0</v>
      </c>
      <c r="AE6" s="7">
        <f t="shared" ref="AE6:AE37" si="16">IF($O6&lt;((V48_Nom-V12_Min)*V12_Min)/((2*Lm*Fsw)*V48_Nom),(AB6/(Fsw*Lm))*(V48_Nom-V12_Min),(AD6/2)+$O6)</f>
        <v>0</v>
      </c>
      <c r="AF6" s="6">
        <f t="shared" ref="AF6:AF56" si="17">IF($O6&lt;((V48_Nom-V12_Nom)*V12_Nom)/((2*Lm*Fsw)*V48_Nom),SQRT((2*$O6*Lm*Fsw*V12_Nom)/(V48_Nom*(V48_Nom-V12_Nom))),(V12_Nom/V48_Nom))</f>
        <v>0</v>
      </c>
      <c r="AG6" s="1">
        <f t="shared" ref="AG6:AG56" si="18">IF($O6&lt;((V48_Nom-V12_Nom)*V12_Nom)/((2*Lm*Fsw)*V48_Nom),SQRT((2*$O6*Lm*Fsw*V12_Nom)/(V48_Nom*(V48_Nom-V12_Nom)))*((V48_Nom-V12_Nom)/(V12_Nom)),1-(V12_Nom/V48_Nom))</f>
        <v>0</v>
      </c>
      <c r="AH6" s="1">
        <f t="shared" ref="AH6" si="19">IF($O6&lt;((V48_Nom-V12_Nom)*V12_Nom)/((2*Lm*Fsw)*V48_Nom),(AF6/(Fsw*Lm))*(V48_Nom-V12_Nom),((AF6/(Fsw*Lm))*(V48_Nom-V12_Nom)))</f>
        <v>0</v>
      </c>
      <c r="AI6" s="7">
        <f t="shared" ref="AI6" si="20">IF($O6&lt;((V48_Nom-V12_Nom)*V12_Nom)/((2*Lm*Fsw)*V48_Nom),(AF6/(Fsw*Lm))*(V48_Nom-V12_Nom),(AH6/2)+$O6)</f>
        <v>0</v>
      </c>
      <c r="AJ6" s="6">
        <f t="shared" ref="AJ6:AJ37" si="21">IF($O6&lt;((V48_Nom-V12_Max)*V12_Max)/((2*Lm*Fsw)*V48_Nom),SQRT((2*$O6*Lm*Fsw*V12_Max)/(V48_Nom*(V48_Nom-V12_Max))),(V12_Max/V48_Nom))</f>
        <v>0</v>
      </c>
      <c r="AK6" s="1">
        <f t="shared" ref="AK6:AK37" si="22">IF($O6&lt;((V48_Nom-V12_Max)*V12_Max)/((2*Lm*Fsw)*V48_Nom),SQRT((2*$O6*Lm*Fsw*V12_Max)/(V48_Nom*(V48_Nom-V12_Max)))*((V48_Nom-V12_Max)/(V12_Max)),1-(V12_Max/V48_Nom))</f>
        <v>0</v>
      </c>
      <c r="AL6" s="1">
        <f t="shared" ref="AL6:AL37" si="23">IF($O6&lt;((V48_Nom-V12_Max)*V12_Max)/((2*Lm*Fsw)*V48_Nom),(AJ6/(Fsw*Lm))*(V48_Nom-V12_Max),((AJ6/(Fsw*Lm))*(V48_Nom-V12_Max)))</f>
        <v>0</v>
      </c>
      <c r="AM6" s="7">
        <f t="shared" ref="AM6:AM37" si="24">IF($O6&lt;((V48_Nom-V12_Max)*V12_Max)/((2*Lm*Fsw)*V48_Nom),(AJ6/(Fsw*Lm))*(V48_Nom-V12_Max),(AL6/2)+$O6)</f>
        <v>0</v>
      </c>
    </row>
    <row r="7" spans="1:39">
      <c r="A7" s="33" t="s">
        <v>108</v>
      </c>
      <c r="B7" s="56">
        <f>Design_Converter!B11</f>
        <v>35</v>
      </c>
      <c r="C7" s="33" t="s">
        <v>1</v>
      </c>
      <c r="E7" s="36" t="s">
        <v>119</v>
      </c>
      <c r="I7" s="38"/>
      <c r="J7" t="s">
        <v>127</v>
      </c>
      <c r="N7">
        <v>1E-3</v>
      </c>
      <c r="O7">
        <f t="shared" si="0"/>
        <v>5</v>
      </c>
      <c r="P7" s="6">
        <f t="shared" si="1"/>
        <v>0.19155085309992298</v>
      </c>
      <c r="Q7" s="1">
        <f t="shared" si="2"/>
        <v>0.35798028284247901</v>
      </c>
      <c r="R7" s="1">
        <f t="shared" si="3"/>
        <v>18.197331044492685</v>
      </c>
      <c r="S7" s="7">
        <f t="shared" si="4"/>
        <v>18.197331044492685</v>
      </c>
      <c r="T7" s="6">
        <f t="shared" si="5"/>
        <v>0.13053392718083448</v>
      </c>
      <c r="U7" s="1">
        <f t="shared" si="6"/>
        <v>0.38304217976015364</v>
      </c>
      <c r="V7" s="1">
        <f t="shared" si="7"/>
        <v>19.471310804474474</v>
      </c>
      <c r="W7" s="7">
        <f t="shared" si="8"/>
        <v>19.471310804474474</v>
      </c>
      <c r="X7" s="6">
        <f t="shared" si="9"/>
        <v>0.10925830719356011</v>
      </c>
      <c r="Y7" s="1">
        <f t="shared" si="10"/>
        <v>0.39225523402278134</v>
      </c>
      <c r="Z7" s="1">
        <f t="shared" si="11"/>
        <v>19.93964106282472</v>
      </c>
      <c r="AA7" s="7">
        <f t="shared" si="12"/>
        <v>19.93964106282472</v>
      </c>
      <c r="AB7" s="6">
        <f t="shared" si="13"/>
        <v>0.13017529218158364</v>
      </c>
      <c r="AC7" s="1">
        <f t="shared" si="14"/>
        <v>0.38409746705430237</v>
      </c>
      <c r="AD7" s="1">
        <f t="shared" si="15"/>
        <v>19.444934269624056</v>
      </c>
      <c r="AE7" s="7">
        <f t="shared" si="16"/>
        <v>19.444934269624056</v>
      </c>
      <c r="AF7" s="6">
        <f t="shared" si="17"/>
        <v>0.13053392718083448</v>
      </c>
      <c r="AG7" s="1">
        <f t="shared" si="18"/>
        <v>0.38304217976015364</v>
      </c>
      <c r="AH7" s="1">
        <f t="shared" ref="AH7:AH56" si="25">IF($O7&lt;((V48_Nom-V12_Nom)*V12_Nom)/((2*Lm*Fsw)*V48_Nom),(AF7/(Fsw*Lm))*(V48_Nom-V12_Nom),((AF7/(Fsw*Lm))*(V48_Nom-V12_Nom)))</f>
        <v>19.471310804474474</v>
      </c>
      <c r="AI7" s="7">
        <f t="shared" ref="AI7:AI56" si="26">IF($O7&lt;((V48_Nom-V12_Nom)*V12_Nom)/((2*Lm*Fsw)*V48_Nom),(AF7/(Fsw*Lm))*(V48_Nom-V12_Nom),(AH7/2)+$O7)</f>
        <v>19.471310804474474</v>
      </c>
      <c r="AJ7" s="6">
        <f t="shared" si="21"/>
        <v>0.130892578601184</v>
      </c>
      <c r="AK7" s="1">
        <f t="shared" si="22"/>
        <v>0.38199262734631251</v>
      </c>
      <c r="AL7" s="1">
        <f t="shared" si="23"/>
        <v>19.497540354134699</v>
      </c>
      <c r="AM7" s="7">
        <f t="shared" si="24"/>
        <v>19.497540354134699</v>
      </c>
    </row>
    <row r="8" spans="1:39">
      <c r="A8" s="33" t="s">
        <v>109</v>
      </c>
      <c r="B8" s="56">
        <f>Design_Converter!B12</f>
        <v>48</v>
      </c>
      <c r="C8" s="33" t="s">
        <v>1</v>
      </c>
      <c r="E8" s="36" t="s">
        <v>120</v>
      </c>
      <c r="I8" s="39"/>
      <c r="J8" t="s">
        <v>128</v>
      </c>
      <c r="N8">
        <v>2E-3</v>
      </c>
      <c r="O8">
        <f t="shared" si="0"/>
        <v>10</v>
      </c>
      <c r="P8" s="6">
        <f t="shared" si="1"/>
        <v>0.27089381433804749</v>
      </c>
      <c r="Q8" s="1">
        <f t="shared" si="2"/>
        <v>0.50626057105799038</v>
      </c>
      <c r="R8" s="1">
        <f t="shared" si="3"/>
        <v>25.734912362114514</v>
      </c>
      <c r="S8" s="7">
        <f t="shared" si="4"/>
        <v>25.734912362114514</v>
      </c>
      <c r="T8" s="6">
        <f t="shared" si="5"/>
        <v>0.18460285016895808</v>
      </c>
      <c r="U8" s="1">
        <f t="shared" si="6"/>
        <v>0.54170344557776218</v>
      </c>
      <c r="V8" s="1">
        <f t="shared" si="7"/>
        <v>27.536591816869581</v>
      </c>
      <c r="W8" s="7">
        <f t="shared" si="8"/>
        <v>27.536591816869581</v>
      </c>
      <c r="X8" s="6">
        <f t="shared" si="9"/>
        <v>0.15451457983505859</v>
      </c>
      <c r="Y8" s="1">
        <f t="shared" si="10"/>
        <v>0.55473267186684971</v>
      </c>
      <c r="Z8" s="1">
        <f t="shared" si="11"/>
        <v>28.198910819898192</v>
      </c>
      <c r="AA8" s="7">
        <f t="shared" si="12"/>
        <v>28.198910819898192</v>
      </c>
      <c r="AB8" s="6">
        <f t="shared" si="13"/>
        <v>0.1840956636890759</v>
      </c>
      <c r="AC8" s="1">
        <f t="shared" si="14"/>
        <v>0.5431958471813475</v>
      </c>
      <c r="AD8" s="1">
        <f t="shared" si="15"/>
        <v>27.499289763555716</v>
      </c>
      <c r="AE8" s="7">
        <f t="shared" si="16"/>
        <v>27.499289763555716</v>
      </c>
      <c r="AF8" s="6">
        <f t="shared" si="17"/>
        <v>0.18460285016895808</v>
      </c>
      <c r="AG8" s="1">
        <f t="shared" si="18"/>
        <v>0.54170344557776218</v>
      </c>
      <c r="AH8" s="1">
        <f t="shared" si="25"/>
        <v>27.536591816869581</v>
      </c>
      <c r="AI8" s="7">
        <f t="shared" si="26"/>
        <v>27.536591816869581</v>
      </c>
      <c r="AJ8" s="6">
        <f t="shared" si="21"/>
        <v>0.18511005987178078</v>
      </c>
      <c r="AK8" s="1">
        <f t="shared" si="22"/>
        <v>0.5402191543196867</v>
      </c>
      <c r="AL8" s="1">
        <f t="shared" si="23"/>
        <v>27.573686001734014</v>
      </c>
      <c r="AM8" s="7">
        <f t="shared" si="24"/>
        <v>27.573686001734014</v>
      </c>
    </row>
    <row r="9" spans="1:39">
      <c r="A9" s="33" t="s">
        <v>110</v>
      </c>
      <c r="B9" s="56">
        <f>Design_Converter!B13</f>
        <v>56</v>
      </c>
      <c r="C9" s="33" t="s">
        <v>1</v>
      </c>
      <c r="E9" s="36" t="s">
        <v>125</v>
      </c>
      <c r="I9" s="40"/>
      <c r="J9" t="s">
        <v>138</v>
      </c>
      <c r="N9">
        <v>3.0000000000000001E-3</v>
      </c>
      <c r="O9">
        <f t="shared" si="0"/>
        <v>15</v>
      </c>
      <c r="P9" s="6">
        <f t="shared" si="1"/>
        <v>0.33177580980222898</v>
      </c>
      <c r="Q9" s="1">
        <f t="shared" si="2"/>
        <v>0.6200400379910509</v>
      </c>
      <c r="R9" s="1">
        <f t="shared" si="3"/>
        <v>31.518701931211755</v>
      </c>
      <c r="S9" s="7">
        <f t="shared" si="4"/>
        <v>31.518701931211755</v>
      </c>
      <c r="T9" s="6">
        <f t="shared" si="5"/>
        <v>0.2260913939887014</v>
      </c>
      <c r="U9" s="1">
        <f t="shared" si="6"/>
        <v>0.66344851678651717</v>
      </c>
      <c r="V9" s="1">
        <f t="shared" si="7"/>
        <v>33.725299603314625</v>
      </c>
      <c r="W9" s="7">
        <f t="shared" si="8"/>
        <v>33.725299603314625</v>
      </c>
      <c r="X9" s="6">
        <f t="shared" si="9"/>
        <v>0.18924093920821428</v>
      </c>
      <c r="Y9" s="1">
        <f t="shared" si="10"/>
        <v>0.67940599486227748</v>
      </c>
      <c r="Z9" s="1">
        <f t="shared" si="11"/>
        <v>34.536471405499107</v>
      </c>
      <c r="AA9" s="7">
        <f t="shared" si="12"/>
        <v>34.536471405499107</v>
      </c>
      <c r="AB9" s="6">
        <f t="shared" si="13"/>
        <v>0.22547021994862648</v>
      </c>
      <c r="AC9" s="1">
        <f t="shared" si="14"/>
        <v>0.66527632799656466</v>
      </c>
      <c r="AD9" s="1">
        <f t="shared" si="15"/>
        <v>33.679614104826086</v>
      </c>
      <c r="AE9" s="7">
        <f t="shared" si="16"/>
        <v>33.679614104826086</v>
      </c>
      <c r="AF9" s="6">
        <f t="shared" si="17"/>
        <v>0.2260913939887014</v>
      </c>
      <c r="AG9" s="1">
        <f t="shared" si="18"/>
        <v>0.66344851678651717</v>
      </c>
      <c r="AH9" s="1">
        <f t="shared" si="25"/>
        <v>33.725299603314625</v>
      </c>
      <c r="AI9" s="7">
        <f t="shared" si="26"/>
        <v>33.725299603314625</v>
      </c>
      <c r="AJ9" s="6">
        <f t="shared" si="21"/>
        <v>0.22671259647095349</v>
      </c>
      <c r="AK9" s="1">
        <f t="shared" si="22"/>
        <v>0.66163063868053773</v>
      </c>
      <c r="AL9" s="1">
        <f t="shared" si="23"/>
        <v>33.770730515985782</v>
      </c>
      <c r="AM9" s="7">
        <f t="shared" si="24"/>
        <v>33.770730515985782</v>
      </c>
    </row>
    <row r="10" spans="1:39">
      <c r="A10" s="205" t="s">
        <v>121</v>
      </c>
      <c r="B10" s="205"/>
      <c r="C10" s="205"/>
      <c r="I10" s="41"/>
      <c r="J10" t="s">
        <v>145</v>
      </c>
      <c r="N10">
        <v>4.0000000000000001E-3</v>
      </c>
      <c r="O10">
        <f t="shared" si="0"/>
        <v>20</v>
      </c>
      <c r="P10" s="6">
        <f t="shared" si="1"/>
        <v>0.34857142857142853</v>
      </c>
      <c r="Q10" s="1">
        <f t="shared" si="2"/>
        <v>0.65142857142857147</v>
      </c>
      <c r="R10" s="1">
        <f t="shared" si="3"/>
        <v>33.114285714285714</v>
      </c>
      <c r="S10" s="7">
        <f t="shared" si="4"/>
        <v>36.557142857142857</v>
      </c>
      <c r="T10" s="6">
        <f t="shared" si="5"/>
        <v>0.25416666666666665</v>
      </c>
      <c r="U10" s="1">
        <f t="shared" si="6"/>
        <v>0.74583333333333335</v>
      </c>
      <c r="V10" s="1">
        <f t="shared" si="7"/>
        <v>37.913194444444436</v>
      </c>
      <c r="W10" s="7">
        <f t="shared" si="8"/>
        <v>38.956597222222214</v>
      </c>
      <c r="X10" s="6">
        <f t="shared" si="9"/>
        <v>0.21785714285714283</v>
      </c>
      <c r="Y10" s="1">
        <f t="shared" si="10"/>
        <v>0.78214285714285714</v>
      </c>
      <c r="Z10" s="1">
        <f t="shared" si="11"/>
        <v>39.758928571428562</v>
      </c>
      <c r="AA10" s="7">
        <f t="shared" si="12"/>
        <v>39.879464285714278</v>
      </c>
      <c r="AB10" s="6">
        <f t="shared" si="13"/>
        <v>0.25312499999999999</v>
      </c>
      <c r="AC10" s="1">
        <f t="shared" si="14"/>
        <v>0.74687499999999996</v>
      </c>
      <c r="AD10" s="1">
        <f t="shared" si="15"/>
        <v>37.810546875</v>
      </c>
      <c r="AE10" s="7">
        <f t="shared" si="16"/>
        <v>38.9052734375</v>
      </c>
      <c r="AF10" s="6">
        <f t="shared" si="17"/>
        <v>0.25416666666666665</v>
      </c>
      <c r="AG10" s="1">
        <f t="shared" si="18"/>
        <v>0.74583333333333335</v>
      </c>
      <c r="AH10" s="1">
        <f t="shared" si="25"/>
        <v>37.913194444444436</v>
      </c>
      <c r="AI10" s="7">
        <f t="shared" si="26"/>
        <v>38.956597222222214</v>
      </c>
      <c r="AJ10" s="6">
        <f t="shared" si="21"/>
        <v>0.25520833333333331</v>
      </c>
      <c r="AK10" s="1">
        <f t="shared" si="22"/>
        <v>0.74479166666666674</v>
      </c>
      <c r="AL10" s="1">
        <f t="shared" si="23"/>
        <v>38.015407986111114</v>
      </c>
      <c r="AM10" s="7">
        <f t="shared" si="24"/>
        <v>39.007703993055557</v>
      </c>
    </row>
    <row r="11" spans="1:39">
      <c r="A11" s="33" t="s">
        <v>76</v>
      </c>
      <c r="B11" s="56">
        <f>Design_Converter!B16</f>
        <v>12.15</v>
      </c>
      <c r="C11" s="33" t="s">
        <v>1</v>
      </c>
      <c r="E11" s="36" t="s">
        <v>122</v>
      </c>
      <c r="N11">
        <v>5.0000000000000001E-3</v>
      </c>
      <c r="O11">
        <f t="shared" si="0"/>
        <v>25</v>
      </c>
      <c r="P11" s="6">
        <f t="shared" si="1"/>
        <v>0.34857142857142853</v>
      </c>
      <c r="Q11" s="1">
        <f t="shared" si="2"/>
        <v>0.65142857142857147</v>
      </c>
      <c r="R11" s="1">
        <f t="shared" si="3"/>
        <v>33.114285714285714</v>
      </c>
      <c r="S11" s="7">
        <f t="shared" si="4"/>
        <v>41.557142857142857</v>
      </c>
      <c r="T11" s="6">
        <f t="shared" si="5"/>
        <v>0.25416666666666665</v>
      </c>
      <c r="U11" s="1">
        <f t="shared" si="6"/>
        <v>0.74583333333333335</v>
      </c>
      <c r="V11" s="1">
        <f t="shared" si="7"/>
        <v>37.913194444444436</v>
      </c>
      <c r="W11" s="7">
        <f t="shared" si="8"/>
        <v>43.956597222222214</v>
      </c>
      <c r="X11" s="6">
        <f t="shared" si="9"/>
        <v>0.21785714285714283</v>
      </c>
      <c r="Y11" s="1">
        <f t="shared" si="10"/>
        <v>0.78214285714285714</v>
      </c>
      <c r="Z11" s="1">
        <f t="shared" si="11"/>
        <v>39.758928571428562</v>
      </c>
      <c r="AA11" s="7">
        <f t="shared" si="12"/>
        <v>44.879464285714278</v>
      </c>
      <c r="AB11" s="6">
        <f t="shared" si="13"/>
        <v>0.25312499999999999</v>
      </c>
      <c r="AC11" s="1">
        <f t="shared" si="14"/>
        <v>0.74687499999999996</v>
      </c>
      <c r="AD11" s="1">
        <f t="shared" si="15"/>
        <v>37.810546875</v>
      </c>
      <c r="AE11" s="7">
        <f t="shared" si="16"/>
        <v>43.9052734375</v>
      </c>
      <c r="AF11" s="6">
        <f t="shared" si="17"/>
        <v>0.25416666666666665</v>
      </c>
      <c r="AG11" s="1">
        <f t="shared" si="18"/>
        <v>0.74583333333333335</v>
      </c>
      <c r="AH11" s="1">
        <f t="shared" si="25"/>
        <v>37.913194444444436</v>
      </c>
      <c r="AI11" s="7">
        <f t="shared" si="26"/>
        <v>43.956597222222214</v>
      </c>
      <c r="AJ11" s="6">
        <f t="shared" si="21"/>
        <v>0.25520833333333331</v>
      </c>
      <c r="AK11" s="1">
        <f t="shared" si="22"/>
        <v>0.74479166666666674</v>
      </c>
      <c r="AL11" s="1">
        <f t="shared" si="23"/>
        <v>38.015407986111114</v>
      </c>
      <c r="AM11" s="7">
        <f t="shared" si="24"/>
        <v>44.007703993055557</v>
      </c>
    </row>
    <row r="12" spans="1:39">
      <c r="A12" s="33" t="s">
        <v>77</v>
      </c>
      <c r="B12" s="56">
        <f>Design_Converter!B17</f>
        <v>12.2</v>
      </c>
      <c r="C12" s="33" t="s">
        <v>1</v>
      </c>
      <c r="E12" s="36" t="s">
        <v>123</v>
      </c>
      <c r="N12">
        <v>6.0000000000000001E-3</v>
      </c>
      <c r="O12">
        <f t="shared" si="0"/>
        <v>30</v>
      </c>
      <c r="P12" s="6">
        <f t="shared" si="1"/>
        <v>0.34857142857142853</v>
      </c>
      <c r="Q12" s="1">
        <f t="shared" si="2"/>
        <v>0.65142857142857147</v>
      </c>
      <c r="R12" s="1">
        <f t="shared" si="3"/>
        <v>33.114285714285714</v>
      </c>
      <c r="S12" s="7">
        <f t="shared" si="4"/>
        <v>46.557142857142857</v>
      </c>
      <c r="T12" s="6">
        <f t="shared" si="5"/>
        <v>0.25416666666666665</v>
      </c>
      <c r="U12" s="1">
        <f t="shared" si="6"/>
        <v>0.74583333333333335</v>
      </c>
      <c r="V12" s="1">
        <f t="shared" si="7"/>
        <v>37.913194444444436</v>
      </c>
      <c r="W12" s="7">
        <f t="shared" si="8"/>
        <v>48.956597222222214</v>
      </c>
      <c r="X12" s="6">
        <f t="shared" si="9"/>
        <v>0.21785714285714283</v>
      </c>
      <c r="Y12" s="1">
        <f t="shared" si="10"/>
        <v>0.78214285714285714</v>
      </c>
      <c r="Z12" s="1">
        <f t="shared" si="11"/>
        <v>39.758928571428562</v>
      </c>
      <c r="AA12" s="7">
        <f t="shared" si="12"/>
        <v>49.879464285714278</v>
      </c>
      <c r="AB12" s="6">
        <f t="shared" si="13"/>
        <v>0.25312499999999999</v>
      </c>
      <c r="AC12" s="1">
        <f t="shared" si="14"/>
        <v>0.74687499999999996</v>
      </c>
      <c r="AD12" s="1">
        <f t="shared" si="15"/>
        <v>37.810546875</v>
      </c>
      <c r="AE12" s="7">
        <f t="shared" si="16"/>
        <v>48.9052734375</v>
      </c>
      <c r="AF12" s="6">
        <f t="shared" si="17"/>
        <v>0.25416666666666665</v>
      </c>
      <c r="AG12" s="1">
        <f t="shared" si="18"/>
        <v>0.74583333333333335</v>
      </c>
      <c r="AH12" s="1">
        <f t="shared" si="25"/>
        <v>37.913194444444436</v>
      </c>
      <c r="AI12" s="7">
        <f t="shared" si="26"/>
        <v>48.956597222222214</v>
      </c>
      <c r="AJ12" s="6">
        <f t="shared" si="21"/>
        <v>0.25520833333333331</v>
      </c>
      <c r="AK12" s="1">
        <f t="shared" si="22"/>
        <v>0.74479166666666674</v>
      </c>
      <c r="AL12" s="1">
        <f t="shared" si="23"/>
        <v>38.015407986111114</v>
      </c>
      <c r="AM12" s="7">
        <f t="shared" si="24"/>
        <v>49.007703993055557</v>
      </c>
    </row>
    <row r="13" spans="1:39">
      <c r="A13" s="33" t="s">
        <v>78</v>
      </c>
      <c r="B13" s="56">
        <f>Design_Converter!B18</f>
        <v>12.25</v>
      </c>
      <c r="C13" s="33" t="s">
        <v>1</v>
      </c>
      <c r="E13" s="36" t="s">
        <v>124</v>
      </c>
      <c r="N13">
        <v>7.0000000000000001E-3</v>
      </c>
      <c r="O13">
        <f t="shared" si="0"/>
        <v>35</v>
      </c>
      <c r="P13" s="6">
        <f t="shared" si="1"/>
        <v>0.34857142857142853</v>
      </c>
      <c r="Q13" s="1">
        <f t="shared" si="2"/>
        <v>0.65142857142857147</v>
      </c>
      <c r="R13" s="1">
        <f t="shared" si="3"/>
        <v>33.114285714285714</v>
      </c>
      <c r="S13" s="7">
        <f t="shared" si="4"/>
        <v>51.557142857142857</v>
      </c>
      <c r="T13" s="6">
        <f t="shared" si="5"/>
        <v>0.25416666666666665</v>
      </c>
      <c r="U13" s="1">
        <f t="shared" si="6"/>
        <v>0.74583333333333335</v>
      </c>
      <c r="V13" s="1">
        <f t="shared" si="7"/>
        <v>37.913194444444436</v>
      </c>
      <c r="W13" s="7">
        <f t="shared" si="8"/>
        <v>53.956597222222214</v>
      </c>
      <c r="X13" s="6">
        <f t="shared" si="9"/>
        <v>0.21785714285714283</v>
      </c>
      <c r="Y13" s="1">
        <f t="shared" si="10"/>
        <v>0.78214285714285714</v>
      </c>
      <c r="Z13" s="1">
        <f t="shared" si="11"/>
        <v>39.758928571428562</v>
      </c>
      <c r="AA13" s="7">
        <f t="shared" si="12"/>
        <v>54.879464285714278</v>
      </c>
      <c r="AB13" s="6">
        <f t="shared" si="13"/>
        <v>0.25312499999999999</v>
      </c>
      <c r="AC13" s="1">
        <f t="shared" si="14"/>
        <v>0.74687499999999996</v>
      </c>
      <c r="AD13" s="1">
        <f t="shared" si="15"/>
        <v>37.810546875</v>
      </c>
      <c r="AE13" s="7">
        <f t="shared" si="16"/>
        <v>53.9052734375</v>
      </c>
      <c r="AF13" s="6">
        <f t="shared" si="17"/>
        <v>0.25416666666666665</v>
      </c>
      <c r="AG13" s="1">
        <f t="shared" si="18"/>
        <v>0.74583333333333335</v>
      </c>
      <c r="AH13" s="1">
        <f t="shared" si="25"/>
        <v>37.913194444444436</v>
      </c>
      <c r="AI13" s="7">
        <f t="shared" si="26"/>
        <v>53.956597222222214</v>
      </c>
      <c r="AJ13" s="6">
        <f t="shared" si="21"/>
        <v>0.25520833333333331</v>
      </c>
      <c r="AK13" s="1">
        <f t="shared" si="22"/>
        <v>0.74479166666666674</v>
      </c>
      <c r="AL13" s="1">
        <f t="shared" si="23"/>
        <v>38.015407986111114</v>
      </c>
      <c r="AM13" s="7">
        <f t="shared" si="24"/>
        <v>54.007703993055557</v>
      </c>
    </row>
    <row r="14" spans="1:39">
      <c r="A14" s="205" t="s">
        <v>86</v>
      </c>
      <c r="B14" s="205"/>
      <c r="C14" s="205"/>
      <c r="N14">
        <v>8.0000000000000002E-3</v>
      </c>
      <c r="O14">
        <f t="shared" si="0"/>
        <v>40</v>
      </c>
      <c r="P14" s="6">
        <f t="shared" si="1"/>
        <v>0.34857142857142853</v>
      </c>
      <c r="Q14" s="1">
        <f t="shared" si="2"/>
        <v>0.65142857142857147</v>
      </c>
      <c r="R14" s="1">
        <f t="shared" si="3"/>
        <v>33.114285714285714</v>
      </c>
      <c r="S14" s="7">
        <f t="shared" si="4"/>
        <v>56.557142857142857</v>
      </c>
      <c r="T14" s="6">
        <f t="shared" si="5"/>
        <v>0.25416666666666665</v>
      </c>
      <c r="U14" s="1">
        <f t="shared" si="6"/>
        <v>0.74583333333333335</v>
      </c>
      <c r="V14" s="1">
        <f t="shared" si="7"/>
        <v>37.913194444444436</v>
      </c>
      <c r="W14" s="7">
        <f t="shared" si="8"/>
        <v>58.956597222222214</v>
      </c>
      <c r="X14" s="6">
        <f t="shared" si="9"/>
        <v>0.21785714285714283</v>
      </c>
      <c r="Y14" s="1">
        <f t="shared" si="10"/>
        <v>0.78214285714285714</v>
      </c>
      <c r="Z14" s="1">
        <f t="shared" si="11"/>
        <v>39.758928571428562</v>
      </c>
      <c r="AA14" s="7">
        <f t="shared" si="12"/>
        <v>59.879464285714278</v>
      </c>
      <c r="AB14" s="6">
        <f t="shared" si="13"/>
        <v>0.25312499999999999</v>
      </c>
      <c r="AC14" s="1">
        <f t="shared" si="14"/>
        <v>0.74687499999999996</v>
      </c>
      <c r="AD14" s="1">
        <f t="shared" si="15"/>
        <v>37.810546875</v>
      </c>
      <c r="AE14" s="7">
        <f t="shared" si="16"/>
        <v>58.9052734375</v>
      </c>
      <c r="AF14" s="6">
        <f t="shared" si="17"/>
        <v>0.25416666666666665</v>
      </c>
      <c r="AG14" s="1">
        <f t="shared" si="18"/>
        <v>0.74583333333333335</v>
      </c>
      <c r="AH14" s="1">
        <f t="shared" si="25"/>
        <v>37.913194444444436</v>
      </c>
      <c r="AI14" s="7">
        <f t="shared" si="26"/>
        <v>58.956597222222214</v>
      </c>
      <c r="AJ14" s="6">
        <f t="shared" si="21"/>
        <v>0.25520833333333331</v>
      </c>
      <c r="AK14" s="1">
        <f t="shared" si="22"/>
        <v>0.74479166666666674</v>
      </c>
      <c r="AL14" s="1">
        <f t="shared" si="23"/>
        <v>38.015407986111114</v>
      </c>
      <c r="AM14" s="7">
        <f t="shared" si="24"/>
        <v>59.007703993055557</v>
      </c>
    </row>
    <row r="15" spans="1:39">
      <c r="A15" s="33" t="s">
        <v>129</v>
      </c>
      <c r="B15" s="56">
        <f>Design_Converter!B21*1000</f>
        <v>100000</v>
      </c>
      <c r="C15" s="33" t="s">
        <v>87</v>
      </c>
      <c r="D15" s="36">
        <f>IF(AND(B15&lt;=Constants!B39,B15&lt;=Constants!D39),1,0)</f>
        <v>0</v>
      </c>
      <c r="E15" s="36" t="s">
        <v>130</v>
      </c>
      <c r="N15">
        <v>8.9999999999999993E-3</v>
      </c>
      <c r="O15">
        <f t="shared" si="0"/>
        <v>44.999999999999993</v>
      </c>
      <c r="P15" s="6">
        <f t="shared" si="1"/>
        <v>0.34857142857142853</v>
      </c>
      <c r="Q15" s="1">
        <f t="shared" si="2"/>
        <v>0.65142857142857147</v>
      </c>
      <c r="R15" s="1">
        <f t="shared" si="3"/>
        <v>33.114285714285714</v>
      </c>
      <c r="S15" s="7">
        <f t="shared" si="4"/>
        <v>61.55714285714285</v>
      </c>
      <c r="T15" s="6">
        <f t="shared" si="5"/>
        <v>0.25416666666666665</v>
      </c>
      <c r="U15" s="1">
        <f t="shared" si="6"/>
        <v>0.74583333333333335</v>
      </c>
      <c r="V15" s="1">
        <f t="shared" si="7"/>
        <v>37.913194444444436</v>
      </c>
      <c r="W15" s="7">
        <f t="shared" si="8"/>
        <v>63.956597222222214</v>
      </c>
      <c r="X15" s="6">
        <f t="shared" si="9"/>
        <v>0.21785714285714283</v>
      </c>
      <c r="Y15" s="1">
        <f t="shared" si="10"/>
        <v>0.78214285714285714</v>
      </c>
      <c r="Z15" s="1">
        <f t="shared" si="11"/>
        <v>39.758928571428562</v>
      </c>
      <c r="AA15" s="7">
        <f t="shared" si="12"/>
        <v>64.879464285714278</v>
      </c>
      <c r="AB15" s="6">
        <f t="shared" si="13"/>
        <v>0.25312499999999999</v>
      </c>
      <c r="AC15" s="1">
        <f t="shared" si="14"/>
        <v>0.74687499999999996</v>
      </c>
      <c r="AD15" s="1">
        <f t="shared" si="15"/>
        <v>37.810546875</v>
      </c>
      <c r="AE15" s="7">
        <f t="shared" si="16"/>
        <v>63.905273437499993</v>
      </c>
      <c r="AF15" s="6">
        <f t="shared" si="17"/>
        <v>0.25416666666666665</v>
      </c>
      <c r="AG15" s="1">
        <f t="shared" si="18"/>
        <v>0.74583333333333335</v>
      </c>
      <c r="AH15" s="1">
        <f t="shared" si="25"/>
        <v>37.913194444444436</v>
      </c>
      <c r="AI15" s="7">
        <f t="shared" si="26"/>
        <v>63.956597222222214</v>
      </c>
      <c r="AJ15" s="6">
        <f t="shared" si="21"/>
        <v>0.25520833333333331</v>
      </c>
      <c r="AK15" s="1">
        <f t="shared" si="22"/>
        <v>0.74479166666666674</v>
      </c>
      <c r="AL15" s="1">
        <f t="shared" si="23"/>
        <v>38.015407986111114</v>
      </c>
      <c r="AM15" s="7">
        <f t="shared" si="24"/>
        <v>64.007703993055543</v>
      </c>
    </row>
    <row r="16" spans="1:39">
      <c r="A16" s="33" t="s">
        <v>149</v>
      </c>
      <c r="B16" s="57">
        <f>Constants!C17/(Fsw*1000)</f>
        <v>40</v>
      </c>
      <c r="C16" s="33" t="s">
        <v>39</v>
      </c>
      <c r="D16" s="36" t="s">
        <v>98</v>
      </c>
      <c r="E16" s="36" t="s">
        <v>150</v>
      </c>
      <c r="N16">
        <v>0.01</v>
      </c>
      <c r="O16">
        <f t="shared" si="0"/>
        <v>50</v>
      </c>
      <c r="P16" s="6">
        <f t="shared" si="1"/>
        <v>0.34857142857142853</v>
      </c>
      <c r="Q16" s="1">
        <f t="shared" si="2"/>
        <v>0.65142857142857147</v>
      </c>
      <c r="R16" s="1">
        <f t="shared" si="3"/>
        <v>33.114285714285714</v>
      </c>
      <c r="S16" s="7">
        <f t="shared" si="4"/>
        <v>66.55714285714285</v>
      </c>
      <c r="T16" s="6">
        <f t="shared" si="5"/>
        <v>0.25416666666666665</v>
      </c>
      <c r="U16" s="1">
        <f t="shared" si="6"/>
        <v>0.74583333333333335</v>
      </c>
      <c r="V16" s="1">
        <f t="shared" si="7"/>
        <v>37.913194444444436</v>
      </c>
      <c r="W16" s="7">
        <f t="shared" si="8"/>
        <v>68.956597222222214</v>
      </c>
      <c r="X16" s="6">
        <f t="shared" si="9"/>
        <v>0.21785714285714283</v>
      </c>
      <c r="Y16" s="1">
        <f t="shared" si="10"/>
        <v>0.78214285714285714</v>
      </c>
      <c r="Z16" s="1">
        <f t="shared" si="11"/>
        <v>39.758928571428562</v>
      </c>
      <c r="AA16" s="7">
        <f t="shared" si="12"/>
        <v>69.879464285714278</v>
      </c>
      <c r="AB16" s="6">
        <f t="shared" si="13"/>
        <v>0.25312499999999999</v>
      </c>
      <c r="AC16" s="1">
        <f t="shared" si="14"/>
        <v>0.74687499999999996</v>
      </c>
      <c r="AD16" s="1">
        <f t="shared" si="15"/>
        <v>37.810546875</v>
      </c>
      <c r="AE16" s="7">
        <f t="shared" si="16"/>
        <v>68.9052734375</v>
      </c>
      <c r="AF16" s="6">
        <f t="shared" si="17"/>
        <v>0.25416666666666665</v>
      </c>
      <c r="AG16" s="1">
        <f t="shared" si="18"/>
        <v>0.74583333333333335</v>
      </c>
      <c r="AH16" s="1">
        <f t="shared" si="25"/>
        <v>37.913194444444436</v>
      </c>
      <c r="AI16" s="7">
        <f t="shared" si="26"/>
        <v>68.956597222222214</v>
      </c>
      <c r="AJ16" s="6">
        <f t="shared" si="21"/>
        <v>0.25520833333333331</v>
      </c>
      <c r="AK16" s="1">
        <f t="shared" si="22"/>
        <v>0.74479166666666674</v>
      </c>
      <c r="AL16" s="1">
        <f t="shared" si="23"/>
        <v>38.015407986111114</v>
      </c>
      <c r="AM16" s="7">
        <f t="shared" si="24"/>
        <v>69.007703993055557</v>
      </c>
    </row>
    <row r="17" spans="1:39">
      <c r="A17" s="33" t="s">
        <v>88</v>
      </c>
      <c r="B17" s="58">
        <f>(1-(V12_Max/V48_Min))/Fsw</f>
        <v>6.5000000000000004E-6</v>
      </c>
      <c r="C17" s="33" t="s">
        <v>23</v>
      </c>
      <c r="D17" s="36">
        <f>IF(B17&lt;Constants!C3,1,0)</f>
        <v>0</v>
      </c>
      <c r="N17">
        <v>1.0999999999999999E-2</v>
      </c>
      <c r="O17">
        <f t="shared" si="0"/>
        <v>54.999999999999993</v>
      </c>
      <c r="P17" s="6">
        <f t="shared" si="1"/>
        <v>0.34857142857142853</v>
      </c>
      <c r="Q17" s="1">
        <f t="shared" si="2"/>
        <v>0.65142857142857147</v>
      </c>
      <c r="R17" s="1">
        <f t="shared" si="3"/>
        <v>33.114285714285714</v>
      </c>
      <c r="S17" s="7">
        <f t="shared" si="4"/>
        <v>71.55714285714285</v>
      </c>
      <c r="T17" s="6">
        <f t="shared" si="5"/>
        <v>0.25416666666666665</v>
      </c>
      <c r="U17" s="1">
        <f t="shared" si="6"/>
        <v>0.74583333333333335</v>
      </c>
      <c r="V17" s="1">
        <f t="shared" si="7"/>
        <v>37.913194444444436</v>
      </c>
      <c r="W17" s="7">
        <f t="shared" si="8"/>
        <v>73.956597222222214</v>
      </c>
      <c r="X17" s="6">
        <f t="shared" si="9"/>
        <v>0.21785714285714283</v>
      </c>
      <c r="Y17" s="1">
        <f t="shared" si="10"/>
        <v>0.78214285714285714</v>
      </c>
      <c r="Z17" s="1">
        <f t="shared" si="11"/>
        <v>39.758928571428562</v>
      </c>
      <c r="AA17" s="7">
        <f t="shared" si="12"/>
        <v>74.879464285714278</v>
      </c>
      <c r="AB17" s="6">
        <f t="shared" si="13"/>
        <v>0.25312499999999999</v>
      </c>
      <c r="AC17" s="1">
        <f t="shared" si="14"/>
        <v>0.74687499999999996</v>
      </c>
      <c r="AD17" s="1">
        <f t="shared" si="15"/>
        <v>37.810546875</v>
      </c>
      <c r="AE17" s="7">
        <f t="shared" si="16"/>
        <v>73.9052734375</v>
      </c>
      <c r="AF17" s="6">
        <f t="shared" si="17"/>
        <v>0.25416666666666665</v>
      </c>
      <c r="AG17" s="1">
        <f t="shared" si="18"/>
        <v>0.74583333333333335</v>
      </c>
      <c r="AH17" s="1">
        <f t="shared" si="25"/>
        <v>37.913194444444436</v>
      </c>
      <c r="AI17" s="7">
        <f t="shared" si="26"/>
        <v>73.956597222222214</v>
      </c>
      <c r="AJ17" s="6">
        <f t="shared" si="21"/>
        <v>0.25520833333333331</v>
      </c>
      <c r="AK17" s="1">
        <f t="shared" si="22"/>
        <v>0.74479166666666674</v>
      </c>
      <c r="AL17" s="1">
        <f t="shared" si="23"/>
        <v>38.015407986111114</v>
      </c>
      <c r="AM17" s="7">
        <f t="shared" si="24"/>
        <v>74.007703993055543</v>
      </c>
    </row>
    <row r="18" spans="1:39">
      <c r="A18" s="33" t="s">
        <v>89</v>
      </c>
      <c r="B18" s="58">
        <f>(V12_Min/V48_Max)/Fsw</f>
        <v>2.1696428571428571E-6</v>
      </c>
      <c r="C18" s="33" t="s">
        <v>23</v>
      </c>
      <c r="D18" s="36">
        <f>IF(B18&lt;Constants!C3,1,0)</f>
        <v>0</v>
      </c>
      <c r="N18">
        <v>1.2E-2</v>
      </c>
      <c r="O18">
        <f t="shared" si="0"/>
        <v>60</v>
      </c>
      <c r="P18" s="6">
        <f t="shared" si="1"/>
        <v>0.34857142857142853</v>
      </c>
      <c r="Q18" s="1">
        <f t="shared" si="2"/>
        <v>0.65142857142857147</v>
      </c>
      <c r="R18" s="1">
        <f t="shared" si="3"/>
        <v>33.114285714285714</v>
      </c>
      <c r="S18" s="7">
        <f t="shared" si="4"/>
        <v>76.55714285714285</v>
      </c>
      <c r="T18" s="6">
        <f t="shared" si="5"/>
        <v>0.25416666666666665</v>
      </c>
      <c r="U18" s="1">
        <f t="shared" si="6"/>
        <v>0.74583333333333335</v>
      </c>
      <c r="V18" s="1">
        <f t="shared" si="7"/>
        <v>37.913194444444436</v>
      </c>
      <c r="W18" s="7">
        <f t="shared" si="8"/>
        <v>78.956597222222214</v>
      </c>
      <c r="X18" s="6">
        <f t="shared" si="9"/>
        <v>0.21785714285714283</v>
      </c>
      <c r="Y18" s="1">
        <f t="shared" si="10"/>
        <v>0.78214285714285714</v>
      </c>
      <c r="Z18" s="1">
        <f t="shared" si="11"/>
        <v>39.758928571428562</v>
      </c>
      <c r="AA18" s="7">
        <f t="shared" si="12"/>
        <v>79.879464285714278</v>
      </c>
      <c r="AB18" s="6">
        <f t="shared" si="13"/>
        <v>0.25312499999999999</v>
      </c>
      <c r="AC18" s="1">
        <f t="shared" si="14"/>
        <v>0.74687499999999996</v>
      </c>
      <c r="AD18" s="1">
        <f t="shared" si="15"/>
        <v>37.810546875</v>
      </c>
      <c r="AE18" s="7">
        <f t="shared" si="16"/>
        <v>78.9052734375</v>
      </c>
      <c r="AF18" s="6">
        <f t="shared" si="17"/>
        <v>0.25416666666666665</v>
      </c>
      <c r="AG18" s="1">
        <f t="shared" si="18"/>
        <v>0.74583333333333335</v>
      </c>
      <c r="AH18" s="1">
        <f t="shared" si="25"/>
        <v>37.913194444444436</v>
      </c>
      <c r="AI18" s="7">
        <f t="shared" si="26"/>
        <v>78.956597222222214</v>
      </c>
      <c r="AJ18" s="6">
        <f t="shared" si="21"/>
        <v>0.25520833333333331</v>
      </c>
      <c r="AK18" s="1">
        <f t="shared" si="22"/>
        <v>0.74479166666666674</v>
      </c>
      <c r="AL18" s="1">
        <f t="shared" si="23"/>
        <v>38.015407986111114</v>
      </c>
      <c r="AM18" s="7">
        <f t="shared" si="24"/>
        <v>79.007703993055557</v>
      </c>
    </row>
    <row r="19" spans="1:39">
      <c r="N19">
        <v>1.2999999999999999E-2</v>
      </c>
      <c r="O19">
        <f t="shared" si="0"/>
        <v>65</v>
      </c>
      <c r="P19" s="6">
        <f t="shared" si="1"/>
        <v>0.34857142857142853</v>
      </c>
      <c r="Q19" s="1">
        <f t="shared" si="2"/>
        <v>0.65142857142857147</v>
      </c>
      <c r="R19" s="1">
        <f t="shared" si="3"/>
        <v>33.114285714285714</v>
      </c>
      <c r="S19" s="7">
        <f t="shared" si="4"/>
        <v>81.55714285714285</v>
      </c>
      <c r="T19" s="6">
        <f t="shared" si="5"/>
        <v>0.25416666666666665</v>
      </c>
      <c r="U19" s="1">
        <f t="shared" si="6"/>
        <v>0.74583333333333335</v>
      </c>
      <c r="V19" s="1">
        <f t="shared" si="7"/>
        <v>37.913194444444436</v>
      </c>
      <c r="W19" s="7">
        <f t="shared" si="8"/>
        <v>83.956597222222214</v>
      </c>
      <c r="X19" s="6">
        <f t="shared" si="9"/>
        <v>0.21785714285714283</v>
      </c>
      <c r="Y19" s="1">
        <f t="shared" si="10"/>
        <v>0.78214285714285714</v>
      </c>
      <c r="Z19" s="1">
        <f t="shared" si="11"/>
        <v>39.758928571428562</v>
      </c>
      <c r="AA19" s="7">
        <f t="shared" si="12"/>
        <v>84.879464285714278</v>
      </c>
      <c r="AB19" s="6">
        <f t="shared" si="13"/>
        <v>0.25312499999999999</v>
      </c>
      <c r="AC19" s="1">
        <f t="shared" si="14"/>
        <v>0.74687499999999996</v>
      </c>
      <c r="AD19" s="1">
        <f t="shared" si="15"/>
        <v>37.810546875</v>
      </c>
      <c r="AE19" s="7">
        <f t="shared" si="16"/>
        <v>83.9052734375</v>
      </c>
      <c r="AF19" s="6">
        <f t="shared" si="17"/>
        <v>0.25416666666666665</v>
      </c>
      <c r="AG19" s="1">
        <f t="shared" si="18"/>
        <v>0.74583333333333335</v>
      </c>
      <c r="AH19" s="1">
        <f t="shared" si="25"/>
        <v>37.913194444444436</v>
      </c>
      <c r="AI19" s="7">
        <f t="shared" si="26"/>
        <v>83.956597222222214</v>
      </c>
      <c r="AJ19" s="6">
        <f t="shared" si="21"/>
        <v>0.25520833333333331</v>
      </c>
      <c r="AK19" s="1">
        <f t="shared" si="22"/>
        <v>0.74479166666666674</v>
      </c>
      <c r="AL19" s="1">
        <f t="shared" si="23"/>
        <v>38.015407986111114</v>
      </c>
      <c r="AM19" s="7">
        <f t="shared" si="24"/>
        <v>84.007703993055557</v>
      </c>
    </row>
    <row r="20" spans="1:39">
      <c r="N20">
        <v>1.4E-2</v>
      </c>
      <c r="O20">
        <f t="shared" si="0"/>
        <v>70</v>
      </c>
      <c r="P20" s="6">
        <f t="shared" si="1"/>
        <v>0.34857142857142853</v>
      </c>
      <c r="Q20" s="1">
        <f t="shared" si="2"/>
        <v>0.65142857142857147</v>
      </c>
      <c r="R20" s="1">
        <f t="shared" si="3"/>
        <v>33.114285714285714</v>
      </c>
      <c r="S20" s="7">
        <f t="shared" si="4"/>
        <v>86.55714285714285</v>
      </c>
      <c r="T20" s="6">
        <f t="shared" si="5"/>
        <v>0.25416666666666665</v>
      </c>
      <c r="U20" s="1">
        <f t="shared" si="6"/>
        <v>0.74583333333333335</v>
      </c>
      <c r="V20" s="1">
        <f t="shared" si="7"/>
        <v>37.913194444444436</v>
      </c>
      <c r="W20" s="7">
        <f t="shared" si="8"/>
        <v>88.956597222222214</v>
      </c>
      <c r="X20" s="6">
        <f t="shared" si="9"/>
        <v>0.21785714285714283</v>
      </c>
      <c r="Y20" s="1">
        <f t="shared" si="10"/>
        <v>0.78214285714285714</v>
      </c>
      <c r="Z20" s="1">
        <f t="shared" si="11"/>
        <v>39.758928571428562</v>
      </c>
      <c r="AA20" s="7">
        <f t="shared" si="12"/>
        <v>89.879464285714278</v>
      </c>
      <c r="AB20" s="6">
        <f t="shared" si="13"/>
        <v>0.25312499999999999</v>
      </c>
      <c r="AC20" s="1">
        <f t="shared" si="14"/>
        <v>0.74687499999999996</v>
      </c>
      <c r="AD20" s="1">
        <f t="shared" si="15"/>
        <v>37.810546875</v>
      </c>
      <c r="AE20" s="7">
        <f t="shared" si="16"/>
        <v>88.9052734375</v>
      </c>
      <c r="AF20" s="6">
        <f t="shared" si="17"/>
        <v>0.25416666666666665</v>
      </c>
      <c r="AG20" s="1">
        <f t="shared" si="18"/>
        <v>0.74583333333333335</v>
      </c>
      <c r="AH20" s="1">
        <f t="shared" si="25"/>
        <v>37.913194444444436</v>
      </c>
      <c r="AI20" s="7">
        <f t="shared" si="26"/>
        <v>88.956597222222214</v>
      </c>
      <c r="AJ20" s="6">
        <f t="shared" si="21"/>
        <v>0.25520833333333331</v>
      </c>
      <c r="AK20" s="1">
        <f t="shared" si="22"/>
        <v>0.74479166666666674</v>
      </c>
      <c r="AL20" s="1">
        <f t="shared" si="23"/>
        <v>38.015407986111114</v>
      </c>
      <c r="AM20" s="7">
        <f t="shared" si="24"/>
        <v>89.007703993055557</v>
      </c>
    </row>
    <row r="21" spans="1:39">
      <c r="A21" s="206" t="s">
        <v>131</v>
      </c>
      <c r="B21" s="207"/>
      <c r="C21" s="208"/>
      <c r="N21">
        <v>1.4999999999999999E-2</v>
      </c>
      <c r="O21">
        <f t="shared" si="0"/>
        <v>75</v>
      </c>
      <c r="P21" s="6">
        <f t="shared" si="1"/>
        <v>0.34857142857142853</v>
      </c>
      <c r="Q21" s="1">
        <f t="shared" si="2"/>
        <v>0.65142857142857147</v>
      </c>
      <c r="R21" s="1">
        <f t="shared" si="3"/>
        <v>33.114285714285714</v>
      </c>
      <c r="S21" s="7">
        <f t="shared" si="4"/>
        <v>91.55714285714285</v>
      </c>
      <c r="T21" s="6">
        <f t="shared" si="5"/>
        <v>0.25416666666666665</v>
      </c>
      <c r="U21" s="1">
        <f t="shared" si="6"/>
        <v>0.74583333333333335</v>
      </c>
      <c r="V21" s="1">
        <f t="shared" si="7"/>
        <v>37.913194444444436</v>
      </c>
      <c r="W21" s="7">
        <f t="shared" si="8"/>
        <v>93.956597222222214</v>
      </c>
      <c r="X21" s="6">
        <f t="shared" si="9"/>
        <v>0.21785714285714283</v>
      </c>
      <c r="Y21" s="1">
        <f t="shared" si="10"/>
        <v>0.78214285714285714</v>
      </c>
      <c r="Z21" s="1">
        <f t="shared" si="11"/>
        <v>39.758928571428562</v>
      </c>
      <c r="AA21" s="7">
        <f t="shared" si="12"/>
        <v>94.879464285714278</v>
      </c>
      <c r="AB21" s="6">
        <f t="shared" si="13"/>
        <v>0.25312499999999999</v>
      </c>
      <c r="AC21" s="1">
        <f t="shared" si="14"/>
        <v>0.74687499999999996</v>
      </c>
      <c r="AD21" s="1">
        <f t="shared" si="15"/>
        <v>37.810546875</v>
      </c>
      <c r="AE21" s="7">
        <f t="shared" si="16"/>
        <v>93.9052734375</v>
      </c>
      <c r="AF21" s="6">
        <f t="shared" si="17"/>
        <v>0.25416666666666665</v>
      </c>
      <c r="AG21" s="1">
        <f t="shared" si="18"/>
        <v>0.74583333333333335</v>
      </c>
      <c r="AH21" s="1">
        <f t="shared" si="25"/>
        <v>37.913194444444436</v>
      </c>
      <c r="AI21" s="7">
        <f t="shared" si="26"/>
        <v>93.956597222222214</v>
      </c>
      <c r="AJ21" s="6">
        <f t="shared" si="21"/>
        <v>0.25520833333333331</v>
      </c>
      <c r="AK21" s="1">
        <f t="shared" si="22"/>
        <v>0.74479166666666674</v>
      </c>
      <c r="AL21" s="1">
        <f t="shared" si="23"/>
        <v>38.015407986111114</v>
      </c>
      <c r="AM21" s="7">
        <f t="shared" si="24"/>
        <v>94.007703993055557</v>
      </c>
    </row>
    <row r="22" spans="1:39">
      <c r="A22" s="33" t="s">
        <v>44</v>
      </c>
      <c r="B22" s="56">
        <f>Design_Converter!B26</f>
        <v>350</v>
      </c>
      <c r="C22" s="74" t="s">
        <v>4</v>
      </c>
      <c r="N22">
        <v>1.6E-2</v>
      </c>
      <c r="O22">
        <f t="shared" si="0"/>
        <v>80</v>
      </c>
      <c r="P22" s="6">
        <f t="shared" si="1"/>
        <v>0.34857142857142853</v>
      </c>
      <c r="Q22" s="1">
        <f t="shared" si="2"/>
        <v>0.65142857142857147</v>
      </c>
      <c r="R22" s="1">
        <f t="shared" si="3"/>
        <v>33.114285714285714</v>
      </c>
      <c r="S22" s="7">
        <f t="shared" si="4"/>
        <v>96.55714285714285</v>
      </c>
      <c r="T22" s="6">
        <f t="shared" si="5"/>
        <v>0.25416666666666665</v>
      </c>
      <c r="U22" s="1">
        <f t="shared" si="6"/>
        <v>0.74583333333333335</v>
      </c>
      <c r="V22" s="1">
        <f t="shared" si="7"/>
        <v>37.913194444444436</v>
      </c>
      <c r="W22" s="7">
        <f t="shared" si="8"/>
        <v>98.956597222222214</v>
      </c>
      <c r="X22" s="6">
        <f t="shared" si="9"/>
        <v>0.21785714285714283</v>
      </c>
      <c r="Y22" s="1">
        <f t="shared" si="10"/>
        <v>0.78214285714285714</v>
      </c>
      <c r="Z22" s="1">
        <f t="shared" si="11"/>
        <v>39.758928571428562</v>
      </c>
      <c r="AA22" s="7">
        <f t="shared" si="12"/>
        <v>99.879464285714278</v>
      </c>
      <c r="AB22" s="6">
        <f t="shared" si="13"/>
        <v>0.25312499999999999</v>
      </c>
      <c r="AC22" s="1">
        <f t="shared" si="14"/>
        <v>0.74687499999999996</v>
      </c>
      <c r="AD22" s="1">
        <f t="shared" si="15"/>
        <v>37.810546875</v>
      </c>
      <c r="AE22" s="7">
        <f t="shared" si="16"/>
        <v>98.9052734375</v>
      </c>
      <c r="AF22" s="6">
        <f t="shared" si="17"/>
        <v>0.25416666666666665</v>
      </c>
      <c r="AG22" s="1">
        <f t="shared" si="18"/>
        <v>0.74583333333333335</v>
      </c>
      <c r="AH22" s="1">
        <f t="shared" si="25"/>
        <v>37.913194444444436</v>
      </c>
      <c r="AI22" s="7">
        <f t="shared" si="26"/>
        <v>98.956597222222214</v>
      </c>
      <c r="AJ22" s="6">
        <f t="shared" si="21"/>
        <v>0.25520833333333331</v>
      </c>
      <c r="AK22" s="1">
        <f t="shared" si="22"/>
        <v>0.74479166666666674</v>
      </c>
      <c r="AL22" s="1">
        <f t="shared" si="23"/>
        <v>38.015407986111114</v>
      </c>
      <c r="AM22" s="7">
        <f t="shared" si="24"/>
        <v>99.007703993055557</v>
      </c>
    </row>
    <row r="23" spans="1:39">
      <c r="A23" s="33" t="s">
        <v>132</v>
      </c>
      <c r="B23" s="57">
        <f>(V12_Max/V48_Min)*B22</f>
        <v>122.49999999999999</v>
      </c>
      <c r="C23" s="33" t="s">
        <v>4</v>
      </c>
      <c r="E23" s="36" t="s">
        <v>133</v>
      </c>
      <c r="N23">
        <v>1.7000000000000001E-2</v>
      </c>
      <c r="O23">
        <f t="shared" si="0"/>
        <v>85</v>
      </c>
      <c r="P23" s="6">
        <f t="shared" si="1"/>
        <v>0.34857142857142853</v>
      </c>
      <c r="Q23" s="1">
        <f t="shared" si="2"/>
        <v>0.65142857142857147</v>
      </c>
      <c r="R23" s="1">
        <f t="shared" si="3"/>
        <v>33.114285714285714</v>
      </c>
      <c r="S23" s="7">
        <f t="shared" si="4"/>
        <v>101.55714285714285</v>
      </c>
      <c r="T23" s="6">
        <f t="shared" si="5"/>
        <v>0.25416666666666665</v>
      </c>
      <c r="U23" s="1">
        <f t="shared" si="6"/>
        <v>0.74583333333333335</v>
      </c>
      <c r="V23" s="1">
        <f t="shared" si="7"/>
        <v>37.913194444444436</v>
      </c>
      <c r="W23" s="7">
        <f t="shared" si="8"/>
        <v>103.95659722222221</v>
      </c>
      <c r="X23" s="6">
        <f t="shared" si="9"/>
        <v>0.21785714285714283</v>
      </c>
      <c r="Y23" s="1">
        <f t="shared" si="10"/>
        <v>0.78214285714285714</v>
      </c>
      <c r="Z23" s="1">
        <f t="shared" si="11"/>
        <v>39.758928571428562</v>
      </c>
      <c r="AA23" s="7">
        <f t="shared" si="12"/>
        <v>104.87946428571428</v>
      </c>
      <c r="AB23" s="6">
        <f t="shared" si="13"/>
        <v>0.25312499999999999</v>
      </c>
      <c r="AC23" s="1">
        <f t="shared" si="14"/>
        <v>0.74687499999999996</v>
      </c>
      <c r="AD23" s="1">
        <f t="shared" si="15"/>
        <v>37.810546875</v>
      </c>
      <c r="AE23" s="7">
        <f t="shared" si="16"/>
        <v>103.9052734375</v>
      </c>
      <c r="AF23" s="6">
        <f t="shared" si="17"/>
        <v>0.25416666666666665</v>
      </c>
      <c r="AG23" s="1">
        <f t="shared" si="18"/>
        <v>0.74583333333333335</v>
      </c>
      <c r="AH23" s="1">
        <f t="shared" si="25"/>
        <v>37.913194444444436</v>
      </c>
      <c r="AI23" s="7">
        <f t="shared" si="26"/>
        <v>103.95659722222221</v>
      </c>
      <c r="AJ23" s="6">
        <f t="shared" si="21"/>
        <v>0.25520833333333331</v>
      </c>
      <c r="AK23" s="1">
        <f t="shared" si="22"/>
        <v>0.74479166666666674</v>
      </c>
      <c r="AL23" s="1">
        <f t="shared" si="23"/>
        <v>38.015407986111114</v>
      </c>
      <c r="AM23" s="7">
        <f t="shared" si="24"/>
        <v>104.00770399305556</v>
      </c>
    </row>
    <row r="24" spans="1:39">
      <c r="A24" s="33" t="s">
        <v>134</v>
      </c>
      <c r="B24" s="56">
        <f>Design_Converter!B25</f>
        <v>4</v>
      </c>
      <c r="C24" s="33"/>
      <c r="E24" s="36" t="s">
        <v>135</v>
      </c>
      <c r="N24">
        <v>1.7999999999999999E-2</v>
      </c>
      <c r="O24">
        <f t="shared" si="0"/>
        <v>89.999999999999986</v>
      </c>
      <c r="P24" s="6">
        <f t="shared" si="1"/>
        <v>0.34857142857142853</v>
      </c>
      <c r="Q24" s="1">
        <f t="shared" si="2"/>
        <v>0.65142857142857147</v>
      </c>
      <c r="R24" s="1">
        <f t="shared" si="3"/>
        <v>33.114285714285714</v>
      </c>
      <c r="S24" s="7">
        <f t="shared" si="4"/>
        <v>106.55714285714285</v>
      </c>
      <c r="T24" s="6">
        <f t="shared" si="5"/>
        <v>0.25416666666666665</v>
      </c>
      <c r="U24" s="1">
        <f t="shared" si="6"/>
        <v>0.74583333333333335</v>
      </c>
      <c r="V24" s="1">
        <f t="shared" si="7"/>
        <v>37.913194444444436</v>
      </c>
      <c r="W24" s="7">
        <f t="shared" si="8"/>
        <v>108.9565972222222</v>
      </c>
      <c r="X24" s="6">
        <f t="shared" si="9"/>
        <v>0.21785714285714283</v>
      </c>
      <c r="Y24" s="1">
        <f t="shared" si="10"/>
        <v>0.78214285714285714</v>
      </c>
      <c r="Z24" s="1">
        <f t="shared" si="11"/>
        <v>39.758928571428562</v>
      </c>
      <c r="AA24" s="7">
        <f t="shared" si="12"/>
        <v>109.87946428571426</v>
      </c>
      <c r="AB24" s="6">
        <f t="shared" si="13"/>
        <v>0.25312499999999999</v>
      </c>
      <c r="AC24" s="1">
        <f t="shared" si="14"/>
        <v>0.74687499999999996</v>
      </c>
      <c r="AD24" s="1">
        <f t="shared" si="15"/>
        <v>37.810546875</v>
      </c>
      <c r="AE24" s="7">
        <f t="shared" si="16"/>
        <v>108.90527343749999</v>
      </c>
      <c r="AF24" s="6">
        <f t="shared" si="17"/>
        <v>0.25416666666666665</v>
      </c>
      <c r="AG24" s="1">
        <f t="shared" si="18"/>
        <v>0.74583333333333335</v>
      </c>
      <c r="AH24" s="1">
        <f t="shared" si="25"/>
        <v>37.913194444444436</v>
      </c>
      <c r="AI24" s="7">
        <f t="shared" si="26"/>
        <v>108.9565972222222</v>
      </c>
      <c r="AJ24" s="6">
        <f t="shared" si="21"/>
        <v>0.25520833333333331</v>
      </c>
      <c r="AK24" s="1">
        <f t="shared" si="22"/>
        <v>0.74479166666666674</v>
      </c>
      <c r="AL24" s="1">
        <f t="shared" si="23"/>
        <v>38.015407986111114</v>
      </c>
      <c r="AM24" s="7">
        <f t="shared" si="24"/>
        <v>109.00770399305554</v>
      </c>
    </row>
    <row r="25" spans="1:39">
      <c r="A25" s="33" t="s">
        <v>143</v>
      </c>
      <c r="B25" s="57">
        <f>B22/B24</f>
        <v>87.5</v>
      </c>
      <c r="C25" s="33" t="s">
        <v>4</v>
      </c>
      <c r="E25" s="36" t="s">
        <v>196</v>
      </c>
      <c r="N25">
        <v>1.9E-2</v>
      </c>
      <c r="O25">
        <f t="shared" si="0"/>
        <v>95</v>
      </c>
      <c r="P25" s="6">
        <f t="shared" si="1"/>
        <v>0.34857142857142853</v>
      </c>
      <c r="Q25" s="1">
        <f t="shared" si="2"/>
        <v>0.65142857142857147</v>
      </c>
      <c r="R25" s="1">
        <f t="shared" si="3"/>
        <v>33.114285714285714</v>
      </c>
      <c r="S25" s="7">
        <f t="shared" si="4"/>
        <v>111.55714285714285</v>
      </c>
      <c r="T25" s="6">
        <f t="shared" si="5"/>
        <v>0.25416666666666665</v>
      </c>
      <c r="U25" s="1">
        <f t="shared" si="6"/>
        <v>0.74583333333333335</v>
      </c>
      <c r="V25" s="1">
        <f t="shared" si="7"/>
        <v>37.913194444444436</v>
      </c>
      <c r="W25" s="7">
        <f t="shared" si="8"/>
        <v>113.95659722222221</v>
      </c>
      <c r="X25" s="6">
        <f t="shared" si="9"/>
        <v>0.21785714285714283</v>
      </c>
      <c r="Y25" s="1">
        <f t="shared" si="10"/>
        <v>0.78214285714285714</v>
      </c>
      <c r="Z25" s="1">
        <f t="shared" si="11"/>
        <v>39.758928571428562</v>
      </c>
      <c r="AA25" s="7">
        <f t="shared" si="12"/>
        <v>114.87946428571428</v>
      </c>
      <c r="AB25" s="6">
        <f t="shared" si="13"/>
        <v>0.25312499999999999</v>
      </c>
      <c r="AC25" s="1">
        <f t="shared" si="14"/>
        <v>0.74687499999999996</v>
      </c>
      <c r="AD25" s="1">
        <f t="shared" si="15"/>
        <v>37.810546875</v>
      </c>
      <c r="AE25" s="7">
        <f t="shared" si="16"/>
        <v>113.9052734375</v>
      </c>
      <c r="AF25" s="6">
        <f t="shared" si="17"/>
        <v>0.25416666666666665</v>
      </c>
      <c r="AG25" s="1">
        <f t="shared" si="18"/>
        <v>0.74583333333333335</v>
      </c>
      <c r="AH25" s="1">
        <f t="shared" si="25"/>
        <v>37.913194444444436</v>
      </c>
      <c r="AI25" s="7">
        <f t="shared" si="26"/>
        <v>113.95659722222221</v>
      </c>
      <c r="AJ25" s="6">
        <f t="shared" si="21"/>
        <v>0.25520833333333331</v>
      </c>
      <c r="AK25" s="1">
        <f t="shared" si="22"/>
        <v>0.74479166666666674</v>
      </c>
      <c r="AL25" s="1">
        <f t="shared" si="23"/>
        <v>38.015407986111114</v>
      </c>
      <c r="AM25" s="7">
        <f t="shared" si="24"/>
        <v>114.00770399305556</v>
      </c>
    </row>
    <row r="26" spans="1:39">
      <c r="A26" s="33" t="s">
        <v>197</v>
      </c>
      <c r="B26" s="57">
        <f>B25*V12_Nom</f>
        <v>1067.5</v>
      </c>
      <c r="C26" s="33" t="s">
        <v>136</v>
      </c>
      <c r="E26" s="36" t="s">
        <v>198</v>
      </c>
      <c r="N26">
        <v>0.02</v>
      </c>
      <c r="O26">
        <f t="shared" si="0"/>
        <v>100</v>
      </c>
      <c r="P26" s="6">
        <f t="shared" si="1"/>
        <v>0.34857142857142853</v>
      </c>
      <c r="Q26" s="1">
        <f t="shared" si="2"/>
        <v>0.65142857142857147</v>
      </c>
      <c r="R26" s="1">
        <f t="shared" si="3"/>
        <v>33.114285714285714</v>
      </c>
      <c r="S26" s="7">
        <f t="shared" si="4"/>
        <v>116.55714285714285</v>
      </c>
      <c r="T26" s="6">
        <f t="shared" si="5"/>
        <v>0.25416666666666665</v>
      </c>
      <c r="U26" s="1">
        <f t="shared" si="6"/>
        <v>0.74583333333333335</v>
      </c>
      <c r="V26" s="1">
        <f t="shared" si="7"/>
        <v>37.913194444444436</v>
      </c>
      <c r="W26" s="7">
        <f t="shared" si="8"/>
        <v>118.95659722222221</v>
      </c>
      <c r="X26" s="6">
        <f t="shared" si="9"/>
        <v>0.21785714285714283</v>
      </c>
      <c r="Y26" s="1">
        <f t="shared" si="10"/>
        <v>0.78214285714285714</v>
      </c>
      <c r="Z26" s="1">
        <f t="shared" si="11"/>
        <v>39.758928571428562</v>
      </c>
      <c r="AA26" s="7">
        <f t="shared" si="12"/>
        <v>119.87946428571428</v>
      </c>
      <c r="AB26" s="6">
        <f t="shared" si="13"/>
        <v>0.25312499999999999</v>
      </c>
      <c r="AC26" s="1">
        <f t="shared" si="14"/>
        <v>0.74687499999999996</v>
      </c>
      <c r="AD26" s="1">
        <f t="shared" si="15"/>
        <v>37.810546875</v>
      </c>
      <c r="AE26" s="7">
        <f t="shared" si="16"/>
        <v>118.9052734375</v>
      </c>
      <c r="AF26" s="6">
        <f t="shared" si="17"/>
        <v>0.25416666666666665</v>
      </c>
      <c r="AG26" s="1">
        <f t="shared" si="18"/>
        <v>0.74583333333333335</v>
      </c>
      <c r="AH26" s="1">
        <f t="shared" si="25"/>
        <v>37.913194444444436</v>
      </c>
      <c r="AI26" s="7">
        <f t="shared" si="26"/>
        <v>118.95659722222221</v>
      </c>
      <c r="AJ26" s="6">
        <f t="shared" si="21"/>
        <v>0.25520833333333331</v>
      </c>
      <c r="AK26" s="1">
        <f t="shared" si="22"/>
        <v>0.74479166666666674</v>
      </c>
      <c r="AL26" s="1">
        <f t="shared" si="23"/>
        <v>38.015407986111114</v>
      </c>
      <c r="AM26" s="7">
        <f t="shared" si="24"/>
        <v>119.00770399305556</v>
      </c>
    </row>
    <row r="27" spans="1:39">
      <c r="A27" s="33" t="s">
        <v>139</v>
      </c>
      <c r="B27" s="57">
        <f>(VCS_Max/B25)*1000</f>
        <v>0.57142857142857151</v>
      </c>
      <c r="C27" s="33" t="s">
        <v>137</v>
      </c>
      <c r="E27" s="36" t="s">
        <v>140</v>
      </c>
      <c r="N27">
        <v>2.1000000000000001E-2</v>
      </c>
      <c r="O27">
        <f t="shared" si="0"/>
        <v>105</v>
      </c>
      <c r="P27" s="6">
        <f t="shared" si="1"/>
        <v>0.34857142857142853</v>
      </c>
      <c r="Q27" s="1">
        <f t="shared" si="2"/>
        <v>0.65142857142857147</v>
      </c>
      <c r="R27" s="1">
        <f t="shared" si="3"/>
        <v>33.114285714285714</v>
      </c>
      <c r="S27" s="7">
        <f t="shared" si="4"/>
        <v>121.55714285714285</v>
      </c>
      <c r="T27" s="6">
        <f t="shared" si="5"/>
        <v>0.25416666666666665</v>
      </c>
      <c r="U27" s="1">
        <f t="shared" si="6"/>
        <v>0.74583333333333335</v>
      </c>
      <c r="V27" s="1">
        <f t="shared" si="7"/>
        <v>37.913194444444436</v>
      </c>
      <c r="W27" s="7">
        <f t="shared" si="8"/>
        <v>123.95659722222221</v>
      </c>
      <c r="X27" s="6">
        <f t="shared" si="9"/>
        <v>0.21785714285714283</v>
      </c>
      <c r="Y27" s="1">
        <f t="shared" si="10"/>
        <v>0.78214285714285714</v>
      </c>
      <c r="Z27" s="1">
        <f t="shared" si="11"/>
        <v>39.758928571428562</v>
      </c>
      <c r="AA27" s="7">
        <f t="shared" si="12"/>
        <v>124.87946428571428</v>
      </c>
      <c r="AB27" s="6">
        <f t="shared" si="13"/>
        <v>0.25312499999999999</v>
      </c>
      <c r="AC27" s="1">
        <f t="shared" si="14"/>
        <v>0.74687499999999996</v>
      </c>
      <c r="AD27" s="1">
        <f t="shared" si="15"/>
        <v>37.810546875</v>
      </c>
      <c r="AE27" s="7">
        <f t="shared" si="16"/>
        <v>123.9052734375</v>
      </c>
      <c r="AF27" s="6">
        <f t="shared" si="17"/>
        <v>0.25416666666666665</v>
      </c>
      <c r="AG27" s="1">
        <f t="shared" si="18"/>
        <v>0.74583333333333335</v>
      </c>
      <c r="AH27" s="1">
        <f t="shared" si="25"/>
        <v>37.913194444444436</v>
      </c>
      <c r="AI27" s="7">
        <f t="shared" si="26"/>
        <v>123.95659722222221</v>
      </c>
      <c r="AJ27" s="6">
        <f t="shared" si="21"/>
        <v>0.25520833333333331</v>
      </c>
      <c r="AK27" s="1">
        <f t="shared" si="22"/>
        <v>0.74479166666666674</v>
      </c>
      <c r="AL27" s="1">
        <f t="shared" si="23"/>
        <v>38.015407986111114</v>
      </c>
      <c r="AM27" s="7">
        <f t="shared" si="24"/>
        <v>124.00770399305556</v>
      </c>
    </row>
    <row r="28" spans="1:39">
      <c r="A28" s="33" t="s">
        <v>141</v>
      </c>
      <c r="B28" s="56">
        <f>Design_Converter!B28</f>
        <v>0.2</v>
      </c>
      <c r="C28" s="33" t="s">
        <v>137</v>
      </c>
      <c r="E28" s="36" t="s">
        <v>8</v>
      </c>
      <c r="N28">
        <v>2.1999999999999999E-2</v>
      </c>
      <c r="O28">
        <f t="shared" si="0"/>
        <v>109.99999999999999</v>
      </c>
      <c r="P28" s="6">
        <f t="shared" si="1"/>
        <v>0.34857142857142853</v>
      </c>
      <c r="Q28" s="1">
        <f t="shared" si="2"/>
        <v>0.65142857142857147</v>
      </c>
      <c r="R28" s="1">
        <f t="shared" si="3"/>
        <v>33.114285714285714</v>
      </c>
      <c r="S28" s="7">
        <f t="shared" si="4"/>
        <v>126.55714285714285</v>
      </c>
      <c r="T28" s="6">
        <f t="shared" si="5"/>
        <v>0.25416666666666665</v>
      </c>
      <c r="U28" s="1">
        <f t="shared" si="6"/>
        <v>0.74583333333333335</v>
      </c>
      <c r="V28" s="1">
        <f t="shared" si="7"/>
        <v>37.913194444444436</v>
      </c>
      <c r="W28" s="7">
        <f t="shared" si="8"/>
        <v>128.9565972222222</v>
      </c>
      <c r="X28" s="6">
        <f t="shared" si="9"/>
        <v>0.21785714285714283</v>
      </c>
      <c r="Y28" s="1">
        <f t="shared" si="10"/>
        <v>0.78214285714285714</v>
      </c>
      <c r="Z28" s="1">
        <f t="shared" si="11"/>
        <v>39.758928571428562</v>
      </c>
      <c r="AA28" s="7">
        <f t="shared" si="12"/>
        <v>129.87946428571428</v>
      </c>
      <c r="AB28" s="6">
        <f t="shared" si="13"/>
        <v>0.25312499999999999</v>
      </c>
      <c r="AC28" s="1">
        <f t="shared" si="14"/>
        <v>0.74687499999999996</v>
      </c>
      <c r="AD28" s="1">
        <f t="shared" si="15"/>
        <v>37.810546875</v>
      </c>
      <c r="AE28" s="7">
        <f t="shared" si="16"/>
        <v>128.9052734375</v>
      </c>
      <c r="AF28" s="6">
        <f t="shared" si="17"/>
        <v>0.25416666666666665</v>
      </c>
      <c r="AG28" s="1">
        <f t="shared" si="18"/>
        <v>0.74583333333333335</v>
      </c>
      <c r="AH28" s="1">
        <f t="shared" si="25"/>
        <v>37.913194444444436</v>
      </c>
      <c r="AI28" s="7">
        <f t="shared" si="26"/>
        <v>128.9565972222222</v>
      </c>
      <c r="AJ28" s="6">
        <f t="shared" si="21"/>
        <v>0.25520833333333331</v>
      </c>
      <c r="AK28" s="1">
        <f t="shared" si="22"/>
        <v>0.74479166666666674</v>
      </c>
      <c r="AL28" s="1">
        <f t="shared" si="23"/>
        <v>38.015407986111114</v>
      </c>
      <c r="AM28" s="7">
        <f t="shared" si="24"/>
        <v>129.00770399305554</v>
      </c>
    </row>
    <row r="29" spans="1:39">
      <c r="A29" s="33" t="s">
        <v>144</v>
      </c>
      <c r="B29" s="59">
        <f>VCS_Max/Rcs</f>
        <v>250</v>
      </c>
      <c r="C29" s="33" t="s">
        <v>4</v>
      </c>
      <c r="E29" s="36" t="s">
        <v>195</v>
      </c>
      <c r="N29">
        <v>2.3E-2</v>
      </c>
      <c r="O29">
        <f t="shared" si="0"/>
        <v>114.99999999999999</v>
      </c>
      <c r="P29" s="6">
        <f t="shared" si="1"/>
        <v>0.34857142857142853</v>
      </c>
      <c r="Q29" s="1">
        <f t="shared" si="2"/>
        <v>0.65142857142857147</v>
      </c>
      <c r="R29" s="1">
        <f t="shared" si="3"/>
        <v>33.114285714285714</v>
      </c>
      <c r="S29" s="7">
        <f t="shared" si="4"/>
        <v>131.55714285714285</v>
      </c>
      <c r="T29" s="6">
        <f t="shared" si="5"/>
        <v>0.25416666666666665</v>
      </c>
      <c r="U29" s="1">
        <f t="shared" si="6"/>
        <v>0.74583333333333335</v>
      </c>
      <c r="V29" s="1">
        <f t="shared" si="7"/>
        <v>37.913194444444436</v>
      </c>
      <c r="W29" s="7">
        <f t="shared" si="8"/>
        <v>133.9565972222222</v>
      </c>
      <c r="X29" s="6">
        <f t="shared" si="9"/>
        <v>0.21785714285714283</v>
      </c>
      <c r="Y29" s="1">
        <f t="shared" si="10"/>
        <v>0.78214285714285714</v>
      </c>
      <c r="Z29" s="1">
        <f t="shared" si="11"/>
        <v>39.758928571428562</v>
      </c>
      <c r="AA29" s="7">
        <f t="shared" si="12"/>
        <v>134.87946428571428</v>
      </c>
      <c r="AB29" s="6">
        <f t="shared" si="13"/>
        <v>0.25312499999999999</v>
      </c>
      <c r="AC29" s="1">
        <f t="shared" si="14"/>
        <v>0.74687499999999996</v>
      </c>
      <c r="AD29" s="1">
        <f t="shared" si="15"/>
        <v>37.810546875</v>
      </c>
      <c r="AE29" s="7">
        <f t="shared" si="16"/>
        <v>133.9052734375</v>
      </c>
      <c r="AF29" s="6">
        <f t="shared" si="17"/>
        <v>0.25416666666666665</v>
      </c>
      <c r="AG29" s="1">
        <f t="shared" si="18"/>
        <v>0.74583333333333335</v>
      </c>
      <c r="AH29" s="1">
        <f t="shared" si="25"/>
        <v>37.913194444444436</v>
      </c>
      <c r="AI29" s="7">
        <f t="shared" si="26"/>
        <v>133.9565972222222</v>
      </c>
      <c r="AJ29" s="6">
        <f t="shared" si="21"/>
        <v>0.25520833333333331</v>
      </c>
      <c r="AK29" s="1">
        <f t="shared" si="22"/>
        <v>0.74479166666666674</v>
      </c>
      <c r="AL29" s="1">
        <f t="shared" si="23"/>
        <v>38.015407986111114</v>
      </c>
      <c r="AM29" s="7">
        <f t="shared" si="24"/>
        <v>134.00770399305554</v>
      </c>
    </row>
    <row r="30" spans="1:39">
      <c r="A30" s="33" t="s">
        <v>142</v>
      </c>
      <c r="B30" s="57">
        <f>V12_Nom*B29</f>
        <v>3050</v>
      </c>
      <c r="C30" s="33" t="s">
        <v>136</v>
      </c>
      <c r="E30" s="36" t="s">
        <v>199</v>
      </c>
      <c r="N30">
        <v>2.4E-2</v>
      </c>
      <c r="O30">
        <f t="shared" si="0"/>
        <v>120</v>
      </c>
      <c r="P30" s="6">
        <f t="shared" si="1"/>
        <v>0.34857142857142853</v>
      </c>
      <c r="Q30" s="1">
        <f t="shared" si="2"/>
        <v>0.65142857142857147</v>
      </c>
      <c r="R30" s="1">
        <f t="shared" si="3"/>
        <v>33.114285714285714</v>
      </c>
      <c r="S30" s="7">
        <f t="shared" si="4"/>
        <v>136.55714285714285</v>
      </c>
      <c r="T30" s="6">
        <f t="shared" si="5"/>
        <v>0.25416666666666665</v>
      </c>
      <c r="U30" s="1">
        <f t="shared" si="6"/>
        <v>0.74583333333333335</v>
      </c>
      <c r="V30" s="1">
        <f t="shared" si="7"/>
        <v>37.913194444444436</v>
      </c>
      <c r="W30" s="7">
        <f t="shared" si="8"/>
        <v>138.95659722222223</v>
      </c>
      <c r="X30" s="6">
        <f t="shared" si="9"/>
        <v>0.21785714285714283</v>
      </c>
      <c r="Y30" s="1">
        <f t="shared" si="10"/>
        <v>0.78214285714285714</v>
      </c>
      <c r="Z30" s="1">
        <f t="shared" si="11"/>
        <v>39.758928571428562</v>
      </c>
      <c r="AA30" s="7">
        <f t="shared" si="12"/>
        <v>139.87946428571428</v>
      </c>
      <c r="AB30" s="6">
        <f t="shared" si="13"/>
        <v>0.25312499999999999</v>
      </c>
      <c r="AC30" s="1">
        <f t="shared" si="14"/>
        <v>0.74687499999999996</v>
      </c>
      <c r="AD30" s="1">
        <f t="shared" si="15"/>
        <v>37.810546875</v>
      </c>
      <c r="AE30" s="7">
        <f t="shared" si="16"/>
        <v>138.9052734375</v>
      </c>
      <c r="AF30" s="6">
        <f t="shared" si="17"/>
        <v>0.25416666666666665</v>
      </c>
      <c r="AG30" s="1">
        <f t="shared" si="18"/>
        <v>0.74583333333333335</v>
      </c>
      <c r="AH30" s="1">
        <f t="shared" si="25"/>
        <v>37.913194444444436</v>
      </c>
      <c r="AI30" s="7">
        <f t="shared" si="26"/>
        <v>138.95659722222223</v>
      </c>
      <c r="AJ30" s="6">
        <f t="shared" si="21"/>
        <v>0.25520833333333331</v>
      </c>
      <c r="AK30" s="1">
        <f t="shared" si="22"/>
        <v>0.74479166666666674</v>
      </c>
      <c r="AL30" s="1">
        <f t="shared" si="23"/>
        <v>38.015407986111114</v>
      </c>
      <c r="AM30" s="7">
        <f t="shared" si="24"/>
        <v>139.00770399305554</v>
      </c>
    </row>
    <row r="31" spans="1:39">
      <c r="A31" s="33" t="s">
        <v>146</v>
      </c>
      <c r="B31" s="57">
        <f>I_Channel*np</f>
        <v>1000</v>
      </c>
      <c r="C31" s="33" t="s">
        <v>4</v>
      </c>
      <c r="E31" s="36" t="s">
        <v>200</v>
      </c>
      <c r="N31">
        <v>2.5000000000000001E-2</v>
      </c>
      <c r="O31">
        <f t="shared" si="0"/>
        <v>125</v>
      </c>
      <c r="P31" s="6">
        <f t="shared" si="1"/>
        <v>0.34857142857142853</v>
      </c>
      <c r="Q31" s="1">
        <f t="shared" si="2"/>
        <v>0.65142857142857147</v>
      </c>
      <c r="R31" s="1">
        <f t="shared" si="3"/>
        <v>33.114285714285714</v>
      </c>
      <c r="S31" s="7">
        <f t="shared" si="4"/>
        <v>141.55714285714285</v>
      </c>
      <c r="T31" s="6">
        <f t="shared" si="5"/>
        <v>0.25416666666666665</v>
      </c>
      <c r="U31" s="1">
        <f t="shared" si="6"/>
        <v>0.74583333333333335</v>
      </c>
      <c r="V31" s="1">
        <f t="shared" si="7"/>
        <v>37.913194444444436</v>
      </c>
      <c r="W31" s="7">
        <f t="shared" si="8"/>
        <v>143.95659722222223</v>
      </c>
      <c r="X31" s="6">
        <f t="shared" si="9"/>
        <v>0.21785714285714283</v>
      </c>
      <c r="Y31" s="1">
        <f t="shared" si="10"/>
        <v>0.78214285714285714</v>
      </c>
      <c r="Z31" s="1">
        <f t="shared" si="11"/>
        <v>39.758928571428562</v>
      </c>
      <c r="AA31" s="7">
        <f t="shared" si="12"/>
        <v>144.87946428571428</v>
      </c>
      <c r="AB31" s="6">
        <f t="shared" si="13"/>
        <v>0.25312499999999999</v>
      </c>
      <c r="AC31" s="1">
        <f t="shared" si="14"/>
        <v>0.74687499999999996</v>
      </c>
      <c r="AD31" s="1">
        <f t="shared" si="15"/>
        <v>37.810546875</v>
      </c>
      <c r="AE31" s="7">
        <f t="shared" si="16"/>
        <v>143.9052734375</v>
      </c>
      <c r="AF31" s="6">
        <f t="shared" si="17"/>
        <v>0.25416666666666665</v>
      </c>
      <c r="AG31" s="1">
        <f t="shared" si="18"/>
        <v>0.74583333333333335</v>
      </c>
      <c r="AH31" s="1">
        <f t="shared" si="25"/>
        <v>37.913194444444436</v>
      </c>
      <c r="AI31" s="7">
        <f t="shared" si="26"/>
        <v>143.95659722222223</v>
      </c>
      <c r="AJ31" s="6">
        <f t="shared" si="21"/>
        <v>0.25520833333333331</v>
      </c>
      <c r="AK31" s="1">
        <f t="shared" si="22"/>
        <v>0.74479166666666674</v>
      </c>
      <c r="AL31" s="1">
        <f t="shared" si="23"/>
        <v>38.015407986111114</v>
      </c>
      <c r="AM31" s="7">
        <f t="shared" si="24"/>
        <v>144.00770399305554</v>
      </c>
    </row>
    <row r="32" spans="1:39">
      <c r="A32" s="33" t="s">
        <v>147</v>
      </c>
      <c r="B32" s="57">
        <f>B30*np</f>
        <v>12200</v>
      </c>
      <c r="C32" s="33" t="s">
        <v>136</v>
      </c>
      <c r="E32" s="36" t="s">
        <v>201</v>
      </c>
      <c r="N32">
        <v>2.5999999999999999E-2</v>
      </c>
      <c r="O32">
        <f t="shared" si="0"/>
        <v>130</v>
      </c>
      <c r="P32" s="6">
        <f t="shared" si="1"/>
        <v>0.34857142857142853</v>
      </c>
      <c r="Q32" s="1">
        <f t="shared" si="2"/>
        <v>0.65142857142857147</v>
      </c>
      <c r="R32" s="1">
        <f t="shared" si="3"/>
        <v>33.114285714285714</v>
      </c>
      <c r="S32" s="7">
        <f t="shared" si="4"/>
        <v>146.55714285714285</v>
      </c>
      <c r="T32" s="6">
        <f t="shared" si="5"/>
        <v>0.25416666666666665</v>
      </c>
      <c r="U32" s="1">
        <f t="shared" si="6"/>
        <v>0.74583333333333335</v>
      </c>
      <c r="V32" s="1">
        <f t="shared" si="7"/>
        <v>37.913194444444436</v>
      </c>
      <c r="W32" s="7">
        <f t="shared" si="8"/>
        <v>148.95659722222223</v>
      </c>
      <c r="X32" s="6">
        <f t="shared" si="9"/>
        <v>0.21785714285714283</v>
      </c>
      <c r="Y32" s="1">
        <f t="shared" si="10"/>
        <v>0.78214285714285714</v>
      </c>
      <c r="Z32" s="1">
        <f t="shared" si="11"/>
        <v>39.758928571428562</v>
      </c>
      <c r="AA32" s="7">
        <f t="shared" si="12"/>
        <v>149.87946428571428</v>
      </c>
      <c r="AB32" s="6">
        <f t="shared" si="13"/>
        <v>0.25312499999999999</v>
      </c>
      <c r="AC32" s="1">
        <f t="shared" si="14"/>
        <v>0.74687499999999996</v>
      </c>
      <c r="AD32" s="1">
        <f t="shared" si="15"/>
        <v>37.810546875</v>
      </c>
      <c r="AE32" s="7">
        <f t="shared" si="16"/>
        <v>148.9052734375</v>
      </c>
      <c r="AF32" s="6">
        <f t="shared" si="17"/>
        <v>0.25416666666666665</v>
      </c>
      <c r="AG32" s="1">
        <f t="shared" si="18"/>
        <v>0.74583333333333335</v>
      </c>
      <c r="AH32" s="1">
        <f t="shared" si="25"/>
        <v>37.913194444444436</v>
      </c>
      <c r="AI32" s="7">
        <f t="shared" si="26"/>
        <v>148.95659722222223</v>
      </c>
      <c r="AJ32" s="6">
        <f t="shared" si="21"/>
        <v>0.25520833333333331</v>
      </c>
      <c r="AK32" s="1">
        <f t="shared" si="22"/>
        <v>0.74479166666666674</v>
      </c>
      <c r="AL32" s="1">
        <f t="shared" si="23"/>
        <v>38.015407986111114</v>
      </c>
      <c r="AM32" s="7">
        <f t="shared" si="24"/>
        <v>149.00770399305554</v>
      </c>
    </row>
    <row r="33" spans="1:39">
      <c r="N33">
        <v>2.7E-2</v>
      </c>
      <c r="O33">
        <f t="shared" si="0"/>
        <v>135</v>
      </c>
      <c r="P33" s="6">
        <f t="shared" si="1"/>
        <v>0.34857142857142853</v>
      </c>
      <c r="Q33" s="1">
        <f t="shared" si="2"/>
        <v>0.65142857142857147</v>
      </c>
      <c r="R33" s="1">
        <f t="shared" si="3"/>
        <v>33.114285714285714</v>
      </c>
      <c r="S33" s="7">
        <f t="shared" si="4"/>
        <v>151.55714285714285</v>
      </c>
      <c r="T33" s="6">
        <f t="shared" si="5"/>
        <v>0.25416666666666665</v>
      </c>
      <c r="U33" s="1">
        <f t="shared" si="6"/>
        <v>0.74583333333333335</v>
      </c>
      <c r="V33" s="1">
        <f t="shared" si="7"/>
        <v>37.913194444444436</v>
      </c>
      <c r="W33" s="7">
        <f t="shared" si="8"/>
        <v>153.95659722222223</v>
      </c>
      <c r="X33" s="6">
        <f t="shared" si="9"/>
        <v>0.21785714285714283</v>
      </c>
      <c r="Y33" s="1">
        <f t="shared" si="10"/>
        <v>0.78214285714285714</v>
      </c>
      <c r="Z33" s="1">
        <f t="shared" si="11"/>
        <v>39.758928571428562</v>
      </c>
      <c r="AA33" s="7">
        <f t="shared" si="12"/>
        <v>154.87946428571428</v>
      </c>
      <c r="AB33" s="6">
        <f t="shared" si="13"/>
        <v>0.25312499999999999</v>
      </c>
      <c r="AC33" s="1">
        <f t="shared" si="14"/>
        <v>0.74687499999999996</v>
      </c>
      <c r="AD33" s="1">
        <f t="shared" si="15"/>
        <v>37.810546875</v>
      </c>
      <c r="AE33" s="7">
        <f t="shared" si="16"/>
        <v>153.9052734375</v>
      </c>
      <c r="AF33" s="6">
        <f t="shared" si="17"/>
        <v>0.25416666666666665</v>
      </c>
      <c r="AG33" s="1">
        <f t="shared" si="18"/>
        <v>0.74583333333333335</v>
      </c>
      <c r="AH33" s="1">
        <f t="shared" si="25"/>
        <v>37.913194444444436</v>
      </c>
      <c r="AI33" s="7">
        <f t="shared" si="26"/>
        <v>153.95659722222223</v>
      </c>
      <c r="AJ33" s="6">
        <f t="shared" si="21"/>
        <v>0.25520833333333331</v>
      </c>
      <c r="AK33" s="1">
        <f t="shared" si="22"/>
        <v>0.74479166666666674</v>
      </c>
      <c r="AL33" s="1">
        <f t="shared" si="23"/>
        <v>38.015407986111114</v>
      </c>
      <c r="AM33" s="7">
        <f t="shared" si="24"/>
        <v>154.00770399305554</v>
      </c>
    </row>
    <row r="34" spans="1:39">
      <c r="N34">
        <v>2.8000000000000001E-2</v>
      </c>
      <c r="O34">
        <f t="shared" si="0"/>
        <v>140</v>
      </c>
      <c r="P34" s="6">
        <f t="shared" si="1"/>
        <v>0.34857142857142853</v>
      </c>
      <c r="Q34" s="1">
        <f t="shared" si="2"/>
        <v>0.65142857142857147</v>
      </c>
      <c r="R34" s="1">
        <f t="shared" si="3"/>
        <v>33.114285714285714</v>
      </c>
      <c r="S34" s="7">
        <f t="shared" si="4"/>
        <v>156.55714285714285</v>
      </c>
      <c r="T34" s="6">
        <f t="shared" si="5"/>
        <v>0.25416666666666665</v>
      </c>
      <c r="U34" s="1">
        <f t="shared" si="6"/>
        <v>0.74583333333333335</v>
      </c>
      <c r="V34" s="1">
        <f t="shared" si="7"/>
        <v>37.913194444444436</v>
      </c>
      <c r="W34" s="7">
        <f t="shared" si="8"/>
        <v>158.95659722222223</v>
      </c>
      <c r="X34" s="6">
        <f t="shared" si="9"/>
        <v>0.21785714285714283</v>
      </c>
      <c r="Y34" s="1">
        <f t="shared" si="10"/>
        <v>0.78214285714285714</v>
      </c>
      <c r="Z34" s="1">
        <f t="shared" si="11"/>
        <v>39.758928571428562</v>
      </c>
      <c r="AA34" s="7">
        <f t="shared" si="12"/>
        <v>159.87946428571428</v>
      </c>
      <c r="AB34" s="6">
        <f t="shared" si="13"/>
        <v>0.25312499999999999</v>
      </c>
      <c r="AC34" s="1">
        <f t="shared" si="14"/>
        <v>0.74687499999999996</v>
      </c>
      <c r="AD34" s="1">
        <f t="shared" si="15"/>
        <v>37.810546875</v>
      </c>
      <c r="AE34" s="7">
        <f t="shared" si="16"/>
        <v>158.9052734375</v>
      </c>
      <c r="AF34" s="6">
        <f t="shared" si="17"/>
        <v>0.25416666666666665</v>
      </c>
      <c r="AG34" s="1">
        <f t="shared" si="18"/>
        <v>0.74583333333333335</v>
      </c>
      <c r="AH34" s="1">
        <f t="shared" si="25"/>
        <v>37.913194444444436</v>
      </c>
      <c r="AI34" s="7">
        <f t="shared" si="26"/>
        <v>158.95659722222223</v>
      </c>
      <c r="AJ34" s="6">
        <f t="shared" si="21"/>
        <v>0.25520833333333331</v>
      </c>
      <c r="AK34" s="1">
        <f t="shared" si="22"/>
        <v>0.74479166666666674</v>
      </c>
      <c r="AL34" s="1">
        <f t="shared" si="23"/>
        <v>38.015407986111114</v>
      </c>
      <c r="AM34" s="7">
        <f t="shared" si="24"/>
        <v>159.00770399305554</v>
      </c>
    </row>
    <row r="35" spans="1:39">
      <c r="A35" s="34" t="s">
        <v>148</v>
      </c>
      <c r="B35" s="60"/>
      <c r="C35" s="33"/>
      <c r="N35">
        <v>2.9000000000000001E-2</v>
      </c>
      <c r="O35">
        <f t="shared" si="0"/>
        <v>145</v>
      </c>
      <c r="P35" s="6">
        <f t="shared" si="1"/>
        <v>0.34857142857142853</v>
      </c>
      <c r="Q35" s="1">
        <f t="shared" si="2"/>
        <v>0.65142857142857147</v>
      </c>
      <c r="R35" s="1">
        <f t="shared" si="3"/>
        <v>33.114285714285714</v>
      </c>
      <c r="S35" s="7">
        <f t="shared" si="4"/>
        <v>161.55714285714285</v>
      </c>
      <c r="T35" s="6">
        <f t="shared" si="5"/>
        <v>0.25416666666666665</v>
      </c>
      <c r="U35" s="1">
        <f t="shared" si="6"/>
        <v>0.74583333333333335</v>
      </c>
      <c r="V35" s="1">
        <f t="shared" si="7"/>
        <v>37.913194444444436</v>
      </c>
      <c r="W35" s="7">
        <f t="shared" si="8"/>
        <v>163.95659722222223</v>
      </c>
      <c r="X35" s="6">
        <f t="shared" si="9"/>
        <v>0.21785714285714283</v>
      </c>
      <c r="Y35" s="1">
        <f t="shared" si="10"/>
        <v>0.78214285714285714</v>
      </c>
      <c r="Z35" s="1">
        <f t="shared" si="11"/>
        <v>39.758928571428562</v>
      </c>
      <c r="AA35" s="7">
        <f t="shared" si="12"/>
        <v>164.87946428571428</v>
      </c>
      <c r="AB35" s="6">
        <f t="shared" si="13"/>
        <v>0.25312499999999999</v>
      </c>
      <c r="AC35" s="1">
        <f t="shared" si="14"/>
        <v>0.74687499999999996</v>
      </c>
      <c r="AD35" s="1">
        <f t="shared" si="15"/>
        <v>37.810546875</v>
      </c>
      <c r="AE35" s="7">
        <f t="shared" si="16"/>
        <v>163.9052734375</v>
      </c>
      <c r="AF35" s="6">
        <f t="shared" si="17"/>
        <v>0.25416666666666665</v>
      </c>
      <c r="AG35" s="1">
        <f t="shared" si="18"/>
        <v>0.74583333333333335</v>
      </c>
      <c r="AH35" s="1">
        <f t="shared" si="25"/>
        <v>37.913194444444436</v>
      </c>
      <c r="AI35" s="7">
        <f t="shared" si="26"/>
        <v>163.95659722222223</v>
      </c>
      <c r="AJ35" s="6">
        <f t="shared" si="21"/>
        <v>0.25520833333333331</v>
      </c>
      <c r="AK35" s="1">
        <f t="shared" si="22"/>
        <v>0.74479166666666674</v>
      </c>
      <c r="AL35" s="1">
        <f t="shared" si="23"/>
        <v>38.015407986111114</v>
      </c>
      <c r="AM35" s="7">
        <f t="shared" si="24"/>
        <v>164.00770399305554</v>
      </c>
    </row>
    <row r="36" spans="1:39">
      <c r="A36" s="33" t="s">
        <v>151</v>
      </c>
      <c r="B36" s="56">
        <f>Design_Converter!B35/100</f>
        <v>0.4</v>
      </c>
      <c r="C36" s="33"/>
      <c r="E36" s="36" t="s">
        <v>202</v>
      </c>
      <c r="N36">
        <v>0.03</v>
      </c>
      <c r="O36">
        <f t="shared" si="0"/>
        <v>150</v>
      </c>
      <c r="P36" s="6">
        <f t="shared" si="1"/>
        <v>0.34857142857142853</v>
      </c>
      <c r="Q36" s="1">
        <f t="shared" si="2"/>
        <v>0.65142857142857147</v>
      </c>
      <c r="R36" s="1">
        <f t="shared" si="3"/>
        <v>33.114285714285714</v>
      </c>
      <c r="S36" s="7">
        <f t="shared" si="4"/>
        <v>166.55714285714285</v>
      </c>
      <c r="T36" s="6">
        <f t="shared" si="5"/>
        <v>0.25416666666666665</v>
      </c>
      <c r="U36" s="1">
        <f t="shared" si="6"/>
        <v>0.74583333333333335</v>
      </c>
      <c r="V36" s="1">
        <f t="shared" si="7"/>
        <v>37.913194444444436</v>
      </c>
      <c r="W36" s="7">
        <f t="shared" si="8"/>
        <v>168.95659722222223</v>
      </c>
      <c r="X36" s="6">
        <f t="shared" si="9"/>
        <v>0.21785714285714283</v>
      </c>
      <c r="Y36" s="1">
        <f t="shared" si="10"/>
        <v>0.78214285714285714</v>
      </c>
      <c r="Z36" s="1">
        <f t="shared" si="11"/>
        <v>39.758928571428562</v>
      </c>
      <c r="AA36" s="7">
        <f t="shared" si="12"/>
        <v>169.87946428571428</v>
      </c>
      <c r="AB36" s="6">
        <f t="shared" si="13"/>
        <v>0.25312499999999999</v>
      </c>
      <c r="AC36" s="1">
        <f t="shared" si="14"/>
        <v>0.74687499999999996</v>
      </c>
      <c r="AD36" s="1">
        <f t="shared" si="15"/>
        <v>37.810546875</v>
      </c>
      <c r="AE36" s="7">
        <f t="shared" si="16"/>
        <v>168.9052734375</v>
      </c>
      <c r="AF36" s="6">
        <f t="shared" si="17"/>
        <v>0.25416666666666665</v>
      </c>
      <c r="AG36" s="1">
        <f t="shared" si="18"/>
        <v>0.74583333333333335</v>
      </c>
      <c r="AH36" s="1">
        <f t="shared" si="25"/>
        <v>37.913194444444436</v>
      </c>
      <c r="AI36" s="7">
        <f t="shared" si="26"/>
        <v>168.95659722222223</v>
      </c>
      <c r="AJ36" s="6">
        <f t="shared" si="21"/>
        <v>0.25520833333333331</v>
      </c>
      <c r="AK36" s="1">
        <f t="shared" si="22"/>
        <v>0.74479166666666674</v>
      </c>
      <c r="AL36" s="1">
        <f t="shared" si="23"/>
        <v>38.015407986111114</v>
      </c>
      <c r="AM36" s="7">
        <f t="shared" si="24"/>
        <v>169.00770399305554</v>
      </c>
    </row>
    <row r="37" spans="1:39">
      <c r="A37" s="33" t="s">
        <v>111</v>
      </c>
      <c r="B37" s="61">
        <f>(V48_Max-V12_Nom)*(V12_Nom/V48_Max)/((B25)*(B36)*Fsw)*(1000000)</f>
        <v>2.7263265306122442</v>
      </c>
      <c r="C37" s="33" t="s">
        <v>6</v>
      </c>
      <c r="E37" s="36" t="s">
        <v>193</v>
      </c>
      <c r="N37">
        <v>3.1E-2</v>
      </c>
      <c r="O37">
        <f t="shared" si="0"/>
        <v>155</v>
      </c>
      <c r="P37" s="6">
        <f t="shared" si="1"/>
        <v>0.34857142857142853</v>
      </c>
      <c r="Q37" s="1">
        <f t="shared" si="2"/>
        <v>0.65142857142857147</v>
      </c>
      <c r="R37" s="1">
        <f t="shared" si="3"/>
        <v>33.114285714285714</v>
      </c>
      <c r="S37" s="7">
        <f t="shared" si="4"/>
        <v>171.55714285714285</v>
      </c>
      <c r="T37" s="6">
        <f t="shared" si="5"/>
        <v>0.25416666666666665</v>
      </c>
      <c r="U37" s="1">
        <f t="shared" si="6"/>
        <v>0.74583333333333335</v>
      </c>
      <c r="V37" s="1">
        <f t="shared" si="7"/>
        <v>37.913194444444436</v>
      </c>
      <c r="W37" s="7">
        <f t="shared" si="8"/>
        <v>173.95659722222223</v>
      </c>
      <c r="X37" s="6">
        <f t="shared" si="9"/>
        <v>0.21785714285714283</v>
      </c>
      <c r="Y37" s="1">
        <f t="shared" si="10"/>
        <v>0.78214285714285714</v>
      </c>
      <c r="Z37" s="1">
        <f t="shared" si="11"/>
        <v>39.758928571428562</v>
      </c>
      <c r="AA37" s="7">
        <f t="shared" si="12"/>
        <v>174.87946428571428</v>
      </c>
      <c r="AB37" s="6">
        <f t="shared" si="13"/>
        <v>0.25312499999999999</v>
      </c>
      <c r="AC37" s="1">
        <f t="shared" si="14"/>
        <v>0.74687499999999996</v>
      </c>
      <c r="AD37" s="1">
        <f t="shared" si="15"/>
        <v>37.810546875</v>
      </c>
      <c r="AE37" s="7">
        <f t="shared" si="16"/>
        <v>173.9052734375</v>
      </c>
      <c r="AF37" s="6">
        <f t="shared" si="17"/>
        <v>0.25416666666666665</v>
      </c>
      <c r="AG37" s="1">
        <f t="shared" si="18"/>
        <v>0.74583333333333335</v>
      </c>
      <c r="AH37" s="1">
        <f t="shared" si="25"/>
        <v>37.913194444444436</v>
      </c>
      <c r="AI37" s="7">
        <f t="shared" si="26"/>
        <v>173.95659722222223</v>
      </c>
      <c r="AJ37" s="6">
        <f t="shared" si="21"/>
        <v>0.25520833333333331</v>
      </c>
      <c r="AK37" s="1">
        <f t="shared" si="22"/>
        <v>0.74479166666666674</v>
      </c>
      <c r="AL37" s="1">
        <f t="shared" si="23"/>
        <v>38.015407986111114</v>
      </c>
      <c r="AM37" s="7">
        <f t="shared" si="24"/>
        <v>174.00770399305554</v>
      </c>
    </row>
    <row r="38" spans="1:39">
      <c r="A38" s="33" t="s">
        <v>5</v>
      </c>
      <c r="B38" s="62">
        <f>Design_Converter!B37</f>
        <v>2.4</v>
      </c>
      <c r="C38" s="33" t="s">
        <v>6</v>
      </c>
      <c r="N38">
        <v>3.2000000000000001E-2</v>
      </c>
      <c r="O38">
        <f t="shared" ref="O38:O56" si="27">N38/Rcs</f>
        <v>160</v>
      </c>
      <c r="P38" s="6">
        <f t="shared" ref="P38:P56" si="28">IF($O38&lt;((V48_Min-V12_Nom)*V12_Nom)/((2*Lm*Fsw)*V48_Min),SQRT((2*$O38*Lm*Fsw*V12_Nom)/(V48_Min*(V48_Min-V12_Nom))),(V12_Nom/V48_Min))</f>
        <v>0.34857142857142853</v>
      </c>
      <c r="Q38" s="1">
        <f t="shared" ref="Q38:Q56" si="29">IF($O38&lt;((V48_Min-V12_Nom)*V12_Nom)/((2*Lm*Fsw)*V48_Min),SQRT((2*$O38*Lm*Fsw*V12_Nom)/(V48_Min*(V48_Min-V12_Nom)))*((V48_Min-V12_Nom)/(V12_Nom)),1-(V12_Nom/V48_Min))</f>
        <v>0.65142857142857147</v>
      </c>
      <c r="R38" s="1">
        <f t="shared" ref="R38:R56" si="30">IF($O38&lt;((V48_Min-V12_Nom)*V12_Nom)/((2*Lm*Fsw)*V48_Min),(P38/(Fsw*Lm))*(V48_Min-V12_Nom),((P38/(Fsw*Lm))*(V48_Min-V12_Nom)))</f>
        <v>33.114285714285714</v>
      </c>
      <c r="S38" s="7">
        <f t="shared" ref="S38:S56" si="31">IF($O38&lt;((V48_Min-V12_Nom)*V12_Nom)/((2*Lm*Fsw)*V48_Min),(P38/(Fsw*Lm))*(V48_Min-V12_Nom),(R38/2)+$O38)</f>
        <v>176.55714285714285</v>
      </c>
      <c r="T38" s="6">
        <f t="shared" ref="T38:T56" si="32">IF($O38&lt;((V48_Nom-V12_Nom)*V12_Nom)/((2*Lm*Fsw)*V48_Nom),SQRT((2*$O38*Lm*Fsw*V12_Nom)/(V48_Nom*(V48_Nom-V12_Nom))),(V12_Nom/V48_Nom))</f>
        <v>0.25416666666666665</v>
      </c>
      <c r="U38" s="1">
        <f t="shared" ref="U38:U56" si="33">IF($O38&lt;((V48_Nom-V12_Nom)*V12_Nom)/((2*Lm*Fsw)*V48_Nom),SQRT((2*$O38*Lm*Fsw*V12_Nom)/(V48_Nom*(V48_Nom-V12_Nom)))*((V48_Nom-V12_Nom)/(V12_Nom)),1-(V12_Nom/V48_Nom))</f>
        <v>0.74583333333333335</v>
      </c>
      <c r="V38" s="1">
        <f t="shared" ref="V38:V56" si="34">IF($O38&lt;((V48_Nom-V12_Nom)*V12_Nom)/((2*Lm*Fsw)*V48_Nom),(T38/(Fsw*Lm))*(V48_Nom-V12_Nom),((T38/(Fsw*Lm))*(V48_Nom-V12_Nom)))</f>
        <v>37.913194444444436</v>
      </c>
      <c r="W38" s="7">
        <f t="shared" ref="W38:W56" si="35">IF($O38&lt;((V48_Nom-V12_Nom)*V12_Nom)/((2*Lm*Fsw)*V48_Nom),(T38/(Fsw*Lm))*(V48_Nom-V12_Nom),(V38/2)+$O38)</f>
        <v>178.95659722222223</v>
      </c>
      <c r="X38" s="6">
        <f t="shared" ref="X38:X56" si="36">IF($O38&lt;((V48_Max-V12_Nom)*V12_Nom)/((2*Lm*Fsw)*V48_Max),SQRT((2*$O38*Lm*Fsw*V12_Nom)/(V48_Max*(V48_Max-V12_Nom))),(V12_Nom/V48_Max))</f>
        <v>0.21785714285714283</v>
      </c>
      <c r="Y38" s="1">
        <f t="shared" ref="Y38:Y56" si="37">IF($O38&lt;((V48_Max-V12_Nom)*V12_Nom)/((2*Lm*Fsw)*V48_Max),SQRT((2*$O38*Lm*Fsw*V12_Nom)/(V48_Max*(V48_Max-V12_Nom)))*((V48_Max-V12_Nom)/(V12_Nom)),1-(V12_Nom/V48_Max))</f>
        <v>0.78214285714285714</v>
      </c>
      <c r="Z38" s="1">
        <f t="shared" ref="Z38:Z56" si="38">IF($O38&lt;((V48_Max-V12_Nom)*V12_Nom)/((2*Lm*Fsw)*V48_Max),(X38/(Fsw*Lm))*(V48_Max-V12_Nom),((X38/(Fsw*Lm))*(V48_Max-V12_Nom)))</f>
        <v>39.758928571428562</v>
      </c>
      <c r="AA38" s="7">
        <f t="shared" ref="AA38:AA56" si="39">IF($O38&lt;((V48_Max-V12_Nom)*V12_Nom)/((2*Lm*Fsw)*V48_Max),(X38/(Fsw*Lm))*(V48_Max-V12_Nom),(Z38/2)+$O38)</f>
        <v>179.87946428571428</v>
      </c>
      <c r="AB38" s="6">
        <f t="shared" ref="AB38:AB56" si="40">IF($O38&lt;((V48_Nom-V12_Min)*V12_Min)/((2*Lm*Fsw)*V48_Nom),SQRT((2*$O38*Lm*Fsw*V12_Min)/(V48_Nom*(V48_Nom-V12_Min))),(V12_Min/V48_Nom))</f>
        <v>0.25312499999999999</v>
      </c>
      <c r="AC38" s="1">
        <f t="shared" ref="AC38:AC56" si="41">IF($O38&lt;((V48_Nom-V12_Min)*V12_Min)/((2*Lm*Fsw)*V48_Nom),SQRT((2*$O38*Lm*Fsw*V12_Min)/(V48_Nom*(V48_Nom-V12_Min)))*((V48_Nom-V12_Min)/(V12_Min)),1-(V12_Min/V48_Nom))</f>
        <v>0.74687499999999996</v>
      </c>
      <c r="AD38" s="1">
        <f t="shared" ref="AD38:AD56" si="42">IF($O38&lt;((V48_Nom-V12_Min)*V12_Min)/((2*Lm*Fsw)*V48_Nom),(AB38/(Fsw*Lm))*(V48_Nom-V12_Min),((AB38/(Fsw*Lm))*(V48_Nom-V12_Min)))</f>
        <v>37.810546875</v>
      </c>
      <c r="AE38" s="7">
        <f t="shared" ref="AE38:AE56" si="43">IF($O38&lt;((V48_Nom-V12_Min)*V12_Min)/((2*Lm*Fsw)*V48_Nom),(AB38/(Fsw*Lm))*(V48_Nom-V12_Min),(AD38/2)+$O38)</f>
        <v>178.9052734375</v>
      </c>
      <c r="AF38" s="6">
        <f t="shared" si="17"/>
        <v>0.25416666666666665</v>
      </c>
      <c r="AG38" s="1">
        <f t="shared" si="18"/>
        <v>0.74583333333333335</v>
      </c>
      <c r="AH38" s="1">
        <f t="shared" si="25"/>
        <v>37.913194444444436</v>
      </c>
      <c r="AI38" s="7">
        <f t="shared" si="26"/>
        <v>178.95659722222223</v>
      </c>
      <c r="AJ38" s="6">
        <f t="shared" ref="AJ38:AJ56" si="44">IF($O38&lt;((V48_Nom-V12_Max)*V12_Max)/((2*Lm*Fsw)*V48_Nom),SQRT((2*$O38*Lm*Fsw*V12_Max)/(V48_Nom*(V48_Nom-V12_Max))),(V12_Max/V48_Nom))</f>
        <v>0.25520833333333331</v>
      </c>
      <c r="AK38" s="1">
        <f t="shared" ref="AK38:AK56" si="45">IF($O38&lt;((V48_Nom-V12_Max)*V12_Max)/((2*Lm*Fsw)*V48_Nom),SQRT((2*$O38*Lm*Fsw*V12_Max)/(V48_Nom*(V48_Nom-V12_Max)))*((V48_Nom-V12_Max)/(V12_Max)),1-(V12_Max/V48_Nom))</f>
        <v>0.74479166666666674</v>
      </c>
      <c r="AL38" s="1">
        <f t="shared" ref="AL38:AL56" si="46">IF($O38&lt;((V48_Nom-V12_Max)*V12_Max)/((2*Lm*Fsw)*V48_Nom),(AJ38/(Fsw*Lm))*(V48_Nom-V12_Max),((AJ38/(Fsw*Lm))*(V48_Nom-V12_Max)))</f>
        <v>38.015407986111114</v>
      </c>
      <c r="AM38" s="7">
        <f t="shared" ref="AM38:AM56" si="47">IF($O38&lt;((V48_Nom-V12_Max)*V12_Max)/((2*Lm*Fsw)*V48_Nom),(AJ38/(Fsw*Lm))*(V48_Nom-V12_Max),(AL38/2)+$O38)</f>
        <v>179.00770399305554</v>
      </c>
    </row>
    <row r="39" spans="1:39" ht="15">
      <c r="A39" s="33" t="s">
        <v>29</v>
      </c>
      <c r="B39" s="56">
        <f>Lm_DCR</f>
        <v>0.12</v>
      </c>
      <c r="C39" s="75" t="s">
        <v>80</v>
      </c>
      <c r="N39">
        <v>3.3000000000000002E-2</v>
      </c>
      <c r="O39">
        <f t="shared" si="27"/>
        <v>165</v>
      </c>
      <c r="P39" s="6">
        <f t="shared" si="28"/>
        <v>0.34857142857142853</v>
      </c>
      <c r="Q39" s="1">
        <f t="shared" si="29"/>
        <v>0.65142857142857147</v>
      </c>
      <c r="R39" s="1">
        <f t="shared" si="30"/>
        <v>33.114285714285714</v>
      </c>
      <c r="S39" s="7">
        <f t="shared" si="31"/>
        <v>181.55714285714285</v>
      </c>
      <c r="T39" s="6">
        <f t="shared" si="32"/>
        <v>0.25416666666666665</v>
      </c>
      <c r="U39" s="1">
        <f t="shared" si="33"/>
        <v>0.74583333333333335</v>
      </c>
      <c r="V39" s="1">
        <f t="shared" si="34"/>
        <v>37.913194444444436</v>
      </c>
      <c r="W39" s="7">
        <f t="shared" si="35"/>
        <v>183.95659722222223</v>
      </c>
      <c r="X39" s="6">
        <f t="shared" si="36"/>
        <v>0.21785714285714283</v>
      </c>
      <c r="Y39" s="1">
        <f t="shared" si="37"/>
        <v>0.78214285714285714</v>
      </c>
      <c r="Z39" s="1">
        <f t="shared" si="38"/>
        <v>39.758928571428562</v>
      </c>
      <c r="AA39" s="7">
        <f t="shared" si="39"/>
        <v>184.87946428571428</v>
      </c>
      <c r="AB39" s="6">
        <f t="shared" si="40"/>
        <v>0.25312499999999999</v>
      </c>
      <c r="AC39" s="1">
        <f t="shared" si="41"/>
        <v>0.74687499999999996</v>
      </c>
      <c r="AD39" s="1">
        <f t="shared" si="42"/>
        <v>37.810546875</v>
      </c>
      <c r="AE39" s="7">
        <f t="shared" si="43"/>
        <v>183.9052734375</v>
      </c>
      <c r="AF39" s="6">
        <f t="shared" si="17"/>
        <v>0.25416666666666665</v>
      </c>
      <c r="AG39" s="1">
        <f t="shared" si="18"/>
        <v>0.74583333333333335</v>
      </c>
      <c r="AH39" s="1">
        <f t="shared" si="25"/>
        <v>37.913194444444436</v>
      </c>
      <c r="AI39" s="7">
        <f t="shared" si="26"/>
        <v>183.95659722222223</v>
      </c>
      <c r="AJ39" s="6">
        <f t="shared" si="44"/>
        <v>0.25520833333333331</v>
      </c>
      <c r="AK39" s="1">
        <f t="shared" si="45"/>
        <v>0.74479166666666674</v>
      </c>
      <c r="AL39" s="1">
        <f t="shared" si="46"/>
        <v>38.015407986111114</v>
      </c>
      <c r="AM39" s="7">
        <f t="shared" si="47"/>
        <v>184.00770399305554</v>
      </c>
    </row>
    <row r="40" spans="1:39" ht="14.25" thickBot="1">
      <c r="A40" s="209" t="s">
        <v>10</v>
      </c>
      <c r="B40" s="210"/>
      <c r="C40" s="211"/>
      <c r="E40" s="36" t="s">
        <v>154</v>
      </c>
      <c r="N40">
        <v>3.4000000000000002E-2</v>
      </c>
      <c r="O40">
        <f t="shared" si="27"/>
        <v>170</v>
      </c>
      <c r="P40" s="6">
        <f t="shared" si="28"/>
        <v>0.34857142857142853</v>
      </c>
      <c r="Q40" s="1">
        <f t="shared" si="29"/>
        <v>0.65142857142857147</v>
      </c>
      <c r="R40" s="1">
        <f t="shared" si="30"/>
        <v>33.114285714285714</v>
      </c>
      <c r="S40" s="7">
        <f t="shared" si="31"/>
        <v>186.55714285714285</v>
      </c>
      <c r="T40" s="6">
        <f t="shared" si="32"/>
        <v>0.25416666666666665</v>
      </c>
      <c r="U40" s="1">
        <f t="shared" si="33"/>
        <v>0.74583333333333335</v>
      </c>
      <c r="V40" s="1">
        <f t="shared" si="34"/>
        <v>37.913194444444436</v>
      </c>
      <c r="W40" s="7">
        <f t="shared" si="35"/>
        <v>188.95659722222223</v>
      </c>
      <c r="X40" s="6">
        <f t="shared" si="36"/>
        <v>0.21785714285714283</v>
      </c>
      <c r="Y40" s="1">
        <f t="shared" si="37"/>
        <v>0.78214285714285714</v>
      </c>
      <c r="Z40" s="1">
        <f t="shared" si="38"/>
        <v>39.758928571428562</v>
      </c>
      <c r="AA40" s="7">
        <f t="shared" si="39"/>
        <v>189.87946428571428</v>
      </c>
      <c r="AB40" s="6">
        <f t="shared" si="40"/>
        <v>0.25312499999999999</v>
      </c>
      <c r="AC40" s="1">
        <f t="shared" si="41"/>
        <v>0.74687499999999996</v>
      </c>
      <c r="AD40" s="1">
        <f t="shared" si="42"/>
        <v>37.810546875</v>
      </c>
      <c r="AE40" s="7">
        <f t="shared" si="43"/>
        <v>188.9052734375</v>
      </c>
      <c r="AF40" s="6">
        <f t="shared" si="17"/>
        <v>0.25416666666666665</v>
      </c>
      <c r="AG40" s="1">
        <f t="shared" si="18"/>
        <v>0.74583333333333335</v>
      </c>
      <c r="AH40" s="1">
        <f t="shared" si="25"/>
        <v>37.913194444444436</v>
      </c>
      <c r="AI40" s="7">
        <f t="shared" si="26"/>
        <v>188.95659722222223</v>
      </c>
      <c r="AJ40" s="6">
        <f t="shared" si="44"/>
        <v>0.25520833333333331</v>
      </c>
      <c r="AK40" s="1">
        <f t="shared" si="45"/>
        <v>0.74479166666666674</v>
      </c>
      <c r="AL40" s="1">
        <f t="shared" si="46"/>
        <v>38.015407986111114</v>
      </c>
      <c r="AM40" s="7">
        <f t="shared" si="47"/>
        <v>189.00770399305554</v>
      </c>
    </row>
    <row r="41" spans="1:39">
      <c r="A41" s="83" t="s">
        <v>82</v>
      </c>
      <c r="B41" s="84">
        <f>((V48_Min-V12_Nom)/(2*Lm*Fsw))*((V12_Nom*Rcs)/V48_Min)*1000</f>
        <v>3.3114285714285714</v>
      </c>
      <c r="C41" s="85" t="s">
        <v>72</v>
      </c>
      <c r="N41">
        <v>3.5000000000000003E-2</v>
      </c>
      <c r="O41">
        <f t="shared" si="27"/>
        <v>175</v>
      </c>
      <c r="P41" s="6">
        <f t="shared" si="28"/>
        <v>0.34857142857142853</v>
      </c>
      <c r="Q41" s="1">
        <f t="shared" si="29"/>
        <v>0.65142857142857147</v>
      </c>
      <c r="R41" s="1">
        <f t="shared" si="30"/>
        <v>33.114285714285714</v>
      </c>
      <c r="S41" s="7">
        <f t="shared" si="31"/>
        <v>191.55714285714285</v>
      </c>
      <c r="T41" s="6">
        <f t="shared" si="32"/>
        <v>0.25416666666666665</v>
      </c>
      <c r="U41" s="1">
        <f t="shared" si="33"/>
        <v>0.74583333333333335</v>
      </c>
      <c r="V41" s="1">
        <f t="shared" si="34"/>
        <v>37.913194444444436</v>
      </c>
      <c r="W41" s="7">
        <f t="shared" si="35"/>
        <v>193.95659722222223</v>
      </c>
      <c r="X41" s="6">
        <f t="shared" si="36"/>
        <v>0.21785714285714283</v>
      </c>
      <c r="Y41" s="1">
        <f t="shared" si="37"/>
        <v>0.78214285714285714</v>
      </c>
      <c r="Z41" s="1">
        <f t="shared" si="38"/>
        <v>39.758928571428562</v>
      </c>
      <c r="AA41" s="7">
        <f t="shared" si="39"/>
        <v>194.87946428571428</v>
      </c>
      <c r="AB41" s="6">
        <f t="shared" si="40"/>
        <v>0.25312499999999999</v>
      </c>
      <c r="AC41" s="1">
        <f t="shared" si="41"/>
        <v>0.74687499999999996</v>
      </c>
      <c r="AD41" s="1">
        <f t="shared" si="42"/>
        <v>37.810546875</v>
      </c>
      <c r="AE41" s="7">
        <f t="shared" si="43"/>
        <v>193.9052734375</v>
      </c>
      <c r="AF41" s="6">
        <f t="shared" si="17"/>
        <v>0.25416666666666665</v>
      </c>
      <c r="AG41" s="1">
        <f t="shared" si="18"/>
        <v>0.74583333333333335</v>
      </c>
      <c r="AH41" s="1">
        <f t="shared" si="25"/>
        <v>37.913194444444436</v>
      </c>
      <c r="AI41" s="7">
        <f t="shared" si="26"/>
        <v>193.95659722222223</v>
      </c>
      <c r="AJ41" s="6">
        <f t="shared" si="44"/>
        <v>0.25520833333333331</v>
      </c>
      <c r="AK41" s="1">
        <f t="shared" si="45"/>
        <v>0.74479166666666674</v>
      </c>
      <c r="AL41" s="1">
        <f t="shared" si="46"/>
        <v>38.015407986111114</v>
      </c>
      <c r="AM41" s="7">
        <f t="shared" si="47"/>
        <v>194.00770399305554</v>
      </c>
    </row>
    <row r="42" spans="1:39">
      <c r="A42" s="86" t="s">
        <v>83</v>
      </c>
      <c r="B42" s="64">
        <f>(B41/1000)/Rcs</f>
        <v>16.557142857142857</v>
      </c>
      <c r="C42" s="44" t="s">
        <v>4</v>
      </c>
      <c r="N42">
        <v>3.5999999999999997E-2</v>
      </c>
      <c r="O42">
        <f t="shared" si="27"/>
        <v>179.99999999999997</v>
      </c>
      <c r="P42" s="6">
        <f t="shared" si="28"/>
        <v>0.34857142857142853</v>
      </c>
      <c r="Q42" s="1">
        <f t="shared" si="29"/>
        <v>0.65142857142857147</v>
      </c>
      <c r="R42" s="1">
        <f t="shared" si="30"/>
        <v>33.114285714285714</v>
      </c>
      <c r="S42" s="7">
        <f t="shared" si="31"/>
        <v>196.55714285714282</v>
      </c>
      <c r="T42" s="6">
        <f t="shared" si="32"/>
        <v>0.25416666666666665</v>
      </c>
      <c r="U42" s="1">
        <f t="shared" si="33"/>
        <v>0.74583333333333335</v>
      </c>
      <c r="V42" s="1">
        <f t="shared" si="34"/>
        <v>37.913194444444436</v>
      </c>
      <c r="W42" s="7">
        <f t="shared" si="35"/>
        <v>198.9565972222222</v>
      </c>
      <c r="X42" s="6">
        <f t="shared" si="36"/>
        <v>0.21785714285714283</v>
      </c>
      <c r="Y42" s="1">
        <f t="shared" si="37"/>
        <v>0.78214285714285714</v>
      </c>
      <c r="Z42" s="1">
        <f t="shared" si="38"/>
        <v>39.758928571428562</v>
      </c>
      <c r="AA42" s="7">
        <f t="shared" si="39"/>
        <v>199.87946428571425</v>
      </c>
      <c r="AB42" s="6">
        <f t="shared" si="40"/>
        <v>0.25312499999999999</v>
      </c>
      <c r="AC42" s="1">
        <f t="shared" si="41"/>
        <v>0.74687499999999996</v>
      </c>
      <c r="AD42" s="1">
        <f t="shared" si="42"/>
        <v>37.810546875</v>
      </c>
      <c r="AE42" s="7">
        <f t="shared" si="43"/>
        <v>198.90527343749997</v>
      </c>
      <c r="AF42" s="6">
        <f t="shared" si="17"/>
        <v>0.25416666666666665</v>
      </c>
      <c r="AG42" s="1">
        <f t="shared" si="18"/>
        <v>0.74583333333333335</v>
      </c>
      <c r="AH42" s="1">
        <f t="shared" si="25"/>
        <v>37.913194444444436</v>
      </c>
      <c r="AI42" s="7">
        <f t="shared" si="26"/>
        <v>198.9565972222222</v>
      </c>
      <c r="AJ42" s="6">
        <f t="shared" si="44"/>
        <v>0.25520833333333331</v>
      </c>
      <c r="AK42" s="1">
        <f t="shared" si="45"/>
        <v>0.74479166666666674</v>
      </c>
      <c r="AL42" s="1">
        <f t="shared" si="46"/>
        <v>38.015407986111114</v>
      </c>
      <c r="AM42" s="7">
        <f t="shared" si="47"/>
        <v>199.00770399305554</v>
      </c>
    </row>
    <row r="43" spans="1:39">
      <c r="A43" s="86" t="s">
        <v>383</v>
      </c>
      <c r="B43" s="57">
        <f>(V12_Nom/V48_Min)</f>
        <v>0.34857142857142853</v>
      </c>
      <c r="C43" s="44"/>
      <c r="N43">
        <v>3.6999999999999998E-2</v>
      </c>
      <c r="O43">
        <f t="shared" si="27"/>
        <v>184.99999999999997</v>
      </c>
      <c r="P43" s="6">
        <f t="shared" si="28"/>
        <v>0.34857142857142853</v>
      </c>
      <c r="Q43" s="1">
        <f t="shared" si="29"/>
        <v>0.65142857142857147</v>
      </c>
      <c r="R43" s="1">
        <f t="shared" si="30"/>
        <v>33.114285714285714</v>
      </c>
      <c r="S43" s="7">
        <f t="shared" si="31"/>
        <v>201.55714285714282</v>
      </c>
      <c r="T43" s="6">
        <f t="shared" si="32"/>
        <v>0.25416666666666665</v>
      </c>
      <c r="U43" s="1">
        <f t="shared" si="33"/>
        <v>0.74583333333333335</v>
      </c>
      <c r="V43" s="1">
        <f t="shared" si="34"/>
        <v>37.913194444444436</v>
      </c>
      <c r="W43" s="7">
        <f t="shared" si="35"/>
        <v>203.9565972222222</v>
      </c>
      <c r="X43" s="6">
        <f t="shared" si="36"/>
        <v>0.21785714285714283</v>
      </c>
      <c r="Y43" s="1">
        <f t="shared" si="37"/>
        <v>0.78214285714285714</v>
      </c>
      <c r="Z43" s="1">
        <f t="shared" si="38"/>
        <v>39.758928571428562</v>
      </c>
      <c r="AA43" s="7">
        <f t="shared" si="39"/>
        <v>204.87946428571425</v>
      </c>
      <c r="AB43" s="6">
        <f t="shared" si="40"/>
        <v>0.25312499999999999</v>
      </c>
      <c r="AC43" s="1">
        <f t="shared" si="41"/>
        <v>0.74687499999999996</v>
      </c>
      <c r="AD43" s="1">
        <f t="shared" si="42"/>
        <v>37.810546875</v>
      </c>
      <c r="AE43" s="7">
        <f t="shared" si="43"/>
        <v>203.90527343749997</v>
      </c>
      <c r="AF43" s="6">
        <f t="shared" si="17"/>
        <v>0.25416666666666665</v>
      </c>
      <c r="AG43" s="1">
        <f t="shared" si="18"/>
        <v>0.74583333333333335</v>
      </c>
      <c r="AH43" s="1">
        <f t="shared" si="25"/>
        <v>37.913194444444436</v>
      </c>
      <c r="AI43" s="7">
        <f t="shared" si="26"/>
        <v>203.9565972222222</v>
      </c>
      <c r="AJ43" s="6">
        <f t="shared" si="44"/>
        <v>0.25520833333333331</v>
      </c>
      <c r="AK43" s="1">
        <f t="shared" si="45"/>
        <v>0.74479166666666674</v>
      </c>
      <c r="AL43" s="1">
        <f t="shared" si="46"/>
        <v>38.015407986111114</v>
      </c>
      <c r="AM43" s="7">
        <f t="shared" si="47"/>
        <v>204.00770399305554</v>
      </c>
    </row>
    <row r="44" spans="1:39">
      <c r="A44" s="86" t="s">
        <v>74</v>
      </c>
      <c r="B44" s="63">
        <f>((V48_Nom-V12_Nom)/(2*Lm*Fsw))*((V12_Nom*Rcs)/V48_Nom)*1000</f>
        <v>3.7913194444444445</v>
      </c>
      <c r="C44" s="44" t="s">
        <v>72</v>
      </c>
      <c r="N44">
        <v>3.7999999999999999E-2</v>
      </c>
      <c r="O44">
        <f t="shared" si="27"/>
        <v>190</v>
      </c>
      <c r="P44" s="6">
        <f t="shared" si="28"/>
        <v>0.34857142857142853</v>
      </c>
      <c r="Q44" s="1">
        <f t="shared" si="29"/>
        <v>0.65142857142857147</v>
      </c>
      <c r="R44" s="1">
        <f t="shared" si="30"/>
        <v>33.114285714285714</v>
      </c>
      <c r="S44" s="7">
        <f t="shared" si="31"/>
        <v>206.55714285714285</v>
      </c>
      <c r="T44" s="6">
        <f t="shared" si="32"/>
        <v>0.25416666666666665</v>
      </c>
      <c r="U44" s="1">
        <f t="shared" si="33"/>
        <v>0.74583333333333335</v>
      </c>
      <c r="V44" s="1">
        <f t="shared" si="34"/>
        <v>37.913194444444436</v>
      </c>
      <c r="W44" s="7">
        <f t="shared" si="35"/>
        <v>208.95659722222223</v>
      </c>
      <c r="X44" s="6">
        <f t="shared" si="36"/>
        <v>0.21785714285714283</v>
      </c>
      <c r="Y44" s="1">
        <f t="shared" si="37"/>
        <v>0.78214285714285714</v>
      </c>
      <c r="Z44" s="1">
        <f t="shared" si="38"/>
        <v>39.758928571428562</v>
      </c>
      <c r="AA44" s="7">
        <f t="shared" si="39"/>
        <v>209.87946428571428</v>
      </c>
      <c r="AB44" s="6">
        <f t="shared" si="40"/>
        <v>0.25312499999999999</v>
      </c>
      <c r="AC44" s="1">
        <f t="shared" si="41"/>
        <v>0.74687499999999996</v>
      </c>
      <c r="AD44" s="1">
        <f t="shared" si="42"/>
        <v>37.810546875</v>
      </c>
      <c r="AE44" s="7">
        <f t="shared" si="43"/>
        <v>208.9052734375</v>
      </c>
      <c r="AF44" s="6">
        <f t="shared" si="17"/>
        <v>0.25416666666666665</v>
      </c>
      <c r="AG44" s="1">
        <f t="shared" si="18"/>
        <v>0.74583333333333335</v>
      </c>
      <c r="AH44" s="1">
        <f t="shared" si="25"/>
        <v>37.913194444444436</v>
      </c>
      <c r="AI44" s="7">
        <f t="shared" si="26"/>
        <v>208.95659722222223</v>
      </c>
      <c r="AJ44" s="6">
        <f t="shared" si="44"/>
        <v>0.25520833333333331</v>
      </c>
      <c r="AK44" s="1">
        <f t="shared" si="45"/>
        <v>0.74479166666666674</v>
      </c>
      <c r="AL44" s="1">
        <f t="shared" si="46"/>
        <v>38.015407986111114</v>
      </c>
      <c r="AM44" s="7">
        <f t="shared" si="47"/>
        <v>209.00770399305554</v>
      </c>
    </row>
    <row r="45" spans="1:39">
      <c r="A45" s="86" t="s">
        <v>81</v>
      </c>
      <c r="B45" s="64">
        <f>(B44/1000)/Rcs</f>
        <v>18.956597222222221</v>
      </c>
      <c r="C45" s="44" t="s">
        <v>4</v>
      </c>
      <c r="N45">
        <v>3.9E-2</v>
      </c>
      <c r="O45">
        <f t="shared" si="27"/>
        <v>195</v>
      </c>
      <c r="P45" s="6">
        <f t="shared" si="28"/>
        <v>0.34857142857142853</v>
      </c>
      <c r="Q45" s="1">
        <f t="shared" si="29"/>
        <v>0.65142857142857147</v>
      </c>
      <c r="R45" s="1">
        <f t="shared" si="30"/>
        <v>33.114285714285714</v>
      </c>
      <c r="S45" s="7">
        <f t="shared" si="31"/>
        <v>211.55714285714285</v>
      </c>
      <c r="T45" s="6">
        <f t="shared" si="32"/>
        <v>0.25416666666666665</v>
      </c>
      <c r="U45" s="1">
        <f t="shared" si="33"/>
        <v>0.74583333333333335</v>
      </c>
      <c r="V45" s="1">
        <f t="shared" si="34"/>
        <v>37.913194444444436</v>
      </c>
      <c r="W45" s="7">
        <f t="shared" si="35"/>
        <v>213.95659722222223</v>
      </c>
      <c r="X45" s="6">
        <f t="shared" si="36"/>
        <v>0.21785714285714283</v>
      </c>
      <c r="Y45" s="1">
        <f t="shared" si="37"/>
        <v>0.78214285714285714</v>
      </c>
      <c r="Z45" s="1">
        <f t="shared" si="38"/>
        <v>39.758928571428562</v>
      </c>
      <c r="AA45" s="7">
        <f t="shared" si="39"/>
        <v>214.87946428571428</v>
      </c>
      <c r="AB45" s="6">
        <f t="shared" si="40"/>
        <v>0.25312499999999999</v>
      </c>
      <c r="AC45" s="1">
        <f t="shared" si="41"/>
        <v>0.74687499999999996</v>
      </c>
      <c r="AD45" s="1">
        <f t="shared" si="42"/>
        <v>37.810546875</v>
      </c>
      <c r="AE45" s="7">
        <f t="shared" si="43"/>
        <v>213.9052734375</v>
      </c>
      <c r="AF45" s="6">
        <f t="shared" si="17"/>
        <v>0.25416666666666665</v>
      </c>
      <c r="AG45" s="1">
        <f t="shared" si="18"/>
        <v>0.74583333333333335</v>
      </c>
      <c r="AH45" s="1">
        <f t="shared" si="25"/>
        <v>37.913194444444436</v>
      </c>
      <c r="AI45" s="7">
        <f t="shared" si="26"/>
        <v>213.95659722222223</v>
      </c>
      <c r="AJ45" s="6">
        <f t="shared" si="44"/>
        <v>0.25520833333333331</v>
      </c>
      <c r="AK45" s="1">
        <f t="shared" si="45"/>
        <v>0.74479166666666674</v>
      </c>
      <c r="AL45" s="1">
        <f t="shared" si="46"/>
        <v>38.015407986111114</v>
      </c>
      <c r="AM45" s="7">
        <f t="shared" si="47"/>
        <v>214.00770399305554</v>
      </c>
    </row>
    <row r="46" spans="1:39">
      <c r="A46" s="86" t="s">
        <v>383</v>
      </c>
      <c r="B46" s="68">
        <f>(V12_Nom/V48_Nom)</f>
        <v>0.25416666666666665</v>
      </c>
      <c r="C46" s="44"/>
      <c r="N46">
        <v>0.04</v>
      </c>
      <c r="O46">
        <f t="shared" si="27"/>
        <v>200</v>
      </c>
      <c r="P46" s="6">
        <f t="shared" si="28"/>
        <v>0.34857142857142853</v>
      </c>
      <c r="Q46" s="1">
        <f t="shared" si="29"/>
        <v>0.65142857142857147</v>
      </c>
      <c r="R46" s="1">
        <f t="shared" si="30"/>
        <v>33.114285714285714</v>
      </c>
      <c r="S46" s="7">
        <f t="shared" si="31"/>
        <v>216.55714285714285</v>
      </c>
      <c r="T46" s="6">
        <f t="shared" si="32"/>
        <v>0.25416666666666665</v>
      </c>
      <c r="U46" s="1">
        <f t="shared" si="33"/>
        <v>0.74583333333333335</v>
      </c>
      <c r="V46" s="1">
        <f t="shared" si="34"/>
        <v>37.913194444444436</v>
      </c>
      <c r="W46" s="7">
        <f t="shared" si="35"/>
        <v>218.95659722222223</v>
      </c>
      <c r="X46" s="6">
        <f t="shared" si="36"/>
        <v>0.21785714285714283</v>
      </c>
      <c r="Y46" s="1">
        <f t="shared" si="37"/>
        <v>0.78214285714285714</v>
      </c>
      <c r="Z46" s="1">
        <f t="shared" si="38"/>
        <v>39.758928571428562</v>
      </c>
      <c r="AA46" s="7">
        <f t="shared" si="39"/>
        <v>219.87946428571428</v>
      </c>
      <c r="AB46" s="6">
        <f t="shared" si="40"/>
        <v>0.25312499999999999</v>
      </c>
      <c r="AC46" s="1">
        <f t="shared" si="41"/>
        <v>0.74687499999999996</v>
      </c>
      <c r="AD46" s="1">
        <f t="shared" si="42"/>
        <v>37.810546875</v>
      </c>
      <c r="AE46" s="7">
        <f t="shared" si="43"/>
        <v>218.9052734375</v>
      </c>
      <c r="AF46" s="6">
        <f t="shared" si="17"/>
        <v>0.25416666666666665</v>
      </c>
      <c r="AG46" s="1">
        <f t="shared" si="18"/>
        <v>0.74583333333333335</v>
      </c>
      <c r="AH46" s="1">
        <f t="shared" si="25"/>
        <v>37.913194444444436</v>
      </c>
      <c r="AI46" s="7">
        <f t="shared" si="26"/>
        <v>218.95659722222223</v>
      </c>
      <c r="AJ46" s="6">
        <f t="shared" si="44"/>
        <v>0.25520833333333331</v>
      </c>
      <c r="AK46" s="1">
        <f t="shared" si="45"/>
        <v>0.74479166666666674</v>
      </c>
      <c r="AL46" s="1">
        <f t="shared" si="46"/>
        <v>38.015407986111114</v>
      </c>
      <c r="AM46" s="7">
        <f t="shared" si="47"/>
        <v>219.00770399305554</v>
      </c>
    </row>
    <row r="47" spans="1:39">
      <c r="A47" s="86" t="s">
        <v>84</v>
      </c>
      <c r="B47" s="63">
        <f>((V48_Max-V12_Nom)/(2*Lm*Fsw))*((V12_Nom*Rcs)/V48_Max)*1000</f>
        <v>3.9758928571428567</v>
      </c>
      <c r="C47" s="44" t="s">
        <v>72</v>
      </c>
      <c r="N47">
        <v>4.1000000000000002E-2</v>
      </c>
      <c r="O47">
        <f t="shared" si="27"/>
        <v>205</v>
      </c>
      <c r="P47" s="6">
        <f t="shared" si="28"/>
        <v>0.34857142857142853</v>
      </c>
      <c r="Q47" s="1">
        <f t="shared" si="29"/>
        <v>0.65142857142857147</v>
      </c>
      <c r="R47" s="1">
        <f t="shared" si="30"/>
        <v>33.114285714285714</v>
      </c>
      <c r="S47" s="7">
        <f t="shared" si="31"/>
        <v>221.55714285714285</v>
      </c>
      <c r="T47" s="6">
        <f t="shared" si="32"/>
        <v>0.25416666666666665</v>
      </c>
      <c r="U47" s="1">
        <f t="shared" si="33"/>
        <v>0.74583333333333335</v>
      </c>
      <c r="V47" s="1">
        <f t="shared" si="34"/>
        <v>37.913194444444436</v>
      </c>
      <c r="W47" s="7">
        <f t="shared" si="35"/>
        <v>223.95659722222223</v>
      </c>
      <c r="X47" s="6">
        <f t="shared" si="36"/>
        <v>0.21785714285714283</v>
      </c>
      <c r="Y47" s="1">
        <f t="shared" si="37"/>
        <v>0.78214285714285714</v>
      </c>
      <c r="Z47" s="1">
        <f t="shared" si="38"/>
        <v>39.758928571428562</v>
      </c>
      <c r="AA47" s="7">
        <f t="shared" si="39"/>
        <v>224.87946428571428</v>
      </c>
      <c r="AB47" s="6">
        <f t="shared" si="40"/>
        <v>0.25312499999999999</v>
      </c>
      <c r="AC47" s="1">
        <f t="shared" si="41"/>
        <v>0.74687499999999996</v>
      </c>
      <c r="AD47" s="1">
        <f t="shared" si="42"/>
        <v>37.810546875</v>
      </c>
      <c r="AE47" s="7">
        <f t="shared" si="43"/>
        <v>223.9052734375</v>
      </c>
      <c r="AF47" s="6">
        <f t="shared" si="17"/>
        <v>0.25416666666666665</v>
      </c>
      <c r="AG47" s="1">
        <f t="shared" si="18"/>
        <v>0.74583333333333335</v>
      </c>
      <c r="AH47" s="1">
        <f t="shared" si="25"/>
        <v>37.913194444444436</v>
      </c>
      <c r="AI47" s="7">
        <f t="shared" si="26"/>
        <v>223.95659722222223</v>
      </c>
      <c r="AJ47" s="6">
        <f t="shared" si="44"/>
        <v>0.25520833333333331</v>
      </c>
      <c r="AK47" s="1">
        <f t="shared" si="45"/>
        <v>0.74479166666666674</v>
      </c>
      <c r="AL47" s="1">
        <f t="shared" si="46"/>
        <v>38.015407986111114</v>
      </c>
      <c r="AM47" s="7">
        <f t="shared" si="47"/>
        <v>224.00770399305554</v>
      </c>
    </row>
    <row r="48" spans="1:39">
      <c r="A48" s="86" t="s">
        <v>85</v>
      </c>
      <c r="B48" s="64">
        <f>(B47/1000)/Rcs</f>
        <v>19.879464285714281</v>
      </c>
      <c r="C48" s="44" t="s">
        <v>4</v>
      </c>
      <c r="N48">
        <v>4.2000000000000003E-2</v>
      </c>
      <c r="O48">
        <f t="shared" si="27"/>
        <v>210</v>
      </c>
      <c r="P48" s="6">
        <f t="shared" si="28"/>
        <v>0.34857142857142853</v>
      </c>
      <c r="Q48" s="1">
        <f t="shared" si="29"/>
        <v>0.65142857142857147</v>
      </c>
      <c r="R48" s="1">
        <f t="shared" si="30"/>
        <v>33.114285714285714</v>
      </c>
      <c r="S48" s="7">
        <f t="shared" si="31"/>
        <v>226.55714285714285</v>
      </c>
      <c r="T48" s="6">
        <f t="shared" si="32"/>
        <v>0.25416666666666665</v>
      </c>
      <c r="U48" s="1">
        <f t="shared" si="33"/>
        <v>0.74583333333333335</v>
      </c>
      <c r="V48" s="1">
        <f t="shared" si="34"/>
        <v>37.913194444444436</v>
      </c>
      <c r="W48" s="7">
        <f t="shared" si="35"/>
        <v>228.95659722222223</v>
      </c>
      <c r="X48" s="6">
        <f t="shared" si="36"/>
        <v>0.21785714285714283</v>
      </c>
      <c r="Y48" s="1">
        <f t="shared" si="37"/>
        <v>0.78214285714285714</v>
      </c>
      <c r="Z48" s="1">
        <f t="shared" si="38"/>
        <v>39.758928571428562</v>
      </c>
      <c r="AA48" s="7">
        <f t="shared" si="39"/>
        <v>229.87946428571428</v>
      </c>
      <c r="AB48" s="6">
        <f t="shared" si="40"/>
        <v>0.25312499999999999</v>
      </c>
      <c r="AC48" s="1">
        <f t="shared" si="41"/>
        <v>0.74687499999999996</v>
      </c>
      <c r="AD48" s="1">
        <f t="shared" si="42"/>
        <v>37.810546875</v>
      </c>
      <c r="AE48" s="7">
        <f t="shared" si="43"/>
        <v>228.9052734375</v>
      </c>
      <c r="AF48" s="6">
        <f t="shared" si="17"/>
        <v>0.25416666666666665</v>
      </c>
      <c r="AG48" s="1">
        <f t="shared" si="18"/>
        <v>0.74583333333333335</v>
      </c>
      <c r="AH48" s="1">
        <f t="shared" si="25"/>
        <v>37.913194444444436</v>
      </c>
      <c r="AI48" s="7">
        <f t="shared" si="26"/>
        <v>228.95659722222223</v>
      </c>
      <c r="AJ48" s="6">
        <f t="shared" si="44"/>
        <v>0.25520833333333331</v>
      </c>
      <c r="AK48" s="1">
        <f t="shared" si="45"/>
        <v>0.74479166666666674</v>
      </c>
      <c r="AL48" s="1">
        <f t="shared" si="46"/>
        <v>38.015407986111114</v>
      </c>
      <c r="AM48" s="7">
        <f t="shared" si="47"/>
        <v>229.00770399305554</v>
      </c>
    </row>
    <row r="49" spans="1:42" ht="14.25" thickBot="1">
      <c r="A49" s="87" t="s">
        <v>383</v>
      </c>
      <c r="B49" s="64">
        <f>(V12_Nom/V48_Max)</f>
        <v>0.21785714285714283</v>
      </c>
      <c r="C49" s="88"/>
      <c r="N49">
        <v>4.2999999999999997E-2</v>
      </c>
      <c r="O49">
        <f t="shared" si="27"/>
        <v>214.99999999999997</v>
      </c>
      <c r="P49" s="6">
        <f t="shared" si="28"/>
        <v>0.34857142857142853</v>
      </c>
      <c r="Q49" s="1">
        <f t="shared" si="29"/>
        <v>0.65142857142857147</v>
      </c>
      <c r="R49" s="1">
        <f t="shared" si="30"/>
        <v>33.114285714285714</v>
      </c>
      <c r="S49" s="7">
        <f t="shared" si="31"/>
        <v>231.55714285714282</v>
      </c>
      <c r="T49" s="6">
        <f t="shared" si="32"/>
        <v>0.25416666666666665</v>
      </c>
      <c r="U49" s="1">
        <f t="shared" si="33"/>
        <v>0.74583333333333335</v>
      </c>
      <c r="V49" s="1">
        <f t="shared" si="34"/>
        <v>37.913194444444436</v>
      </c>
      <c r="W49" s="7">
        <f t="shared" si="35"/>
        <v>233.9565972222222</v>
      </c>
      <c r="X49" s="6">
        <f t="shared" si="36"/>
        <v>0.21785714285714283</v>
      </c>
      <c r="Y49" s="1">
        <f t="shared" si="37"/>
        <v>0.78214285714285714</v>
      </c>
      <c r="Z49" s="1">
        <f t="shared" si="38"/>
        <v>39.758928571428562</v>
      </c>
      <c r="AA49" s="7">
        <f t="shared" si="39"/>
        <v>234.87946428571425</v>
      </c>
      <c r="AB49" s="6">
        <f t="shared" si="40"/>
        <v>0.25312499999999999</v>
      </c>
      <c r="AC49" s="1">
        <f t="shared" si="41"/>
        <v>0.74687499999999996</v>
      </c>
      <c r="AD49" s="1">
        <f t="shared" si="42"/>
        <v>37.810546875</v>
      </c>
      <c r="AE49" s="7">
        <f t="shared" si="43"/>
        <v>233.90527343749997</v>
      </c>
      <c r="AF49" s="6">
        <f t="shared" si="17"/>
        <v>0.25416666666666665</v>
      </c>
      <c r="AG49" s="1">
        <f t="shared" si="18"/>
        <v>0.74583333333333335</v>
      </c>
      <c r="AH49" s="1">
        <f t="shared" si="25"/>
        <v>37.913194444444436</v>
      </c>
      <c r="AI49" s="7">
        <f t="shared" si="26"/>
        <v>233.9565972222222</v>
      </c>
      <c r="AJ49" s="6">
        <f t="shared" si="44"/>
        <v>0.25520833333333331</v>
      </c>
      <c r="AK49" s="1">
        <f t="shared" si="45"/>
        <v>0.74479166666666674</v>
      </c>
      <c r="AL49" s="1">
        <f t="shared" si="46"/>
        <v>38.015407986111114</v>
      </c>
      <c r="AM49" s="7">
        <f t="shared" si="47"/>
        <v>234.00770399305554</v>
      </c>
    </row>
    <row r="50" spans="1:42">
      <c r="A50" s="83" t="s">
        <v>382</v>
      </c>
      <c r="B50" s="84">
        <f>((V48_Nom-V12_Min)/(2*Lm*Fsw))*((V12_Min*Rcs)/V48_Nom)*1000</f>
        <v>3.7810546875000002</v>
      </c>
      <c r="C50" s="85" t="s">
        <v>72</v>
      </c>
      <c r="N50">
        <v>4.3999999999999997E-2</v>
      </c>
      <c r="O50">
        <f t="shared" si="27"/>
        <v>219.99999999999997</v>
      </c>
      <c r="P50" s="6">
        <f t="shared" si="28"/>
        <v>0.34857142857142853</v>
      </c>
      <c r="Q50" s="1">
        <f t="shared" si="29"/>
        <v>0.65142857142857147</v>
      </c>
      <c r="R50" s="1">
        <f t="shared" si="30"/>
        <v>33.114285714285714</v>
      </c>
      <c r="S50" s="7">
        <f t="shared" si="31"/>
        <v>236.55714285714282</v>
      </c>
      <c r="T50" s="6">
        <f t="shared" si="32"/>
        <v>0.25416666666666665</v>
      </c>
      <c r="U50" s="1">
        <f t="shared" si="33"/>
        <v>0.74583333333333335</v>
      </c>
      <c r="V50" s="1">
        <f t="shared" si="34"/>
        <v>37.913194444444436</v>
      </c>
      <c r="W50" s="7">
        <f t="shared" si="35"/>
        <v>238.9565972222222</v>
      </c>
      <c r="X50" s="6">
        <f t="shared" si="36"/>
        <v>0.21785714285714283</v>
      </c>
      <c r="Y50" s="1">
        <f t="shared" si="37"/>
        <v>0.78214285714285714</v>
      </c>
      <c r="Z50" s="1">
        <f t="shared" si="38"/>
        <v>39.758928571428562</v>
      </c>
      <c r="AA50" s="7">
        <f t="shared" si="39"/>
        <v>239.87946428571425</v>
      </c>
      <c r="AB50" s="6">
        <f t="shared" si="40"/>
        <v>0.25312499999999999</v>
      </c>
      <c r="AC50" s="1">
        <f t="shared" si="41"/>
        <v>0.74687499999999996</v>
      </c>
      <c r="AD50" s="1">
        <f t="shared" si="42"/>
        <v>37.810546875</v>
      </c>
      <c r="AE50" s="7">
        <f t="shared" si="43"/>
        <v>238.90527343749997</v>
      </c>
      <c r="AF50" s="6">
        <f t="shared" si="17"/>
        <v>0.25416666666666665</v>
      </c>
      <c r="AG50" s="1">
        <f t="shared" si="18"/>
        <v>0.74583333333333335</v>
      </c>
      <c r="AH50" s="1">
        <f t="shared" si="25"/>
        <v>37.913194444444436</v>
      </c>
      <c r="AI50" s="7">
        <f t="shared" si="26"/>
        <v>238.9565972222222</v>
      </c>
      <c r="AJ50" s="6">
        <f t="shared" si="44"/>
        <v>0.25520833333333331</v>
      </c>
      <c r="AK50" s="1">
        <f t="shared" si="45"/>
        <v>0.74479166666666674</v>
      </c>
      <c r="AL50" s="1">
        <f t="shared" si="46"/>
        <v>38.015407986111114</v>
      </c>
      <c r="AM50" s="7">
        <f t="shared" si="47"/>
        <v>239.00770399305554</v>
      </c>
    </row>
    <row r="51" spans="1:42">
      <c r="A51" s="86" t="s">
        <v>381</v>
      </c>
      <c r="B51" s="64">
        <f>(B50/1000)/Rcs</f>
        <v>18.9052734375</v>
      </c>
      <c r="C51" s="44" t="s">
        <v>4</v>
      </c>
      <c r="N51">
        <v>4.4999999999999998E-2</v>
      </c>
      <c r="O51">
        <f t="shared" si="27"/>
        <v>224.99999999999997</v>
      </c>
      <c r="P51" s="6">
        <f t="shared" si="28"/>
        <v>0.34857142857142853</v>
      </c>
      <c r="Q51" s="1">
        <f t="shared" si="29"/>
        <v>0.65142857142857147</v>
      </c>
      <c r="R51" s="1">
        <f t="shared" si="30"/>
        <v>33.114285714285714</v>
      </c>
      <c r="S51" s="7">
        <f t="shared" si="31"/>
        <v>241.55714285714282</v>
      </c>
      <c r="T51" s="6">
        <f t="shared" si="32"/>
        <v>0.25416666666666665</v>
      </c>
      <c r="U51" s="1">
        <f t="shared" si="33"/>
        <v>0.74583333333333335</v>
      </c>
      <c r="V51" s="1">
        <f t="shared" si="34"/>
        <v>37.913194444444436</v>
      </c>
      <c r="W51" s="7">
        <f t="shared" si="35"/>
        <v>243.9565972222222</v>
      </c>
      <c r="X51" s="6">
        <f t="shared" si="36"/>
        <v>0.21785714285714283</v>
      </c>
      <c r="Y51" s="1">
        <f t="shared" si="37"/>
        <v>0.78214285714285714</v>
      </c>
      <c r="Z51" s="1">
        <f t="shared" si="38"/>
        <v>39.758928571428562</v>
      </c>
      <c r="AA51" s="7">
        <f t="shared" si="39"/>
        <v>244.87946428571425</v>
      </c>
      <c r="AB51" s="6">
        <f t="shared" si="40"/>
        <v>0.25312499999999999</v>
      </c>
      <c r="AC51" s="1">
        <f t="shared" si="41"/>
        <v>0.74687499999999996</v>
      </c>
      <c r="AD51" s="1">
        <f t="shared" si="42"/>
        <v>37.810546875</v>
      </c>
      <c r="AE51" s="7">
        <f t="shared" si="43"/>
        <v>243.90527343749997</v>
      </c>
      <c r="AF51" s="6">
        <f t="shared" si="17"/>
        <v>0.25416666666666665</v>
      </c>
      <c r="AG51" s="1">
        <f t="shared" si="18"/>
        <v>0.74583333333333335</v>
      </c>
      <c r="AH51" s="1">
        <f t="shared" si="25"/>
        <v>37.913194444444436</v>
      </c>
      <c r="AI51" s="7">
        <f t="shared" si="26"/>
        <v>243.9565972222222</v>
      </c>
      <c r="AJ51" s="6">
        <f t="shared" si="44"/>
        <v>0.25520833333333331</v>
      </c>
      <c r="AK51" s="1">
        <f t="shared" si="45"/>
        <v>0.74479166666666674</v>
      </c>
      <c r="AL51" s="1">
        <f t="shared" si="46"/>
        <v>38.015407986111114</v>
      </c>
      <c r="AM51" s="7">
        <f t="shared" si="47"/>
        <v>244.00770399305554</v>
      </c>
    </row>
    <row r="52" spans="1:42">
      <c r="A52" s="86" t="s">
        <v>383</v>
      </c>
      <c r="B52" s="57">
        <f>1-(V12_Min/V48_Nom)</f>
        <v>0.74687499999999996</v>
      </c>
      <c r="C52" s="44"/>
      <c r="N52">
        <v>4.5999999999999999E-2</v>
      </c>
      <c r="O52">
        <f t="shared" si="27"/>
        <v>229.99999999999997</v>
      </c>
      <c r="P52" s="6">
        <f t="shared" si="28"/>
        <v>0.34857142857142853</v>
      </c>
      <c r="Q52" s="1">
        <f t="shared" si="29"/>
        <v>0.65142857142857147</v>
      </c>
      <c r="R52" s="1">
        <f t="shared" si="30"/>
        <v>33.114285714285714</v>
      </c>
      <c r="S52" s="7">
        <f t="shared" si="31"/>
        <v>246.55714285714282</v>
      </c>
      <c r="T52" s="6">
        <f t="shared" si="32"/>
        <v>0.25416666666666665</v>
      </c>
      <c r="U52" s="1">
        <f t="shared" si="33"/>
        <v>0.74583333333333335</v>
      </c>
      <c r="V52" s="1">
        <f t="shared" si="34"/>
        <v>37.913194444444436</v>
      </c>
      <c r="W52" s="7">
        <f t="shared" si="35"/>
        <v>248.9565972222222</v>
      </c>
      <c r="X52" s="6">
        <f t="shared" si="36"/>
        <v>0.21785714285714283</v>
      </c>
      <c r="Y52" s="1">
        <f t="shared" si="37"/>
        <v>0.78214285714285714</v>
      </c>
      <c r="Z52" s="1">
        <f t="shared" si="38"/>
        <v>39.758928571428562</v>
      </c>
      <c r="AA52" s="7">
        <f t="shared" si="39"/>
        <v>249.87946428571425</v>
      </c>
      <c r="AB52" s="6">
        <f t="shared" si="40"/>
        <v>0.25312499999999999</v>
      </c>
      <c r="AC52" s="1">
        <f t="shared" si="41"/>
        <v>0.74687499999999996</v>
      </c>
      <c r="AD52" s="1">
        <f t="shared" si="42"/>
        <v>37.810546875</v>
      </c>
      <c r="AE52" s="7">
        <f t="shared" si="43"/>
        <v>248.90527343749997</v>
      </c>
      <c r="AF52" s="6">
        <f t="shared" si="17"/>
        <v>0.25416666666666665</v>
      </c>
      <c r="AG52" s="1">
        <f t="shared" si="18"/>
        <v>0.74583333333333335</v>
      </c>
      <c r="AH52" s="1">
        <f t="shared" si="25"/>
        <v>37.913194444444436</v>
      </c>
      <c r="AI52" s="7">
        <f t="shared" si="26"/>
        <v>248.9565972222222</v>
      </c>
      <c r="AJ52" s="6">
        <f t="shared" si="44"/>
        <v>0.25520833333333331</v>
      </c>
      <c r="AK52" s="1">
        <f t="shared" si="45"/>
        <v>0.74479166666666674</v>
      </c>
      <c r="AL52" s="1">
        <f t="shared" si="46"/>
        <v>38.015407986111114</v>
      </c>
      <c r="AM52" s="7">
        <f t="shared" si="47"/>
        <v>249.00770399305554</v>
      </c>
    </row>
    <row r="53" spans="1:42">
      <c r="A53" s="86" t="s">
        <v>74</v>
      </c>
      <c r="B53" s="63">
        <f>((V48_Nom-V12_Nom)/(2*Lm*Fsw))*((V12_Nom*Rcs)/V48_Nom)*1000</f>
        <v>3.7913194444444445</v>
      </c>
      <c r="C53" s="44" t="s">
        <v>72</v>
      </c>
      <c r="N53">
        <v>4.7E-2</v>
      </c>
      <c r="O53">
        <f t="shared" si="27"/>
        <v>235</v>
      </c>
      <c r="P53" s="6">
        <f t="shared" si="28"/>
        <v>0.34857142857142853</v>
      </c>
      <c r="Q53" s="1">
        <f t="shared" si="29"/>
        <v>0.65142857142857147</v>
      </c>
      <c r="R53" s="1">
        <f t="shared" si="30"/>
        <v>33.114285714285714</v>
      </c>
      <c r="S53" s="7">
        <f t="shared" si="31"/>
        <v>251.55714285714285</v>
      </c>
      <c r="T53" s="6">
        <f t="shared" si="32"/>
        <v>0.25416666666666665</v>
      </c>
      <c r="U53" s="1">
        <f t="shared" si="33"/>
        <v>0.74583333333333335</v>
      </c>
      <c r="V53" s="1">
        <f t="shared" si="34"/>
        <v>37.913194444444436</v>
      </c>
      <c r="W53" s="7">
        <f t="shared" si="35"/>
        <v>253.95659722222223</v>
      </c>
      <c r="X53" s="6">
        <f t="shared" si="36"/>
        <v>0.21785714285714283</v>
      </c>
      <c r="Y53" s="1">
        <f t="shared" si="37"/>
        <v>0.78214285714285714</v>
      </c>
      <c r="Z53" s="1">
        <f t="shared" si="38"/>
        <v>39.758928571428562</v>
      </c>
      <c r="AA53" s="7">
        <f t="shared" si="39"/>
        <v>254.87946428571428</v>
      </c>
      <c r="AB53" s="6">
        <f t="shared" si="40"/>
        <v>0.25312499999999999</v>
      </c>
      <c r="AC53" s="1">
        <f t="shared" si="41"/>
        <v>0.74687499999999996</v>
      </c>
      <c r="AD53" s="1">
        <f t="shared" si="42"/>
        <v>37.810546875</v>
      </c>
      <c r="AE53" s="7">
        <f t="shared" si="43"/>
        <v>253.9052734375</v>
      </c>
      <c r="AF53" s="6">
        <f t="shared" si="17"/>
        <v>0.25416666666666665</v>
      </c>
      <c r="AG53" s="1">
        <f t="shared" si="18"/>
        <v>0.74583333333333335</v>
      </c>
      <c r="AH53" s="1">
        <f t="shared" si="25"/>
        <v>37.913194444444436</v>
      </c>
      <c r="AI53" s="7">
        <f t="shared" si="26"/>
        <v>253.95659722222223</v>
      </c>
      <c r="AJ53" s="6">
        <f t="shared" si="44"/>
        <v>0.25520833333333331</v>
      </c>
      <c r="AK53" s="1">
        <f t="shared" si="45"/>
        <v>0.74479166666666674</v>
      </c>
      <c r="AL53" s="1">
        <f t="shared" si="46"/>
        <v>38.015407986111114</v>
      </c>
      <c r="AM53" s="7">
        <f t="shared" si="47"/>
        <v>254.00770399305554</v>
      </c>
    </row>
    <row r="54" spans="1:42">
      <c r="A54" s="86" t="s">
        <v>81</v>
      </c>
      <c r="B54" s="64">
        <f>(B53/1000)/Rcs</f>
        <v>18.956597222222221</v>
      </c>
      <c r="C54" s="44" t="s">
        <v>4</v>
      </c>
      <c r="N54">
        <v>4.8000000000000001E-2</v>
      </c>
      <c r="O54">
        <f t="shared" si="27"/>
        <v>240</v>
      </c>
      <c r="P54" s="6">
        <f t="shared" si="28"/>
        <v>0.34857142857142853</v>
      </c>
      <c r="Q54" s="1">
        <f t="shared" si="29"/>
        <v>0.65142857142857147</v>
      </c>
      <c r="R54" s="1">
        <f t="shared" si="30"/>
        <v>33.114285714285714</v>
      </c>
      <c r="S54" s="7">
        <f t="shared" si="31"/>
        <v>256.55714285714288</v>
      </c>
      <c r="T54" s="6">
        <f t="shared" si="32"/>
        <v>0.25416666666666665</v>
      </c>
      <c r="U54" s="1">
        <f t="shared" si="33"/>
        <v>0.74583333333333335</v>
      </c>
      <c r="V54" s="1">
        <f t="shared" si="34"/>
        <v>37.913194444444436</v>
      </c>
      <c r="W54" s="7">
        <f t="shared" si="35"/>
        <v>258.95659722222223</v>
      </c>
      <c r="X54" s="6">
        <f t="shared" si="36"/>
        <v>0.21785714285714283</v>
      </c>
      <c r="Y54" s="1">
        <f t="shared" si="37"/>
        <v>0.78214285714285714</v>
      </c>
      <c r="Z54" s="1">
        <f t="shared" si="38"/>
        <v>39.758928571428562</v>
      </c>
      <c r="AA54" s="7">
        <f t="shared" si="39"/>
        <v>259.87946428571428</v>
      </c>
      <c r="AB54" s="6">
        <f t="shared" si="40"/>
        <v>0.25312499999999999</v>
      </c>
      <c r="AC54" s="1">
        <f t="shared" si="41"/>
        <v>0.74687499999999996</v>
      </c>
      <c r="AD54" s="1">
        <f t="shared" si="42"/>
        <v>37.810546875</v>
      </c>
      <c r="AE54" s="7">
        <f t="shared" si="43"/>
        <v>258.9052734375</v>
      </c>
      <c r="AF54" s="6">
        <f t="shared" si="17"/>
        <v>0.25416666666666665</v>
      </c>
      <c r="AG54" s="1">
        <f t="shared" si="18"/>
        <v>0.74583333333333335</v>
      </c>
      <c r="AH54" s="1">
        <f t="shared" si="25"/>
        <v>37.913194444444436</v>
      </c>
      <c r="AI54" s="7">
        <f t="shared" si="26"/>
        <v>258.95659722222223</v>
      </c>
      <c r="AJ54" s="6">
        <f t="shared" si="44"/>
        <v>0.25520833333333331</v>
      </c>
      <c r="AK54" s="1">
        <f t="shared" si="45"/>
        <v>0.74479166666666674</v>
      </c>
      <c r="AL54" s="1">
        <f t="shared" si="46"/>
        <v>38.015407986111114</v>
      </c>
      <c r="AM54" s="7">
        <f t="shared" si="47"/>
        <v>259.00770399305554</v>
      </c>
    </row>
    <row r="55" spans="1:42">
      <c r="A55" s="86" t="s">
        <v>383</v>
      </c>
      <c r="B55" s="64">
        <f>1-(V12_Nom/V48_Nom)</f>
        <v>0.74583333333333335</v>
      </c>
      <c r="C55" s="44"/>
      <c r="N55">
        <v>4.9000000000000002E-2</v>
      </c>
      <c r="O55">
        <f t="shared" si="27"/>
        <v>245</v>
      </c>
      <c r="P55" s="6">
        <f t="shared" si="28"/>
        <v>0.34857142857142853</v>
      </c>
      <c r="Q55" s="1">
        <f t="shared" si="29"/>
        <v>0.65142857142857147</v>
      </c>
      <c r="R55" s="1">
        <f t="shared" si="30"/>
        <v>33.114285714285714</v>
      </c>
      <c r="S55" s="7">
        <f t="shared" si="31"/>
        <v>261.55714285714288</v>
      </c>
      <c r="T55" s="6">
        <f t="shared" si="32"/>
        <v>0.25416666666666665</v>
      </c>
      <c r="U55" s="1">
        <f t="shared" si="33"/>
        <v>0.74583333333333335</v>
      </c>
      <c r="V55" s="1">
        <f t="shared" si="34"/>
        <v>37.913194444444436</v>
      </c>
      <c r="W55" s="7">
        <f t="shared" si="35"/>
        <v>263.95659722222223</v>
      </c>
      <c r="X55" s="6">
        <f t="shared" si="36"/>
        <v>0.21785714285714283</v>
      </c>
      <c r="Y55" s="1">
        <f t="shared" si="37"/>
        <v>0.78214285714285714</v>
      </c>
      <c r="Z55" s="1">
        <f t="shared" si="38"/>
        <v>39.758928571428562</v>
      </c>
      <c r="AA55" s="7">
        <f t="shared" si="39"/>
        <v>264.87946428571428</v>
      </c>
      <c r="AB55" s="6">
        <f t="shared" si="40"/>
        <v>0.25312499999999999</v>
      </c>
      <c r="AC55" s="1">
        <f t="shared" si="41"/>
        <v>0.74687499999999996</v>
      </c>
      <c r="AD55" s="1">
        <f t="shared" si="42"/>
        <v>37.810546875</v>
      </c>
      <c r="AE55" s="7">
        <f t="shared" si="43"/>
        <v>263.9052734375</v>
      </c>
      <c r="AF55" s="6">
        <f t="shared" si="17"/>
        <v>0.25416666666666665</v>
      </c>
      <c r="AG55" s="1">
        <f t="shared" si="18"/>
        <v>0.74583333333333335</v>
      </c>
      <c r="AH55" s="1">
        <f t="shared" si="25"/>
        <v>37.913194444444436</v>
      </c>
      <c r="AI55" s="7">
        <f t="shared" si="26"/>
        <v>263.95659722222223</v>
      </c>
      <c r="AJ55" s="6">
        <f t="shared" si="44"/>
        <v>0.25520833333333331</v>
      </c>
      <c r="AK55" s="1">
        <f t="shared" si="45"/>
        <v>0.74479166666666674</v>
      </c>
      <c r="AL55" s="1">
        <f t="shared" si="46"/>
        <v>38.015407986111114</v>
      </c>
      <c r="AM55" s="7">
        <f t="shared" si="47"/>
        <v>264.00770399305554</v>
      </c>
    </row>
    <row r="56" spans="1:42">
      <c r="A56" s="86" t="s">
        <v>380</v>
      </c>
      <c r="B56" s="63">
        <f>((V48_Nom-V12_Max)/(2*Lm*Fsw))*((V12_Max*Rcs)/V48_Nom)*1000</f>
        <v>3.8015407986111112</v>
      </c>
      <c r="C56" s="44" t="s">
        <v>72</v>
      </c>
      <c r="N56">
        <v>0.05</v>
      </c>
      <c r="O56">
        <f t="shared" si="27"/>
        <v>250</v>
      </c>
      <c r="P56" s="6">
        <f t="shared" si="28"/>
        <v>0.34857142857142853</v>
      </c>
      <c r="Q56" s="1">
        <f t="shared" si="29"/>
        <v>0.65142857142857147</v>
      </c>
      <c r="R56" s="1">
        <f t="shared" si="30"/>
        <v>33.114285714285714</v>
      </c>
      <c r="S56" s="7">
        <f t="shared" si="31"/>
        <v>266.55714285714288</v>
      </c>
      <c r="T56" s="6">
        <f t="shared" si="32"/>
        <v>0.25416666666666665</v>
      </c>
      <c r="U56" s="1">
        <f t="shared" si="33"/>
        <v>0.74583333333333335</v>
      </c>
      <c r="V56" s="1">
        <f t="shared" si="34"/>
        <v>37.913194444444436</v>
      </c>
      <c r="W56" s="7">
        <f t="shared" si="35"/>
        <v>268.95659722222223</v>
      </c>
      <c r="X56" s="6">
        <f t="shared" si="36"/>
        <v>0.21785714285714283</v>
      </c>
      <c r="Y56" s="1">
        <f t="shared" si="37"/>
        <v>0.78214285714285714</v>
      </c>
      <c r="Z56" s="1">
        <f t="shared" si="38"/>
        <v>39.758928571428562</v>
      </c>
      <c r="AA56" s="7">
        <f t="shared" si="39"/>
        <v>269.87946428571428</v>
      </c>
      <c r="AB56" s="6">
        <f t="shared" si="40"/>
        <v>0.25312499999999999</v>
      </c>
      <c r="AC56" s="1">
        <f t="shared" si="41"/>
        <v>0.74687499999999996</v>
      </c>
      <c r="AD56" s="1">
        <f t="shared" si="42"/>
        <v>37.810546875</v>
      </c>
      <c r="AE56" s="7">
        <f t="shared" si="43"/>
        <v>268.9052734375</v>
      </c>
      <c r="AF56" s="6">
        <f t="shared" si="17"/>
        <v>0.25416666666666665</v>
      </c>
      <c r="AG56" s="1">
        <f t="shared" si="18"/>
        <v>0.74583333333333335</v>
      </c>
      <c r="AH56" s="1">
        <f t="shared" si="25"/>
        <v>37.913194444444436</v>
      </c>
      <c r="AI56" s="7">
        <f t="shared" si="26"/>
        <v>268.95659722222223</v>
      </c>
      <c r="AJ56" s="6">
        <f t="shared" si="44"/>
        <v>0.25520833333333331</v>
      </c>
      <c r="AK56" s="1">
        <f t="shared" si="45"/>
        <v>0.74479166666666674</v>
      </c>
      <c r="AL56" s="1">
        <f t="shared" si="46"/>
        <v>38.015407986111114</v>
      </c>
      <c r="AM56" s="7">
        <f t="shared" si="47"/>
        <v>269.00770399305554</v>
      </c>
    </row>
    <row r="57" spans="1:42">
      <c r="A57" s="86" t="s">
        <v>379</v>
      </c>
      <c r="B57" s="64">
        <f>(B56/1000)/Rcs</f>
        <v>19.007703993055554</v>
      </c>
      <c r="C57" s="44" t="s">
        <v>4</v>
      </c>
      <c r="N57" s="21"/>
    </row>
    <row r="58" spans="1:42" ht="14.25" thickBot="1">
      <c r="A58" s="87" t="s">
        <v>383</v>
      </c>
      <c r="B58" s="57">
        <f>1-(V12_Max/V48_Nom)</f>
        <v>0.74479166666666674</v>
      </c>
      <c r="C58" s="88"/>
      <c r="N58" s="42"/>
      <c r="O58" s="42"/>
      <c r="P58" s="42" t="s">
        <v>79</v>
      </c>
      <c r="Q58" s="42"/>
      <c r="R58" s="42"/>
      <c r="S58" s="42"/>
      <c r="T58" s="42"/>
      <c r="U58" s="42"/>
      <c r="V58" s="42"/>
      <c r="W58" s="42"/>
      <c r="X58" s="42"/>
      <c r="Y58" s="42"/>
      <c r="Z58" s="42"/>
      <c r="AA58" s="42"/>
      <c r="AD58" s="212" t="s">
        <v>79</v>
      </c>
      <c r="AE58" s="212"/>
      <c r="AF58" s="212"/>
      <c r="AG58" s="212"/>
      <c r="AH58" s="212"/>
      <c r="AI58" s="212"/>
      <c r="AJ58" s="212"/>
      <c r="AK58" s="212"/>
      <c r="AL58" s="212"/>
      <c r="AM58" s="212"/>
      <c r="AN58" s="212"/>
      <c r="AO58" s="212"/>
    </row>
    <row r="59" spans="1:42" ht="14.25" thickBot="1">
      <c r="N59" s="42"/>
      <c r="O59" s="42"/>
      <c r="P59" s="43" t="s">
        <v>76</v>
      </c>
      <c r="Q59" s="43"/>
      <c r="R59" s="43"/>
      <c r="S59" s="43"/>
      <c r="T59" s="43" t="s">
        <v>77</v>
      </c>
      <c r="U59" s="43"/>
      <c r="V59" s="43"/>
      <c r="W59" s="43"/>
      <c r="X59" s="43" t="s">
        <v>78</v>
      </c>
      <c r="Y59" s="43"/>
      <c r="Z59" s="43"/>
      <c r="AA59" s="43"/>
      <c r="AC59" s="42"/>
      <c r="AD59" s="42"/>
      <c r="AE59" s="43" t="s">
        <v>108</v>
      </c>
      <c r="AF59" s="43"/>
      <c r="AG59" s="43"/>
      <c r="AH59" s="43"/>
      <c r="AI59" s="43" t="s">
        <v>109</v>
      </c>
      <c r="AJ59" s="43"/>
      <c r="AK59" s="43"/>
      <c r="AL59" s="43"/>
      <c r="AM59" s="43" t="s">
        <v>110</v>
      </c>
      <c r="AN59" s="43"/>
      <c r="AO59" s="43"/>
      <c r="AP59" s="43"/>
    </row>
    <row r="60" spans="1:42" ht="27.75" thickBot="1">
      <c r="N60" s="42"/>
      <c r="O60" s="42" t="s">
        <v>30</v>
      </c>
      <c r="P60" s="18" t="s">
        <v>15</v>
      </c>
      <c r="Q60" s="19" t="s">
        <v>14</v>
      </c>
      <c r="R60" s="19" t="s">
        <v>13</v>
      </c>
      <c r="S60" s="20" t="s">
        <v>12</v>
      </c>
      <c r="T60" s="18" t="s">
        <v>15</v>
      </c>
      <c r="U60" s="19" t="s">
        <v>14</v>
      </c>
      <c r="V60" s="19" t="s">
        <v>13</v>
      </c>
      <c r="W60" s="20" t="s">
        <v>12</v>
      </c>
      <c r="X60" s="18" t="s">
        <v>15</v>
      </c>
      <c r="Y60" s="19" t="s">
        <v>14</v>
      </c>
      <c r="Z60" s="19" t="s">
        <v>13</v>
      </c>
      <c r="AA60" s="20" t="s">
        <v>12</v>
      </c>
      <c r="AC60" s="42"/>
      <c r="AD60" s="42" t="s">
        <v>107</v>
      </c>
      <c r="AE60" s="18" t="s">
        <v>15</v>
      </c>
      <c r="AF60" s="19" t="s">
        <v>14</v>
      </c>
      <c r="AG60" s="19" t="s">
        <v>13</v>
      </c>
      <c r="AH60" s="20" t="s">
        <v>12</v>
      </c>
      <c r="AI60" s="18" t="s">
        <v>15</v>
      </c>
      <c r="AJ60" s="19" t="s">
        <v>14</v>
      </c>
      <c r="AK60" s="19" t="s">
        <v>13</v>
      </c>
      <c r="AL60" s="20" t="s">
        <v>12</v>
      </c>
      <c r="AM60" s="18" t="s">
        <v>15</v>
      </c>
      <c r="AN60" s="19" t="s">
        <v>14</v>
      </c>
      <c r="AO60" s="19" t="s">
        <v>13</v>
      </c>
      <c r="AP60" s="20" t="s">
        <v>12</v>
      </c>
    </row>
    <row r="61" spans="1:42">
      <c r="N61">
        <v>0</v>
      </c>
      <c r="O61">
        <f>V48_Min</f>
        <v>35</v>
      </c>
      <c r="P61" s="15">
        <f t="shared" ref="P61:P92" si="48">IF(I_Channel&lt;(($O61-V12_Min)*V12_Min)/((2*Lm*Fsw)*$O61),SQRT((2*I_Channel*Lm*Fsw*V12_Min)/($O61*($O61-V12_Min))),(V12_Min/$O61))</f>
        <v>0.34714285714285714</v>
      </c>
      <c r="Q61" s="16">
        <f t="shared" ref="Q61:Q92" si="49">IF(I_Channel&lt;(($O61-V12_Min)*V12_Min)/((2*Lm*Fsw)*$O61),SQRT((2*I_Channel*Lm*Fsw*V12_Min)/($O61*($O61-V12_Min)))*(($O61-V12_Min)/(V12_Min)),1-(V12_Min/$O61))</f>
        <v>0.6528571428571428</v>
      </c>
      <c r="R61" s="16">
        <f t="shared" ref="R61:R92" si="50">IF(I_Channel&lt;(($O61-V12_Min)*V12_Min)/((2*Lm*Fsw)*$O61),(P61/(Fsw*Lm))*($O61-V12_Min),((P61/(Fsw*Lm))*($O61-V12_Min)))</f>
        <v>33.050892857142856</v>
      </c>
      <c r="S61" s="17">
        <f t="shared" ref="S61:S92" si="51">IF(I_Channel&lt;(($O61-V12_Min)*V12_Min)/((2*Lm*Fsw)*$O61),(P61/(Fsw*Lm))*($O61-V12_Min),(R61/2)+I_Channel)</f>
        <v>266.5254464285714</v>
      </c>
      <c r="T61" s="15">
        <f t="shared" ref="T61:T92" si="52">IF(I_Channel&lt;(($O61-V12_Nom)*V12_Nom)/((2*Lm*Fsw)*$O61),SQRT((2*I_Channel*Lm*Fsw*V12_Nom)/($O61*($O61-V12_Nom))),(V12_Nom/$O61))</f>
        <v>0.34857142857142853</v>
      </c>
      <c r="U61" s="16">
        <f t="shared" ref="U61:U92" si="53">IF(I_Channel&lt;(($O61-V12_Nom)*V12_Nom)/((2*Lm*Fsw)*$O61),SQRT((2*I_Channel*Lm*Fsw*V12_Nom)/($O61*($O61-V12_Nom)))*(($O61-V12_Nom)/(V12_Nom)),1-(V12_Nom/$O61))</f>
        <v>0.65142857142857147</v>
      </c>
      <c r="V61" s="16">
        <f t="shared" ref="V61:V92" si="54">IF(I_Channel&lt;(($O61-V12_Nom)*V12_Nom)/((2*Lm*Fsw)*$O61),(T61/(Fsw*Lm))*($O61-V12_Nom),((T61/(Fsw*Lm))*($O61-V12_Nom)))</f>
        <v>33.114285714285714</v>
      </c>
      <c r="W61" s="17">
        <f t="shared" ref="W61:W92" si="55">IF(I_Channel&lt;(($O61-V12_Nom)*V12_Nom)/((2*Lm*Fsw)*$O61),(T61/(Fsw*Lm))*($O61-V12_Nom),(V61/2)+I_Channel)</f>
        <v>266.55714285714288</v>
      </c>
      <c r="X61" s="15">
        <f t="shared" ref="X61:X92" si="56">IF(I_Channel&lt;(($O61-V12_Max)*V12_Max)/((2*Lm*Fsw)*$O61),SQRT((2*I_Channel*Lm*Fsw*V12_Max)/($O61*($O61-V12_Max))),(V12_Max/$O61))</f>
        <v>0.35</v>
      </c>
      <c r="Y61" s="16">
        <f t="shared" ref="Y61:Y92" si="57">IF(I_Channel&lt;(($O61-V12_Max)*V12_Max)/((2*Lm*Fsw)*$O61),SQRT((2*I_Channel*Lm*Fsw*V12_Max)/($O61*($O61-V12_Max)))*(($O61-V12_Max)/(V12_Max)),1-(V12_Max/$O61))</f>
        <v>0.65</v>
      </c>
      <c r="Z61" s="16">
        <f t="shared" ref="Z61:Z92" si="58">IF(I_Channel&lt;(($O61-V12_Max)*V12_Max)/((2*Lm*Fsw)*$O61),(X61/(Fsw*Lm))*($O61-V12_Max),((X61/(Fsw*Lm))*($O61-V12_Max)))</f>
        <v>33.177083333333329</v>
      </c>
      <c r="AA61" s="17">
        <f t="shared" ref="AA61:AA92" si="59">IF(I_Channel&lt;(($O61-V12_Max)*V12_Max)/((2*Lm*Fsw)*$O61),(X61/(Fsw*Lm))*($O61-V12_Max),(Z61/2)+I_Channel)</f>
        <v>266.58854166666669</v>
      </c>
      <c r="AC61">
        <v>0</v>
      </c>
      <c r="AD61">
        <f>V12_Min</f>
        <v>12.15</v>
      </c>
      <c r="AE61" s="15">
        <f t="shared" ref="AE61:AE92" si="60">IF(I_Channel&lt;((V48_Min-$AD61)*$AD61)/((2*Lm*Fsw)*V48_Min),SQRT((2*I_Channel*Lm*Fsw*$AD61)/(V48_Min*(V48_Min-$AD61))),($AD61/V48_Min))</f>
        <v>0.34714285714285714</v>
      </c>
      <c r="AF61" s="16">
        <f t="shared" ref="AF61:AF92" si="61">IF(I_Channel&lt;((V48_Min-$AD61)*$AD61)/((2*Lm*Fsw)*V48_Min),SQRT((2*I_Channel*Lm*Fsw*$AD61)/(V48_Min*(V48_Min-$AD61)))*((V48_Min-$AD61)/($AD61)),1-($AD61/V48_Min))</f>
        <v>0.6528571428571428</v>
      </c>
      <c r="AG61" s="16">
        <f t="shared" ref="AG61:AG92" si="62">IF(I_Channel&lt;((V48_Min-$AD61)*$AD61)/((2*Lm*Fsw)*V48_Min),(AE61/(Fsw*Lm))*(V48_Min-$AD61),((AE61/(Fsw*Lm))*(V48_Min-$AD61)))</f>
        <v>33.050892857142856</v>
      </c>
      <c r="AH61" s="17">
        <f t="shared" ref="AH61:AH92" si="63">IF(I_Channel&lt;((V48_Min-$AD61)*$AD61)/((2*Lm*Fsw)*V48_Min),(AE61/(Fsw*Lm))*(V48_Min-$AD61),(AG61/2)+I_Channel)</f>
        <v>266.5254464285714</v>
      </c>
      <c r="AI61" s="15">
        <f t="shared" ref="AI61:AI92" si="64">IF(I_Channel&lt;((V48_Nom-$AD61)*$AD61)/((2*Lm*Fsw)*V48_Nom),SQRT((2*I_Channel*Lm*Fsw*$AD61)/(V48_Nom*(V48_Nom-$AD61))),($AD61/V48_Nom))</f>
        <v>0.25312499999999999</v>
      </c>
      <c r="AJ61" s="16">
        <f t="shared" ref="AJ61:AJ92" si="65">IF(I_Channel&lt;((V48_Nom-$AD61)*$AD61)/((2*Lm*Fsw)*V48_Nom),SQRT((2*I_Channel*Lm*Fsw*$AD61)/(V48_Nom*(V48_Nom-$AD61)))*((V48_Nom-$AD61)/($AD61)),1-($AD61/V48_Nom))</f>
        <v>0.74687499999999996</v>
      </c>
      <c r="AK61" s="16">
        <f t="shared" ref="AK61:AK92" si="66">IF(I_Channel&lt;((V48_Nom-$AD61)*$AD61)/((2*Lm*Fsw)*V48_Nom),(AI61/(Fsw*Lm))*(V48_Nom-$AD61),((AI61/(Fsw*Lm))*(V48_Nom-$AD61)))</f>
        <v>37.810546875</v>
      </c>
      <c r="AL61" s="17">
        <f t="shared" ref="AL61:AL92" si="67">IF(I_Channel&lt;((V48_Nom-$AD61)*$AD61)/((2*Lm*Fsw)*V48_Nom),(AI61/(Fsw*Lm))*(V48_Nom-$AD61),(AK61/2)+I_Channel)</f>
        <v>268.9052734375</v>
      </c>
      <c r="AM61" s="15">
        <f t="shared" ref="AM61:AM92" si="68">IF(I_Channel&lt;((V48_Max-$AD61)*$AD61)/((2*Lm*Fsw)*V48_Max),SQRT((2*I_Channel*Lm*Fsw*$AD61)/(V48_Max*(V48_Max-$AD61))),($AD61/V48_Max))</f>
        <v>0.21696428571428572</v>
      </c>
      <c r="AN61" s="16">
        <f t="shared" ref="AN61:AN92" si="69">IF(I_Channel&lt;((V48_Max-$AD61)*$AD61)/((2*Lm*Fsw)*V48_Max),SQRT((2*I_Channel*Lm*Fsw*$AD61)/(V48_Max*(V48_Max-$AD61)))*((V48_Max-$AD61)/($AD61)),1-($AD61/V48_Max))</f>
        <v>0.78303571428571428</v>
      </c>
      <c r="AO61" s="16">
        <f t="shared" ref="AO61:AO92" si="70">IF(I_Channel&lt;((V48_Max-$AD61)*$AD61)/((2*Lm*Fsw)*V48_Max),(AM61/(Fsw*Lm))*(V48_Max-$AD61),((AM61/(Fsw*Lm))*(V48_Max-$AD61)))</f>
        <v>39.641183035714292</v>
      </c>
      <c r="AP61" s="17">
        <f t="shared" ref="AP61:AP92" si="71">IF(I_Channel&lt;((V48_Max-$AD61)*$AD61)/((2*Lm*Fsw)*V48_Max),(AM61/(Fsw*Lm))*(V48_Max-$AD61),(AO61/2)+I_Channel)</f>
        <v>269.82059151785717</v>
      </c>
    </row>
    <row r="62" spans="1:42">
      <c r="N62">
        <v>1</v>
      </c>
      <c r="O62">
        <f t="shared" ref="O62:O93" si="72">((V48_Max-V48_Min)/50)*N62+V48_Min</f>
        <v>35.42</v>
      </c>
      <c r="P62" s="15">
        <f t="shared" si="48"/>
        <v>0.34302653867871258</v>
      </c>
      <c r="Q62" s="16">
        <f t="shared" si="49"/>
        <v>0.65697346132128742</v>
      </c>
      <c r="R62" s="16">
        <f t="shared" si="50"/>
        <v>33.259281479390182</v>
      </c>
      <c r="S62" s="17">
        <f t="shared" si="51"/>
        <v>266.62964073969511</v>
      </c>
      <c r="T62" s="15">
        <f t="shared" si="52"/>
        <v>0.34443817052512699</v>
      </c>
      <c r="U62" s="16">
        <f t="shared" si="53"/>
        <v>0.65556182947487307</v>
      </c>
      <c r="V62" s="16">
        <f t="shared" si="54"/>
        <v>33.324392998306038</v>
      </c>
      <c r="W62" s="17">
        <f t="shared" si="55"/>
        <v>266.66219649915303</v>
      </c>
      <c r="X62" s="15">
        <f t="shared" si="56"/>
        <v>0.3458498023715415</v>
      </c>
      <c r="Y62" s="16">
        <f t="shared" si="57"/>
        <v>0.6541501976284585</v>
      </c>
      <c r="Z62" s="16">
        <f t="shared" si="58"/>
        <v>33.388916337285906</v>
      </c>
      <c r="AA62" s="17">
        <f t="shared" si="59"/>
        <v>266.69445816864294</v>
      </c>
      <c r="AC62">
        <v>1</v>
      </c>
      <c r="AD62">
        <f t="shared" ref="AD62:AD93" si="73">((V12_Max-V12_Min)/50)*AC62+V12_Min</f>
        <v>12.152000000000001</v>
      </c>
      <c r="AE62" s="15">
        <f t="shared" si="60"/>
        <v>0.34720000000000001</v>
      </c>
      <c r="AF62" s="16">
        <f t="shared" si="61"/>
        <v>0.65280000000000005</v>
      </c>
      <c r="AG62" s="16">
        <f t="shared" si="62"/>
        <v>33.053440000000002</v>
      </c>
      <c r="AH62" s="17">
        <f t="shared" si="63"/>
        <v>266.52672000000001</v>
      </c>
      <c r="AI62" s="15">
        <f t="shared" si="64"/>
        <v>0.25316666666666671</v>
      </c>
      <c r="AJ62" s="16">
        <f t="shared" si="65"/>
        <v>0.74683333333333324</v>
      </c>
      <c r="AK62" s="16">
        <f t="shared" si="66"/>
        <v>37.814661111111114</v>
      </c>
      <c r="AL62" s="17">
        <f t="shared" si="67"/>
        <v>268.90733055555557</v>
      </c>
      <c r="AM62" s="15">
        <f t="shared" si="68"/>
        <v>0.21700000000000003</v>
      </c>
      <c r="AN62" s="16">
        <f t="shared" si="69"/>
        <v>0.78299999999999992</v>
      </c>
      <c r="AO62" s="16">
        <f t="shared" si="70"/>
        <v>39.645900000000005</v>
      </c>
      <c r="AP62" s="17">
        <f t="shared" si="71"/>
        <v>269.82294999999999</v>
      </c>
    </row>
    <row r="63" spans="1:42">
      <c r="A63" s="206" t="s">
        <v>73</v>
      </c>
      <c r="B63" s="207"/>
      <c r="C63" s="208"/>
      <c r="E63" s="72" t="s">
        <v>152</v>
      </c>
      <c r="N63">
        <v>2</v>
      </c>
      <c r="O63">
        <f t="shared" si="72"/>
        <v>35.840000000000003</v>
      </c>
      <c r="P63" s="15">
        <f t="shared" si="48"/>
        <v>0.3390066964285714</v>
      </c>
      <c r="Q63" s="16">
        <f t="shared" si="49"/>
        <v>0.6609933035714286</v>
      </c>
      <c r="R63" s="16">
        <f t="shared" si="50"/>
        <v>33.462785993303577</v>
      </c>
      <c r="S63" s="17">
        <f t="shared" si="51"/>
        <v>266.73139299665178</v>
      </c>
      <c r="T63" s="15">
        <f t="shared" si="52"/>
        <v>0.34040178571428564</v>
      </c>
      <c r="U63" s="16">
        <f t="shared" si="53"/>
        <v>0.65959821428571441</v>
      </c>
      <c r="V63" s="16">
        <f t="shared" si="54"/>
        <v>33.529575892857139</v>
      </c>
      <c r="W63" s="17">
        <f t="shared" si="55"/>
        <v>266.76478794642856</v>
      </c>
      <c r="X63" s="15">
        <f t="shared" si="56"/>
        <v>0.34179687499999994</v>
      </c>
      <c r="Y63" s="16">
        <f t="shared" si="57"/>
        <v>0.658203125</v>
      </c>
      <c r="Z63" s="16">
        <f t="shared" si="58"/>
        <v>33.595784505208336</v>
      </c>
      <c r="AA63" s="17">
        <f t="shared" si="59"/>
        <v>266.79789225260419</v>
      </c>
      <c r="AC63">
        <v>2</v>
      </c>
      <c r="AD63">
        <f t="shared" si="73"/>
        <v>12.154</v>
      </c>
      <c r="AE63" s="15">
        <f t="shared" si="60"/>
        <v>0.34725714285714288</v>
      </c>
      <c r="AF63" s="16">
        <f t="shared" si="61"/>
        <v>0.65274285714285707</v>
      </c>
      <c r="AG63" s="16">
        <f t="shared" si="62"/>
        <v>33.055986190476197</v>
      </c>
      <c r="AH63" s="17">
        <f t="shared" si="63"/>
        <v>266.52799309523812</v>
      </c>
      <c r="AI63" s="15">
        <f t="shared" si="64"/>
        <v>0.25320833333333331</v>
      </c>
      <c r="AJ63" s="16">
        <f t="shared" si="65"/>
        <v>0.74679166666666674</v>
      </c>
      <c r="AK63" s="16">
        <f t="shared" si="66"/>
        <v>37.818774652777783</v>
      </c>
      <c r="AL63" s="17">
        <f t="shared" si="67"/>
        <v>268.90938732638887</v>
      </c>
      <c r="AM63" s="15">
        <f t="shared" si="68"/>
        <v>0.21703571428571428</v>
      </c>
      <c r="AN63" s="16">
        <f t="shared" si="69"/>
        <v>0.78296428571428578</v>
      </c>
      <c r="AO63" s="16">
        <f t="shared" si="70"/>
        <v>39.650616369047619</v>
      </c>
      <c r="AP63" s="17">
        <f t="shared" si="71"/>
        <v>269.82530818452381</v>
      </c>
    </row>
    <row r="64" spans="1:42">
      <c r="A64" s="33" t="s">
        <v>71</v>
      </c>
      <c r="B64" s="64">
        <f>IF(V48_Max/2&gt;V12_Nom,((V48_Max-V12_Nom)*(V12_Nom/V48_Max))/(Lm*Fsw),((V48_Max-(V48_Max/2))*(V12_Nom/V48_Max))/(Lm*Fsw))</f>
        <v>39.758928571428562</v>
      </c>
      <c r="C64" s="33" t="s">
        <v>4</v>
      </c>
      <c r="E64" s="36" t="s">
        <v>194</v>
      </c>
      <c r="N64">
        <v>3</v>
      </c>
      <c r="O64">
        <f t="shared" si="72"/>
        <v>36.26</v>
      </c>
      <c r="P64" s="15">
        <f t="shared" si="48"/>
        <v>0.3350799779371208</v>
      </c>
      <c r="Q64" s="16">
        <f t="shared" si="49"/>
        <v>0.66492002206287926</v>
      </c>
      <c r="R64" s="16">
        <f t="shared" si="50"/>
        <v>33.661576116933261</v>
      </c>
      <c r="S64" s="17">
        <f t="shared" si="51"/>
        <v>266.83078805846662</v>
      </c>
      <c r="T64" s="15">
        <f t="shared" si="52"/>
        <v>0.33645890788747934</v>
      </c>
      <c r="U64" s="16">
        <f t="shared" si="53"/>
        <v>0.66354109211252066</v>
      </c>
      <c r="V64" s="16">
        <f t="shared" si="54"/>
        <v>33.730005515719803</v>
      </c>
      <c r="W64" s="17">
        <f t="shared" si="55"/>
        <v>266.86500275785988</v>
      </c>
      <c r="X64" s="15">
        <f t="shared" si="56"/>
        <v>0.33783783783783783</v>
      </c>
      <c r="Y64" s="16">
        <f t="shared" si="57"/>
        <v>0.66216216216216217</v>
      </c>
      <c r="Z64" s="16">
        <f t="shared" si="58"/>
        <v>33.797860360360353</v>
      </c>
      <c r="AA64" s="17">
        <f t="shared" si="59"/>
        <v>266.89893018018017</v>
      </c>
      <c r="AC64">
        <v>3</v>
      </c>
      <c r="AD64">
        <f t="shared" si="73"/>
        <v>12.156000000000001</v>
      </c>
      <c r="AE64" s="15">
        <f t="shared" si="60"/>
        <v>0.34731428571428574</v>
      </c>
      <c r="AF64" s="16">
        <f t="shared" si="61"/>
        <v>0.65268571428571431</v>
      </c>
      <c r="AG64" s="16">
        <f t="shared" si="62"/>
        <v>33.058531428571435</v>
      </c>
      <c r="AH64" s="17">
        <f t="shared" si="63"/>
        <v>266.52926571428571</v>
      </c>
      <c r="AI64" s="15">
        <f t="shared" si="64"/>
        <v>0.25325000000000003</v>
      </c>
      <c r="AJ64" s="16">
        <f t="shared" si="65"/>
        <v>0.74675000000000002</v>
      </c>
      <c r="AK64" s="16">
        <f t="shared" si="66"/>
        <v>37.822887500000007</v>
      </c>
      <c r="AL64" s="17">
        <f t="shared" si="67"/>
        <v>268.91144374999999</v>
      </c>
      <c r="AM64" s="15">
        <f t="shared" si="68"/>
        <v>0.21707142857142858</v>
      </c>
      <c r="AN64" s="16">
        <f t="shared" si="69"/>
        <v>0.78292857142857142</v>
      </c>
      <c r="AO64" s="16">
        <f t="shared" si="70"/>
        <v>39.655332142857148</v>
      </c>
      <c r="AP64" s="17">
        <f t="shared" si="71"/>
        <v>269.82766607142855</v>
      </c>
    </row>
    <row r="65" spans="1:42">
      <c r="A65" s="33" t="s">
        <v>204</v>
      </c>
      <c r="B65" s="65">
        <f>(B64/2)+B25</f>
        <v>107.37946428571428</v>
      </c>
      <c r="C65" s="33" t="s">
        <v>4</v>
      </c>
      <c r="E65" s="36" t="s">
        <v>203</v>
      </c>
      <c r="N65">
        <v>4</v>
      </c>
      <c r="O65">
        <f t="shared" si="72"/>
        <v>36.68</v>
      </c>
      <c r="P65" s="15">
        <f t="shared" si="48"/>
        <v>0.33124318429661942</v>
      </c>
      <c r="Q65" s="16">
        <f t="shared" si="49"/>
        <v>0.66875681570338052</v>
      </c>
      <c r="R65" s="16">
        <f t="shared" si="50"/>
        <v>33.855813794983646</v>
      </c>
      <c r="S65" s="17">
        <f t="shared" si="51"/>
        <v>266.92790689749182</v>
      </c>
      <c r="T65" s="15">
        <f t="shared" si="52"/>
        <v>0.33260632497273718</v>
      </c>
      <c r="U65" s="16">
        <f t="shared" si="53"/>
        <v>0.66739367502726288</v>
      </c>
      <c r="V65" s="16">
        <f t="shared" si="54"/>
        <v>33.925845147219192</v>
      </c>
      <c r="W65" s="17">
        <f t="shared" si="55"/>
        <v>266.9629225736096</v>
      </c>
      <c r="X65" s="15">
        <f t="shared" si="56"/>
        <v>0.33396946564885499</v>
      </c>
      <c r="Y65" s="16">
        <f t="shared" si="57"/>
        <v>0.66603053435114501</v>
      </c>
      <c r="Z65" s="16">
        <f t="shared" si="58"/>
        <v>33.995308524173034</v>
      </c>
      <c r="AA65" s="17">
        <f t="shared" si="59"/>
        <v>266.99765426208654</v>
      </c>
      <c r="AC65">
        <v>4</v>
      </c>
      <c r="AD65">
        <f t="shared" si="73"/>
        <v>12.157999999999999</v>
      </c>
      <c r="AE65" s="15">
        <f t="shared" si="60"/>
        <v>0.34737142857142855</v>
      </c>
      <c r="AF65" s="16">
        <f t="shared" si="61"/>
        <v>0.65262857142857145</v>
      </c>
      <c r="AG65" s="16">
        <f t="shared" si="62"/>
        <v>33.061075714285714</v>
      </c>
      <c r="AH65" s="17">
        <f t="shared" si="63"/>
        <v>266.53053785714286</v>
      </c>
      <c r="AI65" s="15">
        <f t="shared" si="64"/>
        <v>0.25329166666666664</v>
      </c>
      <c r="AJ65" s="16">
        <f t="shared" si="65"/>
        <v>0.74670833333333331</v>
      </c>
      <c r="AK65" s="16">
        <f t="shared" si="66"/>
        <v>37.826999652777772</v>
      </c>
      <c r="AL65" s="17">
        <f t="shared" si="67"/>
        <v>268.91349982638889</v>
      </c>
      <c r="AM65" s="15">
        <f t="shared" si="68"/>
        <v>0.21710714285714286</v>
      </c>
      <c r="AN65" s="16">
        <f t="shared" si="69"/>
        <v>0.78289285714285717</v>
      </c>
      <c r="AO65" s="16">
        <f t="shared" si="70"/>
        <v>39.660047321428571</v>
      </c>
      <c r="AP65" s="17">
        <f t="shared" si="71"/>
        <v>269.83002366071429</v>
      </c>
    </row>
    <row r="66" spans="1:42">
      <c r="A66" s="36" t="s">
        <v>288</v>
      </c>
      <c r="B66" s="71">
        <f>Design_Converter!B44</f>
        <v>5</v>
      </c>
      <c r="C66" s="36" t="s">
        <v>26</v>
      </c>
      <c r="N66">
        <v>5</v>
      </c>
      <c r="O66">
        <f t="shared" si="72"/>
        <v>37.1</v>
      </c>
      <c r="P66" s="15">
        <f t="shared" si="48"/>
        <v>0.3274932614555256</v>
      </c>
      <c r="Q66" s="16">
        <f t="shared" si="49"/>
        <v>0.6725067385444744</v>
      </c>
      <c r="R66" s="16">
        <f t="shared" si="50"/>
        <v>34.045653638814024</v>
      </c>
      <c r="S66" s="17">
        <f t="shared" si="51"/>
        <v>267.02282681940699</v>
      </c>
      <c r="T66" s="15">
        <f t="shared" si="52"/>
        <v>0.32884097035040427</v>
      </c>
      <c r="U66" s="16">
        <f t="shared" si="53"/>
        <v>0.67115902964959573</v>
      </c>
      <c r="V66" s="16">
        <f t="shared" si="54"/>
        <v>34.117250673854443</v>
      </c>
      <c r="W66" s="17">
        <f t="shared" si="55"/>
        <v>267.05862533692721</v>
      </c>
      <c r="X66" s="15">
        <f t="shared" si="56"/>
        <v>0.330188679245283</v>
      </c>
      <c r="Y66" s="16">
        <f t="shared" si="57"/>
        <v>0.66981132075471694</v>
      </c>
      <c r="Z66" s="16">
        <f t="shared" si="58"/>
        <v>34.188286163522015</v>
      </c>
      <c r="AA66" s="17">
        <f t="shared" si="59"/>
        <v>267.09414308176099</v>
      </c>
      <c r="AC66">
        <v>5</v>
      </c>
      <c r="AD66">
        <f t="shared" si="73"/>
        <v>12.16</v>
      </c>
      <c r="AE66" s="15">
        <f t="shared" si="60"/>
        <v>0.34742857142857142</v>
      </c>
      <c r="AF66" s="16">
        <f t="shared" si="61"/>
        <v>0.65257142857142858</v>
      </c>
      <c r="AG66" s="16">
        <f t="shared" si="62"/>
        <v>33.063619047619049</v>
      </c>
      <c r="AH66" s="17">
        <f t="shared" si="63"/>
        <v>266.5318095238095</v>
      </c>
      <c r="AI66" s="15">
        <f t="shared" si="64"/>
        <v>0.25333333333333335</v>
      </c>
      <c r="AJ66" s="16">
        <f t="shared" si="65"/>
        <v>0.74666666666666659</v>
      </c>
      <c r="AK66" s="16">
        <f t="shared" si="66"/>
        <v>37.831111111111113</v>
      </c>
      <c r="AL66" s="17">
        <f t="shared" si="67"/>
        <v>268.91555555555556</v>
      </c>
      <c r="AM66" s="15">
        <f t="shared" si="68"/>
        <v>0.21714285714285714</v>
      </c>
      <c r="AN66" s="16">
        <f t="shared" si="69"/>
        <v>0.78285714285714292</v>
      </c>
      <c r="AO66" s="16">
        <f t="shared" si="70"/>
        <v>39.66476190476191</v>
      </c>
      <c r="AP66" s="17">
        <f t="shared" si="71"/>
        <v>269.83238095238096</v>
      </c>
    </row>
    <row r="67" spans="1:42">
      <c r="A67" s="33" t="s">
        <v>205</v>
      </c>
      <c r="B67" s="61">
        <f>I_Channel_Peak_No_Ilimit*(1+(B66/100))</f>
        <v>112.74843749999999</v>
      </c>
      <c r="C67" s="33" t="s">
        <v>4</v>
      </c>
      <c r="E67" s="36" t="s">
        <v>153</v>
      </c>
      <c r="N67">
        <v>6</v>
      </c>
      <c r="O67">
        <f t="shared" si="72"/>
        <v>37.520000000000003</v>
      </c>
      <c r="P67" s="15">
        <f t="shared" si="48"/>
        <v>0.32382729211087419</v>
      </c>
      <c r="Q67" s="16">
        <f t="shared" si="49"/>
        <v>0.67617270788912576</v>
      </c>
      <c r="R67" s="16">
        <f t="shared" si="50"/>
        <v>34.231243336886997</v>
      </c>
      <c r="S67" s="17">
        <f t="shared" si="51"/>
        <v>267.11562166844351</v>
      </c>
      <c r="T67" s="15">
        <f t="shared" si="52"/>
        <v>0.3251599147121535</v>
      </c>
      <c r="U67" s="16">
        <f t="shared" si="53"/>
        <v>0.67484008528784645</v>
      </c>
      <c r="V67" s="16">
        <f t="shared" si="54"/>
        <v>34.3043710021322</v>
      </c>
      <c r="W67" s="17">
        <f t="shared" si="55"/>
        <v>267.15218550106613</v>
      </c>
      <c r="X67" s="15">
        <f t="shared" si="56"/>
        <v>0.32649253731343281</v>
      </c>
      <c r="Y67" s="16">
        <f t="shared" si="57"/>
        <v>0.67350746268656714</v>
      </c>
      <c r="Z67" s="16">
        <f t="shared" si="58"/>
        <v>34.376943407960205</v>
      </c>
      <c r="AA67" s="17">
        <f t="shared" si="59"/>
        <v>267.1884717039801</v>
      </c>
      <c r="AC67">
        <v>6</v>
      </c>
      <c r="AD67">
        <f t="shared" si="73"/>
        <v>12.162000000000001</v>
      </c>
      <c r="AE67" s="15">
        <f t="shared" si="60"/>
        <v>0.34748571428571429</v>
      </c>
      <c r="AF67" s="16">
        <f t="shared" si="61"/>
        <v>0.65251428571428571</v>
      </c>
      <c r="AG67" s="16">
        <f t="shared" si="62"/>
        <v>33.066161428571434</v>
      </c>
      <c r="AH67" s="17">
        <f t="shared" si="63"/>
        <v>266.53308071428569</v>
      </c>
      <c r="AI67" s="15">
        <f t="shared" si="64"/>
        <v>0.25337500000000002</v>
      </c>
      <c r="AJ67" s="16">
        <f t="shared" si="65"/>
        <v>0.74662499999999998</v>
      </c>
      <c r="AK67" s="16">
        <f t="shared" si="66"/>
        <v>37.835221875000009</v>
      </c>
      <c r="AL67" s="17">
        <f t="shared" si="67"/>
        <v>268.9176109375</v>
      </c>
      <c r="AM67" s="15">
        <f t="shared" si="68"/>
        <v>0.21717857142857144</v>
      </c>
      <c r="AN67" s="16">
        <f t="shared" si="69"/>
        <v>0.78282142857142856</v>
      </c>
      <c r="AO67" s="16">
        <f t="shared" si="70"/>
        <v>39.669475892857143</v>
      </c>
      <c r="AP67" s="17">
        <f t="shared" si="71"/>
        <v>269.83473794642856</v>
      </c>
    </row>
    <row r="68" spans="1:42" ht="15">
      <c r="A68" s="33" t="s">
        <v>206</v>
      </c>
      <c r="B68" s="61">
        <f>((Rcs*I_Channel_Peak_Select))/(Constants!C22*1000)</f>
        <v>20.499715909090906</v>
      </c>
      <c r="C68" s="75" t="s">
        <v>104</v>
      </c>
      <c r="E68" s="36" t="s">
        <v>155</v>
      </c>
      <c r="N68">
        <v>7</v>
      </c>
      <c r="O68">
        <f t="shared" si="72"/>
        <v>37.94</v>
      </c>
      <c r="P68" s="15">
        <f t="shared" si="48"/>
        <v>0.32024248813916711</v>
      </c>
      <c r="Q68" s="16">
        <f t="shared" si="49"/>
        <v>0.67975751186083289</v>
      </c>
      <c r="R68" s="16">
        <f t="shared" si="50"/>
        <v>34.412724037954668</v>
      </c>
      <c r="S68" s="17">
        <f t="shared" si="51"/>
        <v>267.20636201897736</v>
      </c>
      <c r="T68" s="15">
        <f t="shared" si="52"/>
        <v>0.32156035846072745</v>
      </c>
      <c r="U68" s="16">
        <f t="shared" si="53"/>
        <v>0.67843964153927261</v>
      </c>
      <c r="V68" s="16">
        <f t="shared" si="54"/>
        <v>34.487348444913017</v>
      </c>
      <c r="W68" s="17">
        <f t="shared" si="55"/>
        <v>267.24367422245649</v>
      </c>
      <c r="X68" s="15">
        <f t="shared" si="56"/>
        <v>0.32287822878228783</v>
      </c>
      <c r="Y68" s="16">
        <f t="shared" si="57"/>
        <v>0.67712177121771222</v>
      </c>
      <c r="Z68" s="16">
        <f t="shared" si="58"/>
        <v>34.561423739237391</v>
      </c>
      <c r="AA68" s="17">
        <f t="shared" si="59"/>
        <v>267.2807118696187</v>
      </c>
      <c r="AC68">
        <v>7</v>
      </c>
      <c r="AD68">
        <f t="shared" si="73"/>
        <v>12.164</v>
      </c>
      <c r="AE68" s="15">
        <f t="shared" si="60"/>
        <v>0.34754285714285715</v>
      </c>
      <c r="AF68" s="16">
        <f t="shared" si="61"/>
        <v>0.65245714285714285</v>
      </c>
      <c r="AG68" s="16">
        <f t="shared" si="62"/>
        <v>33.068702857142853</v>
      </c>
      <c r="AH68" s="17">
        <f t="shared" si="63"/>
        <v>266.53435142857143</v>
      </c>
      <c r="AI68" s="15">
        <f t="shared" si="64"/>
        <v>0.25341666666666668</v>
      </c>
      <c r="AJ68" s="16">
        <f t="shared" si="65"/>
        <v>0.74658333333333338</v>
      </c>
      <c r="AK68" s="16">
        <f t="shared" si="66"/>
        <v>37.839331944444446</v>
      </c>
      <c r="AL68" s="17">
        <f t="shared" si="67"/>
        <v>268.91966597222222</v>
      </c>
      <c r="AM68" s="15">
        <f t="shared" si="68"/>
        <v>0.21721428571428572</v>
      </c>
      <c r="AN68" s="16">
        <f t="shared" si="69"/>
        <v>0.78278571428571431</v>
      </c>
      <c r="AO68" s="16">
        <f t="shared" si="70"/>
        <v>39.674189285714291</v>
      </c>
      <c r="AP68" s="17">
        <f t="shared" si="71"/>
        <v>269.83709464285715</v>
      </c>
    </row>
    <row r="69" spans="1:42" ht="15">
      <c r="A69" s="33" t="s">
        <v>190</v>
      </c>
      <c r="B69" s="67">
        <f>Design_Converter!B47</f>
        <v>47.5</v>
      </c>
      <c r="C69" s="75" t="s">
        <v>104</v>
      </c>
      <c r="N69">
        <v>8</v>
      </c>
      <c r="O69">
        <f t="shared" si="72"/>
        <v>38.36</v>
      </c>
      <c r="P69" s="15">
        <f t="shared" si="48"/>
        <v>0.31673618352450472</v>
      </c>
      <c r="Q69" s="16">
        <f t="shared" si="49"/>
        <v>0.68326381647549528</v>
      </c>
      <c r="R69" s="16">
        <f t="shared" si="50"/>
        <v>34.590230709071953</v>
      </c>
      <c r="S69" s="17">
        <f t="shared" si="51"/>
        <v>267.29511535453599</v>
      </c>
      <c r="T69" s="15">
        <f t="shared" si="52"/>
        <v>0.31803962460896767</v>
      </c>
      <c r="U69" s="16">
        <f t="shared" si="53"/>
        <v>0.68196037539103238</v>
      </c>
      <c r="V69" s="16">
        <f t="shared" si="54"/>
        <v>34.666319082377477</v>
      </c>
      <c r="W69" s="17">
        <f t="shared" si="55"/>
        <v>267.33315954118876</v>
      </c>
      <c r="X69" s="15">
        <f t="shared" si="56"/>
        <v>0.31934306569343068</v>
      </c>
      <c r="Y69" s="16">
        <f t="shared" si="57"/>
        <v>0.68065693430656937</v>
      </c>
      <c r="Z69" s="16">
        <f t="shared" si="58"/>
        <v>34.741864355231151</v>
      </c>
      <c r="AA69" s="17">
        <f t="shared" si="59"/>
        <v>267.3709321776156</v>
      </c>
      <c r="AC69">
        <v>8</v>
      </c>
      <c r="AD69">
        <f t="shared" si="73"/>
        <v>12.166</v>
      </c>
      <c r="AE69" s="15">
        <f t="shared" si="60"/>
        <v>0.34760000000000002</v>
      </c>
      <c r="AF69" s="16">
        <f t="shared" si="61"/>
        <v>0.65239999999999998</v>
      </c>
      <c r="AG69" s="16">
        <f t="shared" si="62"/>
        <v>33.071243333333335</v>
      </c>
      <c r="AH69" s="17">
        <f t="shared" si="63"/>
        <v>266.53562166666666</v>
      </c>
      <c r="AI69" s="15">
        <f t="shared" si="64"/>
        <v>0.25345833333333334</v>
      </c>
      <c r="AJ69" s="16">
        <f t="shared" si="65"/>
        <v>0.74654166666666666</v>
      </c>
      <c r="AK69" s="16">
        <f t="shared" si="66"/>
        <v>37.843441319444445</v>
      </c>
      <c r="AL69" s="17">
        <f t="shared" si="67"/>
        <v>268.92172065972221</v>
      </c>
      <c r="AM69" s="15">
        <f t="shared" si="68"/>
        <v>0.21725</v>
      </c>
      <c r="AN69" s="16">
        <f t="shared" si="69"/>
        <v>0.78275000000000006</v>
      </c>
      <c r="AO69" s="16">
        <f t="shared" si="70"/>
        <v>39.678902083333341</v>
      </c>
      <c r="AP69" s="17">
        <f t="shared" si="71"/>
        <v>269.83945104166668</v>
      </c>
    </row>
    <row r="70" spans="1:42" ht="15">
      <c r="A70" s="33" t="s">
        <v>191</v>
      </c>
      <c r="B70" s="67">
        <f>(B69*1000*Constants!C22)/(Calculations!B28*(10^-3))</f>
        <v>261.25</v>
      </c>
      <c r="C70" s="75" t="s">
        <v>4</v>
      </c>
      <c r="D70" s="33">
        <f>IF(B70&lt;I_Channel_Peak_No_Ilimit,1,0)</f>
        <v>0</v>
      </c>
      <c r="E70" s="36" t="s">
        <v>156</v>
      </c>
      <c r="N70">
        <v>9</v>
      </c>
      <c r="O70">
        <f t="shared" si="72"/>
        <v>38.78</v>
      </c>
      <c r="P70" s="15">
        <f t="shared" si="48"/>
        <v>0.31330582774626098</v>
      </c>
      <c r="Q70" s="16">
        <f t="shared" si="49"/>
        <v>0.68669417225373897</v>
      </c>
      <c r="R70" s="16">
        <f t="shared" si="50"/>
        <v>34.763892470345546</v>
      </c>
      <c r="S70" s="17">
        <f t="shared" si="51"/>
        <v>267.38194623517279</v>
      </c>
      <c r="T70" s="15">
        <f t="shared" si="52"/>
        <v>0.31459515214027844</v>
      </c>
      <c r="U70" s="16">
        <f t="shared" si="53"/>
        <v>0.68540484785972156</v>
      </c>
      <c r="V70" s="16">
        <f t="shared" si="54"/>
        <v>34.841413099535842</v>
      </c>
      <c r="W70" s="17">
        <f t="shared" si="55"/>
        <v>267.42070654976794</v>
      </c>
      <c r="X70" s="15">
        <f t="shared" si="56"/>
        <v>0.31588447653429602</v>
      </c>
      <c r="Y70" s="16">
        <f t="shared" si="57"/>
        <v>0.68411552346570392</v>
      </c>
      <c r="Z70" s="16">
        <f t="shared" si="58"/>
        <v>34.918396510228646</v>
      </c>
      <c r="AA70" s="17">
        <f t="shared" si="59"/>
        <v>267.4591982551143</v>
      </c>
      <c r="AC70">
        <v>9</v>
      </c>
      <c r="AD70">
        <f t="shared" si="73"/>
        <v>12.168000000000001</v>
      </c>
      <c r="AE70" s="15">
        <f t="shared" si="60"/>
        <v>0.34765714285714289</v>
      </c>
      <c r="AF70" s="16">
        <f t="shared" si="61"/>
        <v>0.65234285714285711</v>
      </c>
      <c r="AG70" s="16">
        <f t="shared" si="62"/>
        <v>33.073782857142866</v>
      </c>
      <c r="AH70" s="17">
        <f t="shared" si="63"/>
        <v>266.53689142857144</v>
      </c>
      <c r="AI70" s="15">
        <f t="shared" si="64"/>
        <v>0.2535</v>
      </c>
      <c r="AJ70" s="16">
        <f t="shared" si="65"/>
        <v>0.74649999999999994</v>
      </c>
      <c r="AK70" s="16">
        <f t="shared" si="66"/>
        <v>37.847550000000005</v>
      </c>
      <c r="AL70" s="17">
        <f t="shared" si="67"/>
        <v>268.92377499999998</v>
      </c>
      <c r="AM70" s="15">
        <f t="shared" si="68"/>
        <v>0.2172857142857143</v>
      </c>
      <c r="AN70" s="16">
        <f t="shared" si="69"/>
        <v>0.7827142857142857</v>
      </c>
      <c r="AO70" s="16">
        <f t="shared" si="70"/>
        <v>39.683614285714292</v>
      </c>
      <c r="AP70" s="17">
        <f t="shared" si="71"/>
        <v>269.84180714285714</v>
      </c>
    </row>
    <row r="71" spans="1:42">
      <c r="N71">
        <v>10</v>
      </c>
      <c r="O71">
        <f t="shared" si="72"/>
        <v>39.200000000000003</v>
      </c>
      <c r="P71" s="15">
        <f t="shared" si="48"/>
        <v>0.3099489795918367</v>
      </c>
      <c r="Q71" s="16">
        <f t="shared" si="49"/>
        <v>0.69005102040816335</v>
      </c>
      <c r="R71" s="16">
        <f t="shared" si="50"/>
        <v>34.933832908163268</v>
      </c>
      <c r="S71" s="17">
        <f t="shared" si="51"/>
        <v>267.46691645408163</v>
      </c>
      <c r="T71" s="15">
        <f t="shared" si="52"/>
        <v>0.31122448979591832</v>
      </c>
      <c r="U71" s="16">
        <f t="shared" si="53"/>
        <v>0.68877551020408168</v>
      </c>
      <c r="V71" s="16">
        <f t="shared" si="54"/>
        <v>35.012755102040813</v>
      </c>
      <c r="W71" s="17">
        <f t="shared" si="55"/>
        <v>267.50637755102042</v>
      </c>
      <c r="X71" s="15">
        <f t="shared" si="56"/>
        <v>0.3125</v>
      </c>
      <c r="Y71" s="16">
        <f t="shared" si="57"/>
        <v>0.6875</v>
      </c>
      <c r="Z71" s="16">
        <f t="shared" si="58"/>
        <v>35.091145833333343</v>
      </c>
      <c r="AA71" s="17">
        <f t="shared" si="59"/>
        <v>267.54557291666669</v>
      </c>
      <c r="AC71">
        <v>10</v>
      </c>
      <c r="AD71">
        <f t="shared" si="73"/>
        <v>12.17</v>
      </c>
      <c r="AE71" s="15">
        <f t="shared" si="60"/>
        <v>0.3477142857142857</v>
      </c>
      <c r="AF71" s="16">
        <f t="shared" si="61"/>
        <v>0.65228571428571436</v>
      </c>
      <c r="AG71" s="16">
        <f t="shared" si="62"/>
        <v>33.076321428571426</v>
      </c>
      <c r="AH71" s="17">
        <f t="shared" si="63"/>
        <v>266.53816071428571</v>
      </c>
      <c r="AI71" s="15">
        <f t="shared" si="64"/>
        <v>0.25354166666666667</v>
      </c>
      <c r="AJ71" s="16">
        <f t="shared" si="65"/>
        <v>0.74645833333333333</v>
      </c>
      <c r="AK71" s="16">
        <f t="shared" si="66"/>
        <v>37.851657986111114</v>
      </c>
      <c r="AL71" s="17">
        <f t="shared" si="67"/>
        <v>268.92582899305557</v>
      </c>
      <c r="AM71" s="15">
        <f t="shared" si="68"/>
        <v>0.21732142857142858</v>
      </c>
      <c r="AN71" s="16">
        <f t="shared" si="69"/>
        <v>0.78267857142857145</v>
      </c>
      <c r="AO71" s="16">
        <f t="shared" si="70"/>
        <v>39.688325892857144</v>
      </c>
      <c r="AP71" s="17">
        <f t="shared" si="71"/>
        <v>269.84416294642858</v>
      </c>
    </row>
    <row r="72" spans="1:42">
      <c r="N72">
        <v>11</v>
      </c>
      <c r="O72">
        <f t="shared" si="72"/>
        <v>39.619999999999997</v>
      </c>
      <c r="P72" s="15">
        <f t="shared" si="48"/>
        <v>0.30666330136294806</v>
      </c>
      <c r="Q72" s="16">
        <f t="shared" si="49"/>
        <v>0.69333669863705194</v>
      </c>
      <c r="R72" s="16">
        <f t="shared" si="50"/>
        <v>35.100170368500763</v>
      </c>
      <c r="S72" s="17">
        <f t="shared" si="51"/>
        <v>267.55008518425041</v>
      </c>
      <c r="T72" s="15">
        <f t="shared" si="52"/>
        <v>0.30792529025744575</v>
      </c>
      <c r="U72" s="16">
        <f t="shared" si="53"/>
        <v>0.69207470974255425</v>
      </c>
      <c r="V72" s="16">
        <f t="shared" si="54"/>
        <v>35.180464411913171</v>
      </c>
      <c r="W72" s="17">
        <f t="shared" si="55"/>
        <v>267.59023220595657</v>
      </c>
      <c r="X72" s="15">
        <f t="shared" si="56"/>
        <v>0.30918727915194349</v>
      </c>
      <c r="Y72" s="16">
        <f t="shared" si="57"/>
        <v>0.69081272084805656</v>
      </c>
      <c r="Z72" s="16">
        <f t="shared" si="58"/>
        <v>35.260232626619555</v>
      </c>
      <c r="AA72" s="17">
        <f t="shared" si="59"/>
        <v>267.63011631330977</v>
      </c>
      <c r="AC72">
        <v>11</v>
      </c>
      <c r="AD72">
        <f t="shared" si="73"/>
        <v>12.172000000000001</v>
      </c>
      <c r="AE72" s="15">
        <f t="shared" si="60"/>
        <v>0.34777142857142856</v>
      </c>
      <c r="AF72" s="16">
        <f t="shared" si="61"/>
        <v>0.65222857142857138</v>
      </c>
      <c r="AG72" s="16">
        <f t="shared" si="62"/>
        <v>33.078859047619048</v>
      </c>
      <c r="AH72" s="17">
        <f t="shared" si="63"/>
        <v>266.53942952380953</v>
      </c>
      <c r="AI72" s="15">
        <f t="shared" si="64"/>
        <v>0.25358333333333333</v>
      </c>
      <c r="AJ72" s="16">
        <f t="shared" si="65"/>
        <v>0.74641666666666673</v>
      </c>
      <c r="AK72" s="16">
        <f t="shared" si="66"/>
        <v>37.855765277777778</v>
      </c>
      <c r="AL72" s="17">
        <f t="shared" si="67"/>
        <v>268.92788263888889</v>
      </c>
      <c r="AM72" s="15">
        <f t="shared" si="68"/>
        <v>0.21735714285714286</v>
      </c>
      <c r="AN72" s="16">
        <f t="shared" si="69"/>
        <v>0.7826428571428572</v>
      </c>
      <c r="AO72" s="16">
        <f t="shared" si="70"/>
        <v>39.693036904761911</v>
      </c>
      <c r="AP72" s="17">
        <f t="shared" si="71"/>
        <v>269.84651845238096</v>
      </c>
    </row>
    <row r="73" spans="1:42">
      <c r="N73">
        <v>12</v>
      </c>
      <c r="O73">
        <f t="shared" si="72"/>
        <v>40.04</v>
      </c>
      <c r="P73" s="15">
        <f t="shared" si="48"/>
        <v>0.30344655344655347</v>
      </c>
      <c r="Q73" s="16">
        <f t="shared" si="49"/>
        <v>0.69655344655344653</v>
      </c>
      <c r="R73" s="16">
        <f t="shared" si="50"/>
        <v>35.263018231768235</v>
      </c>
      <c r="S73" s="17">
        <f t="shared" si="51"/>
        <v>267.63150911588411</v>
      </c>
      <c r="T73" s="15">
        <f t="shared" si="52"/>
        <v>0.3046953046953047</v>
      </c>
      <c r="U73" s="16">
        <f t="shared" si="53"/>
        <v>0.6953046953046953</v>
      </c>
      <c r="V73" s="16">
        <f t="shared" si="54"/>
        <v>35.344655344655344</v>
      </c>
      <c r="W73" s="17">
        <f t="shared" si="55"/>
        <v>267.6723276723277</v>
      </c>
      <c r="X73" s="15">
        <f t="shared" si="56"/>
        <v>0.30594405594405594</v>
      </c>
      <c r="Y73" s="16">
        <f t="shared" si="57"/>
        <v>0.69405594405594406</v>
      </c>
      <c r="Z73" s="16">
        <f t="shared" si="58"/>
        <v>35.425772144522142</v>
      </c>
      <c r="AA73" s="17">
        <f t="shared" si="59"/>
        <v>267.71288607226109</v>
      </c>
      <c r="AC73">
        <v>12</v>
      </c>
      <c r="AD73">
        <f t="shared" si="73"/>
        <v>12.173999999999999</v>
      </c>
      <c r="AE73" s="15">
        <f t="shared" si="60"/>
        <v>0.34782857142857143</v>
      </c>
      <c r="AF73" s="16">
        <f t="shared" si="61"/>
        <v>0.65217142857142862</v>
      </c>
      <c r="AG73" s="16">
        <f t="shared" si="62"/>
        <v>33.081395714285712</v>
      </c>
      <c r="AH73" s="17">
        <f t="shared" si="63"/>
        <v>266.54069785714285</v>
      </c>
      <c r="AI73" s="15">
        <f t="shared" si="64"/>
        <v>0.25362499999999999</v>
      </c>
      <c r="AJ73" s="16">
        <f t="shared" si="65"/>
        <v>0.74637500000000001</v>
      </c>
      <c r="AK73" s="16">
        <f t="shared" si="66"/>
        <v>37.859871875000003</v>
      </c>
      <c r="AL73" s="17">
        <f t="shared" si="67"/>
        <v>268.92993593749998</v>
      </c>
      <c r="AM73" s="15">
        <f t="shared" si="68"/>
        <v>0.21739285714285714</v>
      </c>
      <c r="AN73" s="16">
        <f t="shared" si="69"/>
        <v>0.78260714285714283</v>
      </c>
      <c r="AO73" s="16">
        <f t="shared" si="70"/>
        <v>39.697747321428572</v>
      </c>
      <c r="AP73" s="17">
        <f t="shared" si="71"/>
        <v>269.84887366071428</v>
      </c>
    </row>
    <row r="74" spans="1:42">
      <c r="A74" s="53" t="s">
        <v>99</v>
      </c>
      <c r="B74" s="53"/>
      <c r="C74" s="53"/>
      <c r="N74">
        <v>13</v>
      </c>
      <c r="O74">
        <f t="shared" si="72"/>
        <v>40.46</v>
      </c>
      <c r="P74" s="15">
        <f t="shared" si="48"/>
        <v>0.30029658922392488</v>
      </c>
      <c r="Q74" s="16">
        <f t="shared" si="49"/>
        <v>0.69970341077607512</v>
      </c>
      <c r="R74" s="16">
        <f t="shared" si="50"/>
        <v>35.422485170538806</v>
      </c>
      <c r="S74" s="17">
        <f t="shared" si="51"/>
        <v>267.71124258526942</v>
      </c>
      <c r="T74" s="15">
        <f t="shared" si="52"/>
        <v>0.30153237765694513</v>
      </c>
      <c r="U74" s="16">
        <f t="shared" si="53"/>
        <v>0.69846762234305482</v>
      </c>
      <c r="V74" s="16">
        <f t="shared" si="54"/>
        <v>35.505437469105296</v>
      </c>
      <c r="W74" s="17">
        <f t="shared" si="55"/>
        <v>267.75271873455267</v>
      </c>
      <c r="X74" s="15">
        <f t="shared" si="56"/>
        <v>0.30276816608996537</v>
      </c>
      <c r="Y74" s="16">
        <f t="shared" si="57"/>
        <v>0.69723183391003463</v>
      </c>
      <c r="Z74" s="16">
        <f t="shared" si="58"/>
        <v>35.58787485582468</v>
      </c>
      <c r="AA74" s="17">
        <f t="shared" si="59"/>
        <v>267.79393742791234</v>
      </c>
      <c r="AC74">
        <v>13</v>
      </c>
      <c r="AD74">
        <f t="shared" si="73"/>
        <v>12.176</v>
      </c>
      <c r="AE74" s="15">
        <f t="shared" si="60"/>
        <v>0.3478857142857143</v>
      </c>
      <c r="AF74" s="16">
        <f t="shared" si="61"/>
        <v>0.65211428571428565</v>
      </c>
      <c r="AG74" s="16">
        <f t="shared" si="62"/>
        <v>33.083931428571432</v>
      </c>
      <c r="AH74" s="17">
        <f t="shared" si="63"/>
        <v>266.54196571428571</v>
      </c>
      <c r="AI74" s="15">
        <f t="shared" si="64"/>
        <v>0.25366666666666665</v>
      </c>
      <c r="AJ74" s="16">
        <f t="shared" si="65"/>
        <v>0.74633333333333329</v>
      </c>
      <c r="AK74" s="16">
        <f t="shared" si="66"/>
        <v>37.863977777777777</v>
      </c>
      <c r="AL74" s="17">
        <f t="shared" si="67"/>
        <v>268.9319888888889</v>
      </c>
      <c r="AM74" s="15">
        <f t="shared" si="68"/>
        <v>0.21742857142857144</v>
      </c>
      <c r="AN74" s="16">
        <f t="shared" si="69"/>
        <v>0.78257142857142858</v>
      </c>
      <c r="AO74" s="16">
        <f t="shared" si="70"/>
        <v>39.702457142857149</v>
      </c>
      <c r="AP74" s="17">
        <f t="shared" si="71"/>
        <v>269.85122857142858</v>
      </c>
    </row>
    <row r="75" spans="1:42">
      <c r="A75" s="33" t="s">
        <v>207</v>
      </c>
      <c r="B75" s="56">
        <f>Design_Converter!B62</f>
        <v>1</v>
      </c>
      <c r="C75" s="33" t="s">
        <v>40</v>
      </c>
      <c r="N75">
        <v>14</v>
      </c>
      <c r="O75">
        <f t="shared" si="72"/>
        <v>40.880000000000003</v>
      </c>
      <c r="P75" s="15">
        <f t="shared" si="48"/>
        <v>0.29721135029354206</v>
      </c>
      <c r="Q75" s="16">
        <f t="shared" si="49"/>
        <v>0.70278864970645794</v>
      </c>
      <c r="R75" s="16">
        <f t="shared" si="50"/>
        <v>35.578675391389439</v>
      </c>
      <c r="S75" s="17">
        <f t="shared" si="51"/>
        <v>267.78933769569471</v>
      </c>
      <c r="T75" s="15">
        <f t="shared" si="52"/>
        <v>0.29843444227005866</v>
      </c>
      <c r="U75" s="16">
        <f t="shared" si="53"/>
        <v>0.70156555772994134</v>
      </c>
      <c r="V75" s="16">
        <f t="shared" si="54"/>
        <v>35.662915851272018</v>
      </c>
      <c r="W75" s="17">
        <f t="shared" si="55"/>
        <v>267.83145792563602</v>
      </c>
      <c r="X75" s="15">
        <f t="shared" si="56"/>
        <v>0.29965753424657532</v>
      </c>
      <c r="Y75" s="16">
        <f t="shared" si="57"/>
        <v>0.70034246575342474</v>
      </c>
      <c r="Z75" s="16">
        <f t="shared" si="58"/>
        <v>35.746646689497716</v>
      </c>
      <c r="AA75" s="17">
        <f t="shared" si="59"/>
        <v>267.87332334474888</v>
      </c>
      <c r="AC75">
        <v>14</v>
      </c>
      <c r="AD75">
        <f t="shared" si="73"/>
        <v>12.178000000000001</v>
      </c>
      <c r="AE75" s="15">
        <f t="shared" si="60"/>
        <v>0.34794285714285716</v>
      </c>
      <c r="AF75" s="16">
        <f t="shared" si="61"/>
        <v>0.65205714285714289</v>
      </c>
      <c r="AG75" s="16">
        <f t="shared" si="62"/>
        <v>33.086466190476187</v>
      </c>
      <c r="AH75" s="17">
        <f t="shared" si="63"/>
        <v>266.54323309523807</v>
      </c>
      <c r="AI75" s="15">
        <f t="shared" si="64"/>
        <v>0.25370833333333337</v>
      </c>
      <c r="AJ75" s="16">
        <f t="shared" si="65"/>
        <v>0.74629166666666658</v>
      </c>
      <c r="AK75" s="16">
        <f t="shared" si="66"/>
        <v>37.868082986111119</v>
      </c>
      <c r="AL75" s="17">
        <f t="shared" si="67"/>
        <v>268.93404149305559</v>
      </c>
      <c r="AM75" s="15">
        <f t="shared" si="68"/>
        <v>0.21746428571428572</v>
      </c>
      <c r="AN75" s="16">
        <f t="shared" si="69"/>
        <v>0.78253571428571433</v>
      </c>
      <c r="AO75" s="16">
        <f t="shared" si="70"/>
        <v>39.707166369047627</v>
      </c>
      <c r="AP75" s="17">
        <f t="shared" si="71"/>
        <v>269.85358318452381</v>
      </c>
    </row>
    <row r="76" spans="1:42" ht="15">
      <c r="A76" s="33" t="s">
        <v>157</v>
      </c>
      <c r="B76" s="63">
        <f>V48_Nom/((5*(B75*10^-9)*Fsw)*1000)</f>
        <v>96</v>
      </c>
      <c r="C76" s="75" t="s">
        <v>104</v>
      </c>
      <c r="N76">
        <v>15</v>
      </c>
      <c r="O76">
        <f t="shared" si="72"/>
        <v>41.3</v>
      </c>
      <c r="P76" s="15">
        <f t="shared" si="48"/>
        <v>0.29418886198547217</v>
      </c>
      <c r="Q76" s="16">
        <f t="shared" si="49"/>
        <v>0.70581113801452777</v>
      </c>
      <c r="R76" s="16">
        <f t="shared" si="50"/>
        <v>35.731688861985475</v>
      </c>
      <c r="S76" s="17">
        <f t="shared" si="51"/>
        <v>267.86584443099275</v>
      </c>
      <c r="T76" s="15">
        <f t="shared" si="52"/>
        <v>0.29539951573849882</v>
      </c>
      <c r="U76" s="16">
        <f t="shared" si="53"/>
        <v>0.70460048426150124</v>
      </c>
      <c r="V76" s="16">
        <f t="shared" si="54"/>
        <v>35.817191283292978</v>
      </c>
      <c r="W76" s="17">
        <f t="shared" si="55"/>
        <v>267.90859564164651</v>
      </c>
      <c r="X76" s="15">
        <f t="shared" si="56"/>
        <v>0.29661016949152547</v>
      </c>
      <c r="Y76" s="16">
        <f t="shared" si="57"/>
        <v>0.70338983050847448</v>
      </c>
      <c r="Z76" s="16">
        <f t="shared" si="58"/>
        <v>35.902189265536727</v>
      </c>
      <c r="AA76" s="17">
        <f t="shared" si="59"/>
        <v>267.95109463276839</v>
      </c>
      <c r="AC76">
        <v>15</v>
      </c>
      <c r="AD76">
        <f t="shared" si="73"/>
        <v>12.18</v>
      </c>
      <c r="AE76" s="15">
        <f t="shared" si="60"/>
        <v>0.34799999999999998</v>
      </c>
      <c r="AF76" s="16">
        <f t="shared" si="61"/>
        <v>0.65200000000000002</v>
      </c>
      <c r="AG76" s="16">
        <f t="shared" si="62"/>
        <v>33.088999999999999</v>
      </c>
      <c r="AH76" s="17">
        <f t="shared" si="63"/>
        <v>266.54449999999997</v>
      </c>
      <c r="AI76" s="15">
        <f t="shared" si="64"/>
        <v>0.25374999999999998</v>
      </c>
      <c r="AJ76" s="16">
        <f t="shared" si="65"/>
        <v>0.74625000000000008</v>
      </c>
      <c r="AK76" s="16">
        <f t="shared" si="66"/>
        <v>37.872187499999995</v>
      </c>
      <c r="AL76" s="17">
        <f t="shared" si="67"/>
        <v>268.93609375</v>
      </c>
      <c r="AM76" s="15">
        <f t="shared" si="68"/>
        <v>0.2175</v>
      </c>
      <c r="AN76" s="16">
        <f t="shared" si="69"/>
        <v>0.78249999999999997</v>
      </c>
      <c r="AO76" s="16">
        <f t="shared" si="70"/>
        <v>39.711874999999999</v>
      </c>
      <c r="AP76" s="17">
        <f t="shared" si="71"/>
        <v>269.85593749999998</v>
      </c>
    </row>
    <row r="77" spans="1:42" ht="15">
      <c r="A77" s="36" t="s">
        <v>208</v>
      </c>
      <c r="B77" s="56">
        <f>Ramp_R*(10^-3)</f>
        <v>95.3</v>
      </c>
      <c r="C77" s="75" t="s">
        <v>104</v>
      </c>
      <c r="E77" s="48" t="s">
        <v>100</v>
      </c>
      <c r="N77">
        <v>16</v>
      </c>
      <c r="O77">
        <f t="shared" si="72"/>
        <v>41.72</v>
      </c>
      <c r="P77" s="15">
        <f t="shared" si="48"/>
        <v>0.29122722914669225</v>
      </c>
      <c r="Q77" s="16">
        <f t="shared" si="49"/>
        <v>0.70877277085330781</v>
      </c>
      <c r="R77" s="16">
        <f t="shared" si="50"/>
        <v>35.881621524448704</v>
      </c>
      <c r="S77" s="17">
        <f t="shared" si="51"/>
        <v>267.94081076222437</v>
      </c>
      <c r="T77" s="15">
        <f t="shared" si="52"/>
        <v>0.29242569511025884</v>
      </c>
      <c r="U77" s="16">
        <f t="shared" si="53"/>
        <v>0.70757430488974116</v>
      </c>
      <c r="V77" s="16">
        <f t="shared" si="54"/>
        <v>35.968360498561836</v>
      </c>
      <c r="W77" s="17">
        <f t="shared" si="55"/>
        <v>267.98418024928094</v>
      </c>
      <c r="X77" s="15">
        <f t="shared" si="56"/>
        <v>0.2936241610738255</v>
      </c>
      <c r="Y77" s="16">
        <f t="shared" si="57"/>
        <v>0.7063758389261745</v>
      </c>
      <c r="Z77" s="16">
        <f t="shared" si="58"/>
        <v>36.054600111856821</v>
      </c>
      <c r="AA77" s="17">
        <f t="shared" si="59"/>
        <v>268.02730005592844</v>
      </c>
      <c r="AC77">
        <v>16</v>
      </c>
      <c r="AD77">
        <f t="shared" si="73"/>
        <v>12.182</v>
      </c>
      <c r="AE77" s="15">
        <f t="shared" si="60"/>
        <v>0.34805714285714284</v>
      </c>
      <c r="AF77" s="16">
        <f t="shared" si="61"/>
        <v>0.65194285714285716</v>
      </c>
      <c r="AG77" s="16">
        <f t="shared" si="62"/>
        <v>33.091532857142859</v>
      </c>
      <c r="AH77" s="17">
        <f t="shared" si="63"/>
        <v>266.54576642857143</v>
      </c>
      <c r="AI77" s="15">
        <f t="shared" si="64"/>
        <v>0.25379166666666669</v>
      </c>
      <c r="AJ77" s="16">
        <f t="shared" si="65"/>
        <v>0.74620833333333336</v>
      </c>
      <c r="AK77" s="16">
        <f t="shared" si="66"/>
        <v>37.876291319444448</v>
      </c>
      <c r="AL77" s="17">
        <f t="shared" si="67"/>
        <v>268.93814565972224</v>
      </c>
      <c r="AM77" s="15">
        <f t="shared" si="68"/>
        <v>0.2175357142857143</v>
      </c>
      <c r="AN77" s="16">
        <f t="shared" si="69"/>
        <v>0.78246428571428572</v>
      </c>
      <c r="AO77" s="16">
        <f t="shared" si="70"/>
        <v>39.716583035714294</v>
      </c>
      <c r="AP77" s="17">
        <f t="shared" si="71"/>
        <v>269.85829151785714</v>
      </c>
    </row>
    <row r="78" spans="1:42">
      <c r="A78" s="33" t="s">
        <v>101</v>
      </c>
      <c r="B78" s="68">
        <f>(V48_Min)/(Ramp_C*Ramp_R*Fsw)</f>
        <v>3.6726128016789081</v>
      </c>
      <c r="C78" s="33" t="s">
        <v>1</v>
      </c>
      <c r="D78" s="36">
        <f>IF(B78&lt;Constants!$C$44,1,IF(B78&gt;Constants!$C$43,1,0))</f>
        <v>0</v>
      </c>
      <c r="E78" s="36" t="s">
        <v>209</v>
      </c>
      <c r="N78">
        <v>17</v>
      </c>
      <c r="O78">
        <f t="shared" si="72"/>
        <v>42.14</v>
      </c>
      <c r="P78" s="15">
        <f t="shared" si="48"/>
        <v>0.28832463217845278</v>
      </c>
      <c r="Q78" s="16">
        <f t="shared" si="49"/>
        <v>0.71167536782154728</v>
      </c>
      <c r="R78" s="16">
        <f t="shared" si="50"/>
        <v>36.028565495965829</v>
      </c>
      <c r="S78" s="17">
        <f t="shared" si="51"/>
        <v>268.01428274798292</v>
      </c>
      <c r="T78" s="15">
        <f t="shared" si="52"/>
        <v>0.28951115329852867</v>
      </c>
      <c r="U78" s="16">
        <f t="shared" si="53"/>
        <v>0.71048884670147139</v>
      </c>
      <c r="V78" s="16">
        <f t="shared" si="54"/>
        <v>36.116516373991459</v>
      </c>
      <c r="W78" s="17">
        <f t="shared" si="55"/>
        <v>268.05825818699572</v>
      </c>
      <c r="X78" s="15">
        <f t="shared" si="56"/>
        <v>0.29069767441860467</v>
      </c>
      <c r="Y78" s="16">
        <f t="shared" si="57"/>
        <v>0.70930232558139528</v>
      </c>
      <c r="Z78" s="16">
        <f t="shared" si="58"/>
        <v>36.203972868217058</v>
      </c>
      <c r="AA78" s="17">
        <f t="shared" si="59"/>
        <v>268.10198643410854</v>
      </c>
      <c r="AC78">
        <v>17</v>
      </c>
      <c r="AD78">
        <f t="shared" si="73"/>
        <v>12.184000000000001</v>
      </c>
      <c r="AE78" s="15">
        <f t="shared" si="60"/>
        <v>0.34811428571428576</v>
      </c>
      <c r="AF78" s="16">
        <f t="shared" si="61"/>
        <v>0.65188571428571418</v>
      </c>
      <c r="AG78" s="16">
        <f t="shared" si="62"/>
        <v>33.094064761904768</v>
      </c>
      <c r="AH78" s="17">
        <f t="shared" si="63"/>
        <v>266.54703238095237</v>
      </c>
      <c r="AI78" s="15">
        <f t="shared" si="64"/>
        <v>0.25383333333333336</v>
      </c>
      <c r="AJ78" s="16">
        <f t="shared" si="65"/>
        <v>0.74616666666666664</v>
      </c>
      <c r="AK78" s="16">
        <f t="shared" si="66"/>
        <v>37.880394444444448</v>
      </c>
      <c r="AL78" s="17">
        <f t="shared" si="67"/>
        <v>268.9401972222222</v>
      </c>
      <c r="AM78" s="15">
        <f t="shared" si="68"/>
        <v>0.21757142857142858</v>
      </c>
      <c r="AN78" s="16">
        <f t="shared" si="69"/>
        <v>0.78242857142857147</v>
      </c>
      <c r="AO78" s="16">
        <f t="shared" si="70"/>
        <v>39.721290476190482</v>
      </c>
      <c r="AP78" s="17">
        <f t="shared" si="71"/>
        <v>269.86064523809523</v>
      </c>
    </row>
    <row r="79" spans="1:42">
      <c r="A79" s="33" t="s">
        <v>102</v>
      </c>
      <c r="B79" s="57">
        <f>(V48_Nom)/(Ramp_C*Ramp_R*Fsw)</f>
        <v>5.0367261280167881</v>
      </c>
      <c r="C79" s="33" t="s">
        <v>1</v>
      </c>
      <c r="D79" s="36">
        <f>IF(B79&lt;Constants!$C$44,1,IF(B79&gt;Constants!$C$43,1,0))</f>
        <v>0</v>
      </c>
      <c r="E79" s="36" t="s">
        <v>209</v>
      </c>
      <c r="N79">
        <v>18</v>
      </c>
      <c r="O79">
        <f t="shared" si="72"/>
        <v>42.56</v>
      </c>
      <c r="P79" s="15">
        <f t="shared" si="48"/>
        <v>0.28547932330827069</v>
      </c>
      <c r="Q79" s="16">
        <f t="shared" si="49"/>
        <v>0.71452067669172936</v>
      </c>
      <c r="R79" s="16">
        <f t="shared" si="50"/>
        <v>36.172609257518801</v>
      </c>
      <c r="S79" s="17">
        <f t="shared" si="51"/>
        <v>268.08630462875942</v>
      </c>
      <c r="T79" s="15">
        <f t="shared" si="52"/>
        <v>0.28665413533834583</v>
      </c>
      <c r="U79" s="16">
        <f t="shared" si="53"/>
        <v>0.71334586466165417</v>
      </c>
      <c r="V79" s="16">
        <f t="shared" si="54"/>
        <v>36.261748120300751</v>
      </c>
      <c r="W79" s="17">
        <f t="shared" si="55"/>
        <v>268.1308740601504</v>
      </c>
      <c r="X79" s="15">
        <f t="shared" si="56"/>
        <v>0.28782894736842102</v>
      </c>
      <c r="Y79" s="16">
        <f t="shared" si="57"/>
        <v>0.71217105263157898</v>
      </c>
      <c r="Z79" s="16">
        <f t="shared" si="58"/>
        <v>36.350397478070178</v>
      </c>
      <c r="AA79" s="17">
        <f t="shared" si="59"/>
        <v>268.17519873903507</v>
      </c>
      <c r="AC79">
        <v>18</v>
      </c>
      <c r="AD79">
        <f t="shared" si="73"/>
        <v>12.186</v>
      </c>
      <c r="AE79" s="15">
        <f t="shared" si="60"/>
        <v>0.34817142857142858</v>
      </c>
      <c r="AF79" s="16">
        <f t="shared" si="61"/>
        <v>0.65182857142857142</v>
      </c>
      <c r="AG79" s="16">
        <f t="shared" si="62"/>
        <v>33.096595714285719</v>
      </c>
      <c r="AH79" s="17">
        <f t="shared" si="63"/>
        <v>266.54829785714287</v>
      </c>
      <c r="AI79" s="15">
        <f t="shared" si="64"/>
        <v>0.25387500000000002</v>
      </c>
      <c r="AJ79" s="16">
        <f t="shared" si="65"/>
        <v>0.74612499999999993</v>
      </c>
      <c r="AK79" s="16">
        <f t="shared" si="66"/>
        <v>37.884496875000004</v>
      </c>
      <c r="AL79" s="17">
        <f t="shared" si="67"/>
        <v>268.94224843749998</v>
      </c>
      <c r="AM79" s="15">
        <f t="shared" si="68"/>
        <v>0.21760714285714286</v>
      </c>
      <c r="AN79" s="16">
        <f t="shared" si="69"/>
        <v>0.78239285714285711</v>
      </c>
      <c r="AO79" s="16">
        <f t="shared" si="70"/>
        <v>39.725997321428572</v>
      </c>
      <c r="AP79" s="17">
        <f t="shared" si="71"/>
        <v>269.86299866071431</v>
      </c>
    </row>
    <row r="80" spans="1:42">
      <c r="A80" s="33" t="s">
        <v>103</v>
      </c>
      <c r="B80" s="68">
        <f>(V48_Max)/(Ramp_C*Ramp_R*Fsw)</f>
        <v>5.8761804826862534</v>
      </c>
      <c r="C80" s="33" t="s">
        <v>1</v>
      </c>
      <c r="D80" s="36">
        <f>IF(B80&lt;Constants!$C$44,1,IF(B80&gt;Constants!$C$43,1,0))</f>
        <v>0</v>
      </c>
      <c r="E80" s="36" t="s">
        <v>209</v>
      </c>
      <c r="N80">
        <v>19</v>
      </c>
      <c r="O80">
        <f t="shared" si="72"/>
        <v>42.98</v>
      </c>
      <c r="P80" s="15">
        <f t="shared" si="48"/>
        <v>0.28268962308050261</v>
      </c>
      <c r="Q80" s="16">
        <f t="shared" si="49"/>
        <v>0.71731037691949739</v>
      </c>
      <c r="R80" s="16">
        <f t="shared" si="50"/>
        <v>36.313837831549563</v>
      </c>
      <c r="S80" s="17">
        <f t="shared" si="51"/>
        <v>268.15691891577478</v>
      </c>
      <c r="T80" s="15">
        <f t="shared" si="52"/>
        <v>0.28385295486272688</v>
      </c>
      <c r="U80" s="16">
        <f t="shared" si="53"/>
        <v>0.71614704513727312</v>
      </c>
      <c r="V80" s="16">
        <f t="shared" si="54"/>
        <v>36.404141461144725</v>
      </c>
      <c r="W80" s="17">
        <f t="shared" si="55"/>
        <v>268.20207073057236</v>
      </c>
      <c r="X80" s="15">
        <f t="shared" si="56"/>
        <v>0.28501628664495116</v>
      </c>
      <c r="Y80" s="16">
        <f t="shared" si="57"/>
        <v>0.71498371335504884</v>
      </c>
      <c r="Z80" s="16">
        <f t="shared" si="58"/>
        <v>36.493960369163958</v>
      </c>
      <c r="AA80" s="17">
        <f t="shared" si="59"/>
        <v>268.24698018458196</v>
      </c>
      <c r="AC80">
        <v>19</v>
      </c>
      <c r="AD80">
        <f t="shared" si="73"/>
        <v>12.188000000000001</v>
      </c>
      <c r="AE80" s="15">
        <f t="shared" si="60"/>
        <v>0.34822857142857144</v>
      </c>
      <c r="AF80" s="16">
        <f t="shared" si="61"/>
        <v>0.65177142857142856</v>
      </c>
      <c r="AG80" s="16">
        <f t="shared" si="62"/>
        <v>33.099125714285712</v>
      </c>
      <c r="AH80" s="17">
        <f t="shared" si="63"/>
        <v>266.54956285714286</v>
      </c>
      <c r="AI80" s="15">
        <f t="shared" si="64"/>
        <v>0.25391666666666668</v>
      </c>
      <c r="AJ80" s="16">
        <f t="shared" si="65"/>
        <v>0.74608333333333332</v>
      </c>
      <c r="AK80" s="16">
        <f t="shared" si="66"/>
        <v>37.888598611111114</v>
      </c>
      <c r="AL80" s="17">
        <f t="shared" si="67"/>
        <v>268.94429930555555</v>
      </c>
      <c r="AM80" s="15">
        <f t="shared" si="68"/>
        <v>0.21764285714285717</v>
      </c>
      <c r="AN80" s="16">
        <f t="shared" si="69"/>
        <v>0.78235714285714286</v>
      </c>
      <c r="AO80" s="16">
        <f t="shared" si="70"/>
        <v>39.730703571428577</v>
      </c>
      <c r="AP80" s="17">
        <f t="shared" si="71"/>
        <v>269.86535178571427</v>
      </c>
    </row>
    <row r="81" spans="1:42">
      <c r="N81">
        <v>20</v>
      </c>
      <c r="O81">
        <f t="shared" si="72"/>
        <v>43.4</v>
      </c>
      <c r="P81" s="15">
        <f t="shared" si="48"/>
        <v>0.27995391705069128</v>
      </c>
      <c r="Q81" s="16">
        <f t="shared" si="49"/>
        <v>0.72004608294930872</v>
      </c>
      <c r="R81" s="16">
        <f t="shared" si="50"/>
        <v>36.452332949308762</v>
      </c>
      <c r="S81" s="17">
        <f t="shared" si="51"/>
        <v>268.22616647465441</v>
      </c>
      <c r="T81" s="15">
        <f t="shared" si="52"/>
        <v>0.28110599078341014</v>
      </c>
      <c r="U81" s="16">
        <f t="shared" si="53"/>
        <v>0.71889400921658986</v>
      </c>
      <c r="V81" s="16">
        <f t="shared" si="54"/>
        <v>36.543778801843324</v>
      </c>
      <c r="W81" s="17">
        <f t="shared" si="55"/>
        <v>268.27188940092168</v>
      </c>
      <c r="X81" s="15">
        <f t="shared" si="56"/>
        <v>0.28225806451612906</v>
      </c>
      <c r="Y81" s="16">
        <f t="shared" si="57"/>
        <v>0.717741935483871</v>
      </c>
      <c r="Z81" s="16">
        <f t="shared" si="58"/>
        <v>36.634744623655919</v>
      </c>
      <c r="AA81" s="17">
        <f t="shared" si="59"/>
        <v>268.31737231182797</v>
      </c>
      <c r="AC81">
        <v>20</v>
      </c>
      <c r="AD81">
        <f t="shared" si="73"/>
        <v>12.19</v>
      </c>
      <c r="AE81" s="15">
        <f t="shared" si="60"/>
        <v>0.34828571428571425</v>
      </c>
      <c r="AF81" s="16">
        <f t="shared" si="61"/>
        <v>0.65171428571428569</v>
      </c>
      <c r="AG81" s="16">
        <f t="shared" si="62"/>
        <v>33.101654761904761</v>
      </c>
      <c r="AH81" s="17">
        <f t="shared" si="63"/>
        <v>266.5508273809524</v>
      </c>
      <c r="AI81" s="15">
        <f t="shared" si="64"/>
        <v>0.25395833333333334</v>
      </c>
      <c r="AJ81" s="16">
        <f t="shared" si="65"/>
        <v>0.74604166666666671</v>
      </c>
      <c r="AK81" s="16">
        <f t="shared" si="66"/>
        <v>37.892699652777786</v>
      </c>
      <c r="AL81" s="17">
        <f t="shared" si="67"/>
        <v>268.94634982638888</v>
      </c>
      <c r="AM81" s="15">
        <f t="shared" si="68"/>
        <v>0.21767857142857142</v>
      </c>
      <c r="AN81" s="16">
        <f t="shared" si="69"/>
        <v>0.78232142857142861</v>
      </c>
      <c r="AO81" s="16">
        <f t="shared" si="70"/>
        <v>39.735409226190477</v>
      </c>
      <c r="AP81" s="17">
        <f t="shared" si="71"/>
        <v>269.86770461309521</v>
      </c>
    </row>
    <row r="82" spans="1:42">
      <c r="A82" s="50" t="s">
        <v>112</v>
      </c>
      <c r="B82" s="51"/>
      <c r="C82" s="52"/>
      <c r="N82">
        <v>21</v>
      </c>
      <c r="O82">
        <f t="shared" si="72"/>
        <v>43.82</v>
      </c>
      <c r="P82" s="15">
        <f t="shared" si="48"/>
        <v>0.27727065267001372</v>
      </c>
      <c r="Q82" s="16">
        <f t="shared" si="49"/>
        <v>0.72272934732998628</v>
      </c>
      <c r="R82" s="16">
        <f t="shared" si="50"/>
        <v>36.588173208580564</v>
      </c>
      <c r="S82" s="17">
        <f t="shared" si="51"/>
        <v>268.29408660429027</v>
      </c>
      <c r="T82" s="15">
        <f t="shared" si="52"/>
        <v>0.27841168416248285</v>
      </c>
      <c r="U82" s="16">
        <f t="shared" si="53"/>
        <v>0.72158831583751715</v>
      </c>
      <c r="V82" s="16">
        <f t="shared" si="54"/>
        <v>36.680739388407119</v>
      </c>
      <c r="W82" s="17">
        <f t="shared" si="55"/>
        <v>268.34036969420356</v>
      </c>
      <c r="X82" s="15">
        <f t="shared" si="56"/>
        <v>0.2795527156549521</v>
      </c>
      <c r="Y82" s="16">
        <f t="shared" si="57"/>
        <v>0.7204472843450479</v>
      </c>
      <c r="Z82" s="16">
        <f t="shared" si="58"/>
        <v>36.772830138445158</v>
      </c>
      <c r="AA82" s="17">
        <f t="shared" si="59"/>
        <v>268.38641506922261</v>
      </c>
      <c r="AC82">
        <v>21</v>
      </c>
      <c r="AD82">
        <f t="shared" si="73"/>
        <v>12.192</v>
      </c>
      <c r="AE82" s="15">
        <f t="shared" si="60"/>
        <v>0.34834285714285712</v>
      </c>
      <c r="AF82" s="16">
        <f t="shared" si="61"/>
        <v>0.65165714285714293</v>
      </c>
      <c r="AG82" s="16">
        <f t="shared" si="62"/>
        <v>33.104182857142852</v>
      </c>
      <c r="AH82" s="17">
        <f t="shared" si="63"/>
        <v>266.55209142857143</v>
      </c>
      <c r="AI82" s="15">
        <f t="shared" si="64"/>
        <v>0.254</v>
      </c>
      <c r="AJ82" s="16">
        <f t="shared" si="65"/>
        <v>0.746</v>
      </c>
      <c r="AK82" s="16">
        <f t="shared" si="66"/>
        <v>37.896799999999999</v>
      </c>
      <c r="AL82" s="17">
        <f t="shared" si="67"/>
        <v>268.94839999999999</v>
      </c>
      <c r="AM82" s="15">
        <f t="shared" si="68"/>
        <v>0.21771428571428572</v>
      </c>
      <c r="AN82" s="16">
        <f t="shared" si="69"/>
        <v>0.78228571428571425</v>
      </c>
      <c r="AO82" s="16">
        <f t="shared" si="70"/>
        <v>39.740114285714291</v>
      </c>
      <c r="AP82" s="17">
        <f t="shared" si="71"/>
        <v>269.87005714285715</v>
      </c>
    </row>
    <row r="83" spans="1:42">
      <c r="A83" s="33" t="s">
        <v>210</v>
      </c>
      <c r="B83" s="56">
        <f>Design_Converter!B72*(10^-3)</f>
        <v>2E-3</v>
      </c>
      <c r="C83" s="33" t="s">
        <v>23</v>
      </c>
      <c r="N83">
        <v>22</v>
      </c>
      <c r="O83">
        <f t="shared" si="72"/>
        <v>44.24</v>
      </c>
      <c r="P83" s="15">
        <f t="shared" si="48"/>
        <v>0.27463833634719709</v>
      </c>
      <c r="Q83" s="16">
        <f t="shared" si="49"/>
        <v>0.72536166365280286</v>
      </c>
      <c r="R83" s="16">
        <f t="shared" si="50"/>
        <v>36.721434222423149</v>
      </c>
      <c r="S83" s="17">
        <f t="shared" si="51"/>
        <v>268.36071711121156</v>
      </c>
      <c r="T83" s="15">
        <f t="shared" si="52"/>
        <v>0.27576853526220613</v>
      </c>
      <c r="U83" s="16">
        <f t="shared" si="53"/>
        <v>0.72423146473779387</v>
      </c>
      <c r="V83" s="16">
        <f t="shared" si="54"/>
        <v>36.815099457504523</v>
      </c>
      <c r="W83" s="17">
        <f t="shared" si="55"/>
        <v>268.40754972875226</v>
      </c>
      <c r="X83" s="15">
        <f t="shared" si="56"/>
        <v>0.27689873417721517</v>
      </c>
      <c r="Y83" s="16">
        <f t="shared" si="57"/>
        <v>0.72310126582278489</v>
      </c>
      <c r="Z83" s="16">
        <f t="shared" si="58"/>
        <v>36.908293776371309</v>
      </c>
      <c r="AA83" s="17">
        <f t="shared" si="59"/>
        <v>268.45414688818568</v>
      </c>
      <c r="AC83">
        <v>22</v>
      </c>
      <c r="AD83">
        <f t="shared" si="73"/>
        <v>12.194000000000001</v>
      </c>
      <c r="AE83" s="15">
        <f t="shared" si="60"/>
        <v>0.34840000000000004</v>
      </c>
      <c r="AF83" s="16">
        <f t="shared" si="61"/>
        <v>0.65159999999999996</v>
      </c>
      <c r="AG83" s="16">
        <f t="shared" si="62"/>
        <v>33.10671</v>
      </c>
      <c r="AH83" s="17">
        <f t="shared" si="63"/>
        <v>266.55335500000001</v>
      </c>
      <c r="AI83" s="15">
        <f t="shared" si="64"/>
        <v>0.25404166666666667</v>
      </c>
      <c r="AJ83" s="16">
        <f t="shared" si="65"/>
        <v>0.74595833333333328</v>
      </c>
      <c r="AK83" s="16">
        <f t="shared" si="66"/>
        <v>37.900899652777774</v>
      </c>
      <c r="AL83" s="17">
        <f t="shared" si="67"/>
        <v>268.95044982638888</v>
      </c>
      <c r="AM83" s="15">
        <f t="shared" si="68"/>
        <v>0.21775000000000003</v>
      </c>
      <c r="AN83" s="16">
        <f t="shared" si="69"/>
        <v>0.78225</v>
      </c>
      <c r="AO83" s="16">
        <f t="shared" si="70"/>
        <v>39.744818750000007</v>
      </c>
      <c r="AP83" s="17">
        <f t="shared" si="71"/>
        <v>269.87240937500002</v>
      </c>
    </row>
    <row r="84" spans="1:42">
      <c r="A84" s="33" t="s">
        <v>115</v>
      </c>
      <c r="B84" s="57">
        <f>(Constants!C33*Calculations!B83/(Constants!C34))*(10^6)</f>
        <v>0.01</v>
      </c>
      <c r="C84" s="33" t="s">
        <v>32</v>
      </c>
      <c r="N84">
        <v>23</v>
      </c>
      <c r="O84">
        <f t="shared" si="72"/>
        <v>44.66</v>
      </c>
      <c r="P84" s="15">
        <f t="shared" si="48"/>
        <v>0.27205553067622035</v>
      </c>
      <c r="Q84" s="16">
        <f t="shared" si="49"/>
        <v>0.72794446932377965</v>
      </c>
      <c r="R84" s="16">
        <f t="shared" si="50"/>
        <v>36.852188759516345</v>
      </c>
      <c r="S84" s="17">
        <f t="shared" si="51"/>
        <v>268.42609437975818</v>
      </c>
      <c r="T84" s="15">
        <f t="shared" si="52"/>
        <v>0.27317510076130769</v>
      </c>
      <c r="U84" s="16">
        <f t="shared" si="53"/>
        <v>0.72682489923869231</v>
      </c>
      <c r="V84" s="16">
        <f t="shared" si="54"/>
        <v>36.94693237796686</v>
      </c>
      <c r="W84" s="17">
        <f t="shared" si="55"/>
        <v>268.47346618898342</v>
      </c>
      <c r="X84" s="15">
        <f t="shared" si="56"/>
        <v>0.27429467084639503</v>
      </c>
      <c r="Y84" s="16">
        <f t="shared" si="57"/>
        <v>0.72570532915360497</v>
      </c>
      <c r="Z84" s="16">
        <f t="shared" si="58"/>
        <v>37.04120950888192</v>
      </c>
      <c r="AA84" s="17">
        <f t="shared" si="59"/>
        <v>268.52060475444097</v>
      </c>
      <c r="AC84">
        <v>23</v>
      </c>
      <c r="AD84">
        <f t="shared" si="73"/>
        <v>12.196</v>
      </c>
      <c r="AE84" s="15">
        <f t="shared" si="60"/>
        <v>0.34845714285714285</v>
      </c>
      <c r="AF84" s="16">
        <f t="shared" si="61"/>
        <v>0.6515428571428572</v>
      </c>
      <c r="AG84" s="16">
        <f t="shared" si="62"/>
        <v>33.109236190476196</v>
      </c>
      <c r="AH84" s="17">
        <f t="shared" si="63"/>
        <v>266.55461809523808</v>
      </c>
      <c r="AI84" s="15">
        <f t="shared" si="64"/>
        <v>0.25408333333333333</v>
      </c>
      <c r="AJ84" s="16">
        <f t="shared" si="65"/>
        <v>0.74591666666666667</v>
      </c>
      <c r="AK84" s="16">
        <f t="shared" si="66"/>
        <v>37.904998611111118</v>
      </c>
      <c r="AL84" s="17">
        <f t="shared" si="67"/>
        <v>268.95249930555553</v>
      </c>
      <c r="AM84" s="15">
        <f t="shared" si="68"/>
        <v>0.21778571428571428</v>
      </c>
      <c r="AN84" s="16">
        <f t="shared" si="69"/>
        <v>0.78221428571428575</v>
      </c>
      <c r="AO84" s="16">
        <f t="shared" si="70"/>
        <v>39.749522619047617</v>
      </c>
      <c r="AP84" s="17">
        <f t="shared" si="71"/>
        <v>269.87476130952382</v>
      </c>
    </row>
    <row r="85" spans="1:42">
      <c r="A85" s="33" t="s">
        <v>181</v>
      </c>
      <c r="B85" s="56">
        <f>Design_Converter!B74</f>
        <v>3.3000000000000002E-2</v>
      </c>
      <c r="C85" s="33" t="s">
        <v>32</v>
      </c>
      <c r="N85">
        <v>24</v>
      </c>
      <c r="O85">
        <f t="shared" si="72"/>
        <v>45.08</v>
      </c>
      <c r="P85" s="15">
        <f t="shared" si="48"/>
        <v>0.26952085181898849</v>
      </c>
      <c r="Q85" s="16">
        <f t="shared" si="49"/>
        <v>0.73047914818101156</v>
      </c>
      <c r="R85" s="16">
        <f t="shared" si="50"/>
        <v>36.980506876663718</v>
      </c>
      <c r="S85" s="17">
        <f t="shared" si="51"/>
        <v>268.49025343833188</v>
      </c>
      <c r="T85" s="15">
        <f t="shared" si="52"/>
        <v>0.27062999112688552</v>
      </c>
      <c r="U85" s="16">
        <f t="shared" si="53"/>
        <v>0.72937000887311454</v>
      </c>
      <c r="V85" s="16">
        <f t="shared" si="54"/>
        <v>37.076308784383308</v>
      </c>
      <c r="W85" s="17">
        <f t="shared" si="55"/>
        <v>268.53815439219164</v>
      </c>
      <c r="X85" s="15">
        <f t="shared" si="56"/>
        <v>0.27173913043478259</v>
      </c>
      <c r="Y85" s="16">
        <f t="shared" si="57"/>
        <v>0.72826086956521741</v>
      </c>
      <c r="Z85" s="16">
        <f t="shared" si="58"/>
        <v>37.17164855072464</v>
      </c>
      <c r="AA85" s="17">
        <f t="shared" si="59"/>
        <v>268.58582427536231</v>
      </c>
      <c r="AC85">
        <v>24</v>
      </c>
      <c r="AD85">
        <f t="shared" si="73"/>
        <v>12.198</v>
      </c>
      <c r="AE85" s="15">
        <f t="shared" si="60"/>
        <v>0.34851428571428572</v>
      </c>
      <c r="AF85" s="16">
        <f t="shared" si="61"/>
        <v>0.65148571428571422</v>
      </c>
      <c r="AG85" s="16">
        <f t="shared" si="62"/>
        <v>33.111761428571427</v>
      </c>
      <c r="AH85" s="17">
        <f t="shared" si="63"/>
        <v>266.55588071428571</v>
      </c>
      <c r="AI85" s="15">
        <f t="shared" si="64"/>
        <v>0.25412499999999999</v>
      </c>
      <c r="AJ85" s="16">
        <f t="shared" si="65"/>
        <v>0.74587500000000007</v>
      </c>
      <c r="AK85" s="16">
        <f t="shared" si="66"/>
        <v>37.909096874999996</v>
      </c>
      <c r="AL85" s="17">
        <f t="shared" si="67"/>
        <v>268.95454843750002</v>
      </c>
      <c r="AM85" s="15">
        <f t="shared" si="68"/>
        <v>0.21782142857142858</v>
      </c>
      <c r="AN85" s="16">
        <f t="shared" si="69"/>
        <v>0.78217857142857139</v>
      </c>
      <c r="AO85" s="16">
        <f t="shared" si="70"/>
        <v>39.754225892857143</v>
      </c>
      <c r="AP85" s="17">
        <f t="shared" si="71"/>
        <v>269.87711294642855</v>
      </c>
    </row>
    <row r="86" spans="1:42">
      <c r="A86" s="33" t="s">
        <v>183</v>
      </c>
      <c r="B86" s="57">
        <f>1000*(Constants!C34*(B85*10^-6)/(Constants!C33))</f>
        <v>6.6</v>
      </c>
      <c r="C86" s="33" t="s">
        <v>114</v>
      </c>
      <c r="N86">
        <v>25</v>
      </c>
      <c r="O86">
        <f t="shared" si="72"/>
        <v>45.5</v>
      </c>
      <c r="P86" s="15">
        <f t="shared" si="48"/>
        <v>0.26703296703296703</v>
      </c>
      <c r="Q86" s="16">
        <f t="shared" si="49"/>
        <v>0.73296703296703303</v>
      </c>
      <c r="R86" s="16">
        <f t="shared" si="50"/>
        <v>37.106456043956044</v>
      </c>
      <c r="S86" s="17">
        <f t="shared" si="51"/>
        <v>268.55322802197804</v>
      </c>
      <c r="T86" s="15">
        <f t="shared" si="52"/>
        <v>0.26813186813186812</v>
      </c>
      <c r="U86" s="16">
        <f t="shared" si="53"/>
        <v>0.73186813186813193</v>
      </c>
      <c r="V86" s="16">
        <f t="shared" si="54"/>
        <v>37.203296703296701</v>
      </c>
      <c r="W86" s="17">
        <f t="shared" si="55"/>
        <v>268.60164835164835</v>
      </c>
      <c r="X86" s="15">
        <f t="shared" si="56"/>
        <v>0.26923076923076922</v>
      </c>
      <c r="Y86" s="16">
        <f t="shared" si="57"/>
        <v>0.73076923076923084</v>
      </c>
      <c r="Z86" s="16">
        <f t="shared" si="58"/>
        <v>37.299679487179489</v>
      </c>
      <c r="AA86" s="17">
        <f t="shared" si="59"/>
        <v>268.64983974358972</v>
      </c>
      <c r="AC86">
        <v>25</v>
      </c>
      <c r="AD86">
        <f t="shared" si="73"/>
        <v>12.200000000000001</v>
      </c>
      <c r="AE86" s="15">
        <f t="shared" si="60"/>
        <v>0.34857142857142859</v>
      </c>
      <c r="AF86" s="16">
        <f t="shared" si="61"/>
        <v>0.65142857142857147</v>
      </c>
      <c r="AG86" s="16">
        <f t="shared" si="62"/>
        <v>33.114285714285714</v>
      </c>
      <c r="AH86" s="17">
        <f t="shared" si="63"/>
        <v>266.55714285714288</v>
      </c>
      <c r="AI86" s="15">
        <f t="shared" si="64"/>
        <v>0.25416666666666671</v>
      </c>
      <c r="AJ86" s="16">
        <f t="shared" si="65"/>
        <v>0.74583333333333335</v>
      </c>
      <c r="AK86" s="16">
        <f t="shared" si="66"/>
        <v>37.913194444444443</v>
      </c>
      <c r="AL86" s="17">
        <f t="shared" si="67"/>
        <v>268.95659722222223</v>
      </c>
      <c r="AM86" s="15">
        <f t="shared" si="68"/>
        <v>0.21785714285714289</v>
      </c>
      <c r="AN86" s="16">
        <f t="shared" si="69"/>
        <v>0.78214285714285714</v>
      </c>
      <c r="AO86" s="16">
        <f t="shared" si="70"/>
        <v>39.758928571428577</v>
      </c>
      <c r="AP86" s="17">
        <f t="shared" si="71"/>
        <v>269.87946428571428</v>
      </c>
    </row>
    <row r="87" spans="1:42">
      <c r="N87">
        <v>26</v>
      </c>
      <c r="O87">
        <f t="shared" si="72"/>
        <v>45.92</v>
      </c>
      <c r="P87" s="15">
        <f t="shared" si="48"/>
        <v>0.26459059233449478</v>
      </c>
      <c r="Q87" s="16">
        <f t="shared" si="49"/>
        <v>0.73540940766550522</v>
      </c>
      <c r="R87" s="16">
        <f t="shared" si="50"/>
        <v>37.23010126306621</v>
      </c>
      <c r="S87" s="17">
        <f t="shared" si="51"/>
        <v>268.61505063153311</v>
      </c>
      <c r="T87" s="15">
        <f t="shared" si="52"/>
        <v>0.26567944250871078</v>
      </c>
      <c r="U87" s="16">
        <f t="shared" si="53"/>
        <v>0.73432055749128922</v>
      </c>
      <c r="V87" s="16">
        <f t="shared" si="54"/>
        <v>37.327961672473869</v>
      </c>
      <c r="W87" s="17">
        <f t="shared" si="55"/>
        <v>268.66398083623693</v>
      </c>
      <c r="X87" s="15">
        <f t="shared" si="56"/>
        <v>0.26676829268292684</v>
      </c>
      <c r="Y87" s="16">
        <f t="shared" si="57"/>
        <v>0.7332317073170731</v>
      </c>
      <c r="Z87" s="16">
        <f t="shared" si="58"/>
        <v>37.425368394308947</v>
      </c>
      <c r="AA87" s="17">
        <f t="shared" si="59"/>
        <v>268.71268419715449</v>
      </c>
      <c r="AC87">
        <v>26</v>
      </c>
      <c r="AD87">
        <f t="shared" si="73"/>
        <v>12.202</v>
      </c>
      <c r="AE87" s="15">
        <f t="shared" si="60"/>
        <v>0.34862857142857145</v>
      </c>
      <c r="AF87" s="16">
        <f t="shared" si="61"/>
        <v>0.65137142857142849</v>
      </c>
      <c r="AG87" s="16">
        <f t="shared" si="62"/>
        <v>33.11680904761905</v>
      </c>
      <c r="AH87" s="17">
        <f t="shared" si="63"/>
        <v>266.55840452380954</v>
      </c>
      <c r="AI87" s="15">
        <f t="shared" si="64"/>
        <v>0.25420833333333331</v>
      </c>
      <c r="AJ87" s="16">
        <f t="shared" si="65"/>
        <v>0.74579166666666663</v>
      </c>
      <c r="AK87" s="16">
        <f t="shared" si="66"/>
        <v>37.917291319444445</v>
      </c>
      <c r="AL87" s="17">
        <f t="shared" si="67"/>
        <v>268.95864565972221</v>
      </c>
      <c r="AM87" s="15">
        <f t="shared" si="68"/>
        <v>0.21789285714285714</v>
      </c>
      <c r="AN87" s="16">
        <f t="shared" si="69"/>
        <v>0.78210714285714289</v>
      </c>
      <c r="AO87" s="16">
        <f t="shared" si="70"/>
        <v>39.763630654761911</v>
      </c>
      <c r="AP87" s="17">
        <f t="shared" si="71"/>
        <v>269.88181532738093</v>
      </c>
    </row>
    <row r="88" spans="1:42">
      <c r="A88" s="33" t="s">
        <v>160</v>
      </c>
      <c r="B88" s="60"/>
      <c r="C88" s="33"/>
      <c r="N88">
        <v>27</v>
      </c>
      <c r="O88">
        <f t="shared" si="72"/>
        <v>46.34</v>
      </c>
      <c r="P88" s="15">
        <f t="shared" si="48"/>
        <v>0.26219249028916702</v>
      </c>
      <c r="Q88" s="16">
        <f t="shared" si="49"/>
        <v>0.73780750971083298</v>
      </c>
      <c r="R88" s="16">
        <f t="shared" si="50"/>
        <v>37.351505179110923</v>
      </c>
      <c r="S88" s="17">
        <f t="shared" si="51"/>
        <v>268.67575258955549</v>
      </c>
      <c r="T88" s="15">
        <f t="shared" si="52"/>
        <v>0.26327147173068621</v>
      </c>
      <c r="U88" s="16">
        <f t="shared" si="53"/>
        <v>0.73672852826931379</v>
      </c>
      <c r="V88" s="16">
        <f t="shared" si="54"/>
        <v>37.450366853690113</v>
      </c>
      <c r="W88" s="17">
        <f t="shared" si="55"/>
        <v>268.72518342684504</v>
      </c>
      <c r="X88" s="15">
        <f t="shared" si="56"/>
        <v>0.2643504531722054</v>
      </c>
      <c r="Y88" s="16">
        <f t="shared" si="57"/>
        <v>0.7356495468277946</v>
      </c>
      <c r="Z88" s="16">
        <f t="shared" si="58"/>
        <v>37.548778952668684</v>
      </c>
      <c r="AA88" s="17">
        <f t="shared" si="59"/>
        <v>268.77438947633436</v>
      </c>
      <c r="AC88">
        <v>27</v>
      </c>
      <c r="AD88">
        <f t="shared" si="73"/>
        <v>12.204000000000001</v>
      </c>
      <c r="AE88" s="15">
        <f t="shared" si="60"/>
        <v>0.34868571428571432</v>
      </c>
      <c r="AF88" s="16">
        <f t="shared" si="61"/>
        <v>0.65131428571428573</v>
      </c>
      <c r="AG88" s="16">
        <f t="shared" si="62"/>
        <v>33.119331428571435</v>
      </c>
      <c r="AH88" s="17">
        <f t="shared" si="63"/>
        <v>266.5596657142857</v>
      </c>
      <c r="AI88" s="15">
        <f t="shared" si="64"/>
        <v>0.25425000000000003</v>
      </c>
      <c r="AJ88" s="16">
        <f t="shared" si="65"/>
        <v>0.74574999999999991</v>
      </c>
      <c r="AK88" s="16">
        <f t="shared" si="66"/>
        <v>37.921387500000009</v>
      </c>
      <c r="AL88" s="17">
        <f t="shared" si="67"/>
        <v>268.96069375000002</v>
      </c>
      <c r="AM88" s="15">
        <f t="shared" si="68"/>
        <v>0.21792857142857144</v>
      </c>
      <c r="AN88" s="16">
        <f t="shared" si="69"/>
        <v>0.78207142857142853</v>
      </c>
      <c r="AO88" s="16">
        <f t="shared" si="70"/>
        <v>39.768332142857147</v>
      </c>
      <c r="AP88" s="17">
        <f t="shared" si="71"/>
        <v>269.88416607142858</v>
      </c>
    </row>
    <row r="89" spans="1:42">
      <c r="A89" s="33" t="s">
        <v>161</v>
      </c>
      <c r="B89" s="56">
        <f>Design_Converter!B80</f>
        <v>70</v>
      </c>
      <c r="C89" s="33" t="s">
        <v>1</v>
      </c>
      <c r="N89">
        <v>28</v>
      </c>
      <c r="O89">
        <f t="shared" si="72"/>
        <v>46.76</v>
      </c>
      <c r="P89" s="15">
        <f t="shared" si="48"/>
        <v>0.2598374679213003</v>
      </c>
      <c r="Q89" s="16">
        <f t="shared" si="49"/>
        <v>0.74016253207869975</v>
      </c>
      <c r="R89" s="16">
        <f t="shared" si="50"/>
        <v>37.470728186484187</v>
      </c>
      <c r="S89" s="17">
        <f t="shared" si="51"/>
        <v>268.73536409324208</v>
      </c>
      <c r="T89" s="15">
        <f t="shared" si="52"/>
        <v>0.26090675791274592</v>
      </c>
      <c r="U89" s="16">
        <f t="shared" si="53"/>
        <v>0.73909324208725402</v>
      </c>
      <c r="V89" s="16">
        <f t="shared" si="54"/>
        <v>37.570573139435417</v>
      </c>
      <c r="W89" s="17">
        <f t="shared" si="55"/>
        <v>268.7852865697177</v>
      </c>
      <c r="X89" s="15">
        <f t="shared" si="56"/>
        <v>0.2619760479041916</v>
      </c>
      <c r="Y89" s="16">
        <f t="shared" si="57"/>
        <v>0.7380239520958084</v>
      </c>
      <c r="Z89" s="16">
        <f t="shared" si="58"/>
        <v>37.669972554890222</v>
      </c>
      <c r="AA89" s="17">
        <f t="shared" si="59"/>
        <v>268.83498627744513</v>
      </c>
      <c r="AC89">
        <v>28</v>
      </c>
      <c r="AD89">
        <f t="shared" si="73"/>
        <v>12.206</v>
      </c>
      <c r="AE89" s="15">
        <f t="shared" si="60"/>
        <v>0.34874285714285713</v>
      </c>
      <c r="AF89" s="16">
        <f t="shared" si="61"/>
        <v>0.65125714285714287</v>
      </c>
      <c r="AG89" s="16">
        <f t="shared" si="62"/>
        <v>33.121852857142855</v>
      </c>
      <c r="AH89" s="17">
        <f t="shared" si="63"/>
        <v>266.56092642857141</v>
      </c>
      <c r="AI89" s="15">
        <f t="shared" si="64"/>
        <v>0.25429166666666664</v>
      </c>
      <c r="AJ89" s="16">
        <f t="shared" si="65"/>
        <v>0.74570833333333342</v>
      </c>
      <c r="AK89" s="16">
        <f t="shared" si="66"/>
        <v>37.925482986111106</v>
      </c>
      <c r="AL89" s="17">
        <f t="shared" si="67"/>
        <v>268.96274149305555</v>
      </c>
      <c r="AM89" s="15">
        <f t="shared" si="68"/>
        <v>0.21796428571428569</v>
      </c>
      <c r="AN89" s="16">
        <f t="shared" si="69"/>
        <v>0.78203571428571428</v>
      </c>
      <c r="AO89" s="16">
        <f t="shared" si="70"/>
        <v>39.773033035714278</v>
      </c>
      <c r="AP89" s="17">
        <f t="shared" si="71"/>
        <v>269.88651651785716</v>
      </c>
    </row>
    <row r="90" spans="1:42" ht="15">
      <c r="A90" s="33" t="s">
        <v>162</v>
      </c>
      <c r="B90" s="61">
        <f>Constants!C19*Constants!C18/(B89-Constants!C18)/1000</f>
        <v>51.660248492334517</v>
      </c>
      <c r="C90" s="75" t="s">
        <v>104</v>
      </c>
      <c r="N90">
        <v>29</v>
      </c>
      <c r="O90">
        <f t="shared" si="72"/>
        <v>47.18</v>
      </c>
      <c r="P90" s="15">
        <f t="shared" si="48"/>
        <v>0.25752437473505724</v>
      </c>
      <c r="Q90" s="16">
        <f t="shared" si="49"/>
        <v>0.74247562526494271</v>
      </c>
      <c r="R90" s="16">
        <f t="shared" si="50"/>
        <v>37.587828529037729</v>
      </c>
      <c r="S90" s="17">
        <f t="shared" si="51"/>
        <v>268.79391426451889</v>
      </c>
      <c r="T90" s="15">
        <f t="shared" si="52"/>
        <v>0.2585841458245019</v>
      </c>
      <c r="U90" s="16">
        <f t="shared" si="53"/>
        <v>0.74141585417549805</v>
      </c>
      <c r="V90" s="16">
        <f t="shared" si="54"/>
        <v>37.688639253921153</v>
      </c>
      <c r="W90" s="17">
        <f t="shared" si="55"/>
        <v>268.84431962696056</v>
      </c>
      <c r="X90" s="15">
        <f t="shared" si="56"/>
        <v>0.25964391691394662</v>
      </c>
      <c r="Y90" s="16">
        <f t="shared" si="57"/>
        <v>0.74035608308605338</v>
      </c>
      <c r="Z90" s="16">
        <f t="shared" si="58"/>
        <v>37.789008407517315</v>
      </c>
      <c r="AA90" s="17">
        <f t="shared" si="59"/>
        <v>268.89450420375863</v>
      </c>
      <c r="AC90">
        <v>29</v>
      </c>
      <c r="AD90">
        <f t="shared" si="73"/>
        <v>12.208</v>
      </c>
      <c r="AE90" s="15">
        <f t="shared" si="60"/>
        <v>0.3488</v>
      </c>
      <c r="AF90" s="16">
        <f t="shared" si="61"/>
        <v>0.6512</v>
      </c>
      <c r="AG90" s="16">
        <f t="shared" si="62"/>
        <v>33.124373333333338</v>
      </c>
      <c r="AH90" s="17">
        <f t="shared" si="63"/>
        <v>266.56218666666666</v>
      </c>
      <c r="AI90" s="15">
        <f t="shared" si="64"/>
        <v>0.25433333333333336</v>
      </c>
      <c r="AJ90" s="16">
        <f t="shared" si="65"/>
        <v>0.7456666666666667</v>
      </c>
      <c r="AK90" s="16">
        <f t="shared" si="66"/>
        <v>37.929577777777787</v>
      </c>
      <c r="AL90" s="17">
        <f t="shared" si="67"/>
        <v>268.9647888888889</v>
      </c>
      <c r="AM90" s="15">
        <f t="shared" si="68"/>
        <v>0.218</v>
      </c>
      <c r="AN90" s="16">
        <f t="shared" si="69"/>
        <v>0.78200000000000003</v>
      </c>
      <c r="AO90" s="16">
        <f t="shared" si="70"/>
        <v>39.777733333333337</v>
      </c>
      <c r="AP90" s="17">
        <f t="shared" si="71"/>
        <v>269.88886666666667</v>
      </c>
    </row>
    <row r="91" spans="1:42" ht="15">
      <c r="A91" s="33" t="s">
        <v>164</v>
      </c>
      <c r="B91" s="56">
        <f>Design_Converter!B82</f>
        <v>51.1</v>
      </c>
      <c r="C91" s="75" t="s">
        <v>104</v>
      </c>
      <c r="N91">
        <v>30</v>
      </c>
      <c r="O91">
        <f t="shared" si="72"/>
        <v>47.6</v>
      </c>
      <c r="P91" s="15">
        <f t="shared" si="48"/>
        <v>0.25525210084033612</v>
      </c>
      <c r="Q91" s="16">
        <f t="shared" si="49"/>
        <v>0.74474789915966388</v>
      </c>
      <c r="R91" s="16">
        <f t="shared" si="50"/>
        <v>37.70286239495799</v>
      </c>
      <c r="S91" s="17">
        <f t="shared" si="51"/>
        <v>268.85143119747897</v>
      </c>
      <c r="T91" s="15">
        <f t="shared" si="52"/>
        <v>0.25630252100840334</v>
      </c>
      <c r="U91" s="16">
        <f t="shared" si="53"/>
        <v>0.74369747899159666</v>
      </c>
      <c r="V91" s="16">
        <f t="shared" si="54"/>
        <v>37.804621848739501</v>
      </c>
      <c r="W91" s="17">
        <f t="shared" si="55"/>
        <v>268.90231092436977</v>
      </c>
      <c r="X91" s="15">
        <f t="shared" si="56"/>
        <v>0.25735294117647056</v>
      </c>
      <c r="Y91" s="16">
        <f t="shared" si="57"/>
        <v>0.74264705882352944</v>
      </c>
      <c r="Z91" s="16">
        <f t="shared" si="58"/>
        <v>37.905943627450981</v>
      </c>
      <c r="AA91" s="17">
        <f t="shared" si="59"/>
        <v>268.95297181372547</v>
      </c>
      <c r="AC91">
        <v>30</v>
      </c>
      <c r="AD91">
        <f t="shared" si="73"/>
        <v>12.21</v>
      </c>
      <c r="AE91" s="15">
        <f t="shared" si="60"/>
        <v>0.34885714285714287</v>
      </c>
      <c r="AF91" s="16">
        <f t="shared" si="61"/>
        <v>0.65114285714285713</v>
      </c>
      <c r="AG91" s="16">
        <f t="shared" si="62"/>
        <v>33.126892857142863</v>
      </c>
      <c r="AH91" s="17">
        <f t="shared" si="63"/>
        <v>266.56344642857141</v>
      </c>
      <c r="AI91" s="15">
        <f t="shared" si="64"/>
        <v>0.25437500000000002</v>
      </c>
      <c r="AJ91" s="16">
        <f t="shared" si="65"/>
        <v>0.74562499999999998</v>
      </c>
      <c r="AK91" s="16">
        <f t="shared" si="66"/>
        <v>37.933671875000002</v>
      </c>
      <c r="AL91" s="17">
        <f t="shared" si="67"/>
        <v>268.96683593749998</v>
      </c>
      <c r="AM91" s="15">
        <f t="shared" si="68"/>
        <v>0.2180357142857143</v>
      </c>
      <c r="AN91" s="16">
        <f t="shared" si="69"/>
        <v>0.78196428571428567</v>
      </c>
      <c r="AO91" s="16">
        <f t="shared" si="70"/>
        <v>39.782433035714291</v>
      </c>
      <c r="AP91" s="17">
        <f t="shared" si="71"/>
        <v>269.89121651785717</v>
      </c>
    </row>
    <row r="92" spans="1:42" ht="15">
      <c r="A92" s="33" t="s">
        <v>163</v>
      </c>
      <c r="B92" s="61">
        <f>((B91*1000+Constants!C19)/(B91*1000))*Constants!C18</f>
        <v>70.754471624266145</v>
      </c>
      <c r="C92" s="75" t="s">
        <v>1</v>
      </c>
      <c r="N92">
        <v>31</v>
      </c>
      <c r="O92">
        <f t="shared" si="72"/>
        <v>48.019999999999996</v>
      </c>
      <c r="P92" s="15">
        <f t="shared" si="48"/>
        <v>0.25301957517700963</v>
      </c>
      <c r="Q92" s="16">
        <f t="shared" si="49"/>
        <v>0.74698042482299032</v>
      </c>
      <c r="R92" s="16">
        <f t="shared" si="50"/>
        <v>37.8158840066639</v>
      </c>
      <c r="S92" s="17">
        <f t="shared" si="51"/>
        <v>268.90794200333193</v>
      </c>
      <c r="T92" s="15">
        <f t="shared" si="52"/>
        <v>0.25406080799666808</v>
      </c>
      <c r="U92" s="16">
        <f t="shared" si="53"/>
        <v>0.74593919200333192</v>
      </c>
      <c r="V92" s="16">
        <f t="shared" si="54"/>
        <v>37.918575593502709</v>
      </c>
      <c r="W92" s="17">
        <f t="shared" si="55"/>
        <v>268.95928779675137</v>
      </c>
      <c r="X92" s="15">
        <f t="shared" si="56"/>
        <v>0.25510204081632654</v>
      </c>
      <c r="Y92" s="16">
        <f t="shared" si="57"/>
        <v>0.74489795918367352</v>
      </c>
      <c r="Z92" s="16">
        <f t="shared" si="58"/>
        <v>38.020833333333336</v>
      </c>
      <c r="AA92" s="17">
        <f t="shared" si="59"/>
        <v>269.01041666666669</v>
      </c>
      <c r="AC92">
        <v>31</v>
      </c>
      <c r="AD92">
        <f t="shared" si="73"/>
        <v>12.212</v>
      </c>
      <c r="AE92" s="15">
        <f t="shared" si="60"/>
        <v>0.34891428571428573</v>
      </c>
      <c r="AF92" s="16">
        <f t="shared" si="61"/>
        <v>0.65108571428571427</v>
      </c>
      <c r="AG92" s="16">
        <f t="shared" si="62"/>
        <v>33.12941142857143</v>
      </c>
      <c r="AH92" s="17">
        <f t="shared" si="63"/>
        <v>266.56470571428571</v>
      </c>
      <c r="AI92" s="15">
        <f t="shared" si="64"/>
        <v>0.25441666666666668</v>
      </c>
      <c r="AJ92" s="16">
        <f t="shared" si="65"/>
        <v>0.74558333333333326</v>
      </c>
      <c r="AK92" s="16">
        <f t="shared" si="66"/>
        <v>37.937765277777778</v>
      </c>
      <c r="AL92" s="17">
        <f t="shared" si="67"/>
        <v>268.96888263888889</v>
      </c>
      <c r="AM92" s="15">
        <f t="shared" si="68"/>
        <v>0.21807142857142855</v>
      </c>
      <c r="AN92" s="16">
        <f t="shared" si="69"/>
        <v>0.78192857142857142</v>
      </c>
      <c r="AO92" s="16">
        <f t="shared" si="70"/>
        <v>39.787132142857139</v>
      </c>
      <c r="AP92" s="17">
        <f t="shared" si="71"/>
        <v>269.89356607142855</v>
      </c>
    </row>
    <row r="93" spans="1:42">
      <c r="A93" s="33" t="s">
        <v>165</v>
      </c>
      <c r="B93" s="56">
        <f>Design_Converter!B85</f>
        <v>23</v>
      </c>
      <c r="C93" s="33" t="s">
        <v>1</v>
      </c>
      <c r="N93">
        <v>32</v>
      </c>
      <c r="O93">
        <f t="shared" si="72"/>
        <v>48.44</v>
      </c>
      <c r="P93" s="15">
        <f t="shared" ref="P93:P111" si="74">IF(I_Channel&lt;(($O93-V12_Min)*V12_Min)/((2*Lm*Fsw)*$O93),SQRT((2*I_Channel*Lm*Fsw*V12_Min)/($O93*($O93-V12_Min))),(V12_Min/$O93))</f>
        <v>0.2508257638315442</v>
      </c>
      <c r="Q93" s="16">
        <f t="shared" ref="Q93:Q111" si="75">IF(I_Channel&lt;(($O93-V12_Min)*V12_Min)/((2*Lm*Fsw)*$O93),SQRT((2*I_Channel*Lm*Fsw*V12_Min)/($O93*($O93-V12_Min)))*(($O93-V12_Min)/(V12_Min)),1-(V12_Min/$O93))</f>
        <v>0.7491742361684558</v>
      </c>
      <c r="R93" s="16">
        <f t="shared" ref="R93:R111" si="76">IF(I_Channel&lt;(($O93-V12_Min)*V12_Min)/((2*Lm*Fsw)*$O93),(P93/(Fsw*Lm))*($O93-V12_Min),((P93/(Fsw*Lm))*($O93-V12_Min)))</f>
        <v>37.926945706028079</v>
      </c>
      <c r="S93" s="17">
        <f t="shared" ref="S93:S111" si="77">IF(I_Channel&lt;(($O93-V12_Min)*V12_Min)/((2*Lm*Fsw)*$O93),(P93/(Fsw*Lm))*($O93-V12_Min),(R93/2)+I_Channel)</f>
        <v>268.96347285301403</v>
      </c>
      <c r="T93" s="15">
        <f t="shared" ref="T93:T111" si="78">IF(I_Channel&lt;(($O93-V12_Nom)*V12_Nom)/((2*Lm*Fsw)*$O93),SQRT((2*I_Channel*Lm*Fsw*V12_Nom)/($O93*($O93-V12_Nom))),(V12_Nom/$O93))</f>
        <v>0.25185796862097443</v>
      </c>
      <c r="U93" s="16">
        <f t="shared" ref="U93:U111" si="79">IF(I_Channel&lt;(($O93-V12_Nom)*V12_Nom)/((2*Lm*Fsw)*$O93),SQRT((2*I_Channel*Lm*Fsw*V12_Nom)/($O93*($O93-V12_Nom)))*(($O93-V12_Nom)/(V12_Nom)),1-(V12_Nom/$O93))</f>
        <v>0.74814203137902557</v>
      </c>
      <c r="V93" s="16">
        <f t="shared" ref="V93:V111" si="80">IF(I_Channel&lt;(($O93-V12_Nom)*V12_Nom)/((2*Lm*Fsw)*$O93),(T93/(Fsw*Lm))*($O93-V12_Nom),((T93/(Fsw*Lm))*($O93-V12_Nom)))</f>
        <v>38.030553261767132</v>
      </c>
      <c r="W93" s="17">
        <f t="shared" ref="W93:W111" si="81">IF(I_Channel&lt;(($O93-V12_Nom)*V12_Nom)/((2*Lm*Fsw)*$O93),(T93/(Fsw*Lm))*($O93-V12_Nom),(V93/2)+I_Channel)</f>
        <v>269.01527663088359</v>
      </c>
      <c r="X93" s="15">
        <f t="shared" ref="X93:X111" si="82">IF(I_Channel&lt;(($O93-V12_Max)*V12_Max)/((2*Lm*Fsw)*$O93),SQRT((2*I_Channel*Lm*Fsw*V12_Max)/($O93*($O93-V12_Max))),(V12_Max/$O93))</f>
        <v>0.25289017341040465</v>
      </c>
      <c r="Y93" s="16">
        <f t="shared" ref="Y93:Y111" si="83">IF(I_Channel&lt;(($O93-V12_Max)*V12_Max)/((2*Lm*Fsw)*$O93),SQRT((2*I_Channel*Lm*Fsw*V12_Max)/($O93*($O93-V12_Max)))*(($O93-V12_Max)/(V12_Max)),1-(V12_Max/$O93))</f>
        <v>0.74710982658959535</v>
      </c>
      <c r="Z93" s="16">
        <f t="shared" ref="Z93:Z111" si="84">IF(I_Channel&lt;(($O93-V12_Max)*V12_Max)/((2*Lm*Fsw)*$O93),(X93/(Fsw*Lm))*($O93-V12_Max),((X93/(Fsw*Lm))*($O93-V12_Max)))</f>
        <v>38.13373073217727</v>
      </c>
      <c r="AA93" s="17">
        <f t="shared" ref="AA93:AA111" si="85">IF(I_Channel&lt;(($O93-V12_Max)*V12_Max)/((2*Lm*Fsw)*$O93),(X93/(Fsw*Lm))*($O93-V12_Max),(Z93/2)+I_Channel)</f>
        <v>269.06686536608862</v>
      </c>
      <c r="AC93">
        <v>32</v>
      </c>
      <c r="AD93">
        <f t="shared" si="73"/>
        <v>12.214</v>
      </c>
      <c r="AE93" s="15">
        <f t="shared" ref="AE93:AE111" si="86">IF(I_Channel&lt;((V48_Min-$AD93)*$AD93)/((2*Lm*Fsw)*V48_Min),SQRT((2*I_Channel*Lm*Fsw*$AD93)/(V48_Min*(V48_Min-$AD93))),($AD93/V48_Min))</f>
        <v>0.3489714285714286</v>
      </c>
      <c r="AF93" s="16">
        <f t="shared" ref="AF93:AF111" si="87">IF(I_Channel&lt;((V48_Min-$AD93)*$AD93)/((2*Lm*Fsw)*V48_Min),SQRT((2*I_Channel*Lm*Fsw*$AD93)/(V48_Min*(V48_Min-$AD93)))*((V48_Min-$AD93)/($AD93)),1-($AD93/V48_Min))</f>
        <v>0.6510285714285714</v>
      </c>
      <c r="AG93" s="16">
        <f t="shared" ref="AG93:AG111" si="88">IF(I_Channel&lt;((V48_Min-$AD93)*$AD93)/((2*Lm*Fsw)*V48_Min),(AE93/(Fsw*Lm))*(V48_Min-$AD93),((AE93/(Fsw*Lm))*(V48_Min-$AD93)))</f>
        <v>33.131929047619053</v>
      </c>
      <c r="AH93" s="17">
        <f t="shared" ref="AH93:AH111" si="89">IF(I_Channel&lt;((V48_Min-$AD93)*$AD93)/((2*Lm*Fsw)*V48_Min),(AE93/(Fsw*Lm))*(V48_Min-$AD93),(AG93/2)+I_Channel)</f>
        <v>266.5659645238095</v>
      </c>
      <c r="AI93" s="15">
        <f t="shared" ref="AI93:AI111" si="90">IF(I_Channel&lt;((V48_Nom-$AD93)*$AD93)/((2*Lm*Fsw)*V48_Nom),SQRT((2*I_Channel*Lm*Fsw*$AD93)/(V48_Nom*(V48_Nom-$AD93))),($AD93/V48_Nom))</f>
        <v>0.25445833333333334</v>
      </c>
      <c r="AJ93" s="16">
        <f t="shared" ref="AJ93:AJ111" si="91">IF(I_Channel&lt;((V48_Nom-$AD93)*$AD93)/((2*Lm*Fsw)*V48_Nom),SQRT((2*I_Channel*Lm*Fsw*$AD93)/(V48_Nom*(V48_Nom-$AD93)))*((V48_Nom-$AD93)/($AD93)),1-($AD93/V48_Nom))</f>
        <v>0.74554166666666666</v>
      </c>
      <c r="AK93" s="16">
        <f t="shared" ref="AK93:AK111" si="92">IF(I_Channel&lt;((V48_Nom-$AD93)*$AD93)/((2*Lm*Fsw)*V48_Nom),(AI93/(Fsw*Lm))*(V48_Nom-$AD93),((AI93/(Fsw*Lm))*(V48_Nom-$AD93)))</f>
        <v>37.94185798611111</v>
      </c>
      <c r="AL93" s="17">
        <f t="shared" ref="AL93:AL111" si="93">IF(I_Channel&lt;((V48_Nom-$AD93)*$AD93)/((2*Lm*Fsw)*V48_Nom),(AI93/(Fsw*Lm))*(V48_Nom-$AD93),(AK93/2)+I_Channel)</f>
        <v>268.97092899305557</v>
      </c>
      <c r="AM93" s="15">
        <f t="shared" ref="AM93:AM111" si="94">IF(I_Channel&lt;((V48_Max-$AD93)*$AD93)/((2*Lm*Fsw)*V48_Max),SQRT((2*I_Channel*Lm*Fsw*$AD93)/(V48_Max*(V48_Max-$AD93))),($AD93/V48_Max))</f>
        <v>0.21810714285714286</v>
      </c>
      <c r="AN93" s="16">
        <f t="shared" ref="AN93:AN111" si="95">IF(I_Channel&lt;((V48_Max-$AD93)*$AD93)/((2*Lm*Fsw)*V48_Max),SQRT((2*I_Channel*Lm*Fsw*$AD93)/(V48_Max*(V48_Max-$AD93)))*((V48_Max-$AD93)/($AD93)),1-($AD93/V48_Max))</f>
        <v>0.78189285714285717</v>
      </c>
      <c r="AO93" s="16">
        <f t="shared" ref="AO93:AO111" si="96">IF(I_Channel&lt;((V48_Max-$AD93)*$AD93)/((2*Lm*Fsw)*V48_Max),(AM93/(Fsw*Lm))*(V48_Max-$AD93),((AM93/(Fsw*Lm))*(V48_Max-$AD93)))</f>
        <v>39.79183065476191</v>
      </c>
      <c r="AP93" s="17">
        <f t="shared" ref="AP93:AP111" si="97">IF(I_Channel&lt;((V48_Max-$AD93)*$AD93)/((2*Lm*Fsw)*V48_Max),(AM93/(Fsw*Lm))*(V48_Max-$AD93),(AO93/2)+I_Channel)</f>
        <v>269.89591532738098</v>
      </c>
    </row>
    <row r="94" spans="1:42" ht="15">
      <c r="A94" s="33" t="s">
        <v>166</v>
      </c>
      <c r="B94" s="61">
        <f>Constants!C20*Constants!C18/(B93-Constants!C18)/1000</f>
        <v>54.320421728168689</v>
      </c>
      <c r="C94" s="75" t="s">
        <v>104</v>
      </c>
      <c r="N94">
        <v>33</v>
      </c>
      <c r="O94">
        <f t="shared" ref="O94:O111" si="98">((V48_Max-V48_Min)/50)*N94+V48_Min</f>
        <v>48.86</v>
      </c>
      <c r="P94" s="15">
        <f t="shared" si="74"/>
        <v>0.24866966844044208</v>
      </c>
      <c r="Q94" s="16">
        <f t="shared" si="75"/>
        <v>0.75133033155955786</v>
      </c>
      <c r="R94" s="16">
        <f t="shared" si="76"/>
        <v>38.036098035202627</v>
      </c>
      <c r="S94" s="17">
        <f t="shared" si="77"/>
        <v>269.0180490176013</v>
      </c>
      <c r="T94" s="15">
        <f t="shared" si="78"/>
        <v>0.24969300040933279</v>
      </c>
      <c r="U94" s="16">
        <f t="shared" si="79"/>
        <v>0.75030699959066727</v>
      </c>
      <c r="V94" s="16">
        <f t="shared" si="80"/>
        <v>38.140605812525578</v>
      </c>
      <c r="W94" s="17">
        <f t="shared" si="81"/>
        <v>269.07030290626278</v>
      </c>
      <c r="X94" s="15">
        <f t="shared" si="82"/>
        <v>0.25071633237822349</v>
      </c>
      <c r="Y94" s="16">
        <f t="shared" si="83"/>
        <v>0.74928366762177645</v>
      </c>
      <c r="Z94" s="16">
        <f t="shared" si="84"/>
        <v>38.24468720152818</v>
      </c>
      <c r="AA94" s="17">
        <f t="shared" si="85"/>
        <v>269.12234360076411</v>
      </c>
      <c r="AC94">
        <v>33</v>
      </c>
      <c r="AD94">
        <f t="shared" ref="AD94:AD111" si="99">((V12_Max-V12_Min)/50)*AC94+V12_Min</f>
        <v>12.215999999999999</v>
      </c>
      <c r="AE94" s="15">
        <f t="shared" si="86"/>
        <v>0.34902857142857141</v>
      </c>
      <c r="AF94" s="16">
        <f t="shared" si="87"/>
        <v>0.65097142857142853</v>
      </c>
      <c r="AG94" s="16">
        <f t="shared" si="88"/>
        <v>33.134445714285711</v>
      </c>
      <c r="AH94" s="17">
        <f t="shared" si="89"/>
        <v>266.56722285714284</v>
      </c>
      <c r="AI94" s="15">
        <f t="shared" si="90"/>
        <v>0.2545</v>
      </c>
      <c r="AJ94" s="16">
        <f t="shared" si="91"/>
        <v>0.74550000000000005</v>
      </c>
      <c r="AK94" s="16">
        <f t="shared" si="92"/>
        <v>37.945950000000003</v>
      </c>
      <c r="AL94" s="17">
        <f t="shared" si="93"/>
        <v>268.97297500000002</v>
      </c>
      <c r="AM94" s="15">
        <f t="shared" si="94"/>
        <v>0.21814285714285714</v>
      </c>
      <c r="AN94" s="16">
        <f t="shared" si="95"/>
        <v>0.78185714285714281</v>
      </c>
      <c r="AO94" s="16">
        <f t="shared" si="96"/>
        <v>39.796528571428567</v>
      </c>
      <c r="AP94" s="17">
        <f t="shared" si="97"/>
        <v>269.89826428571428</v>
      </c>
    </row>
    <row r="95" spans="1:42" ht="15">
      <c r="A95" s="33" t="s">
        <v>167</v>
      </c>
      <c r="B95" s="56">
        <f>Design_Converter!B87</f>
        <v>54.9</v>
      </c>
      <c r="C95" s="75" t="s">
        <v>104</v>
      </c>
      <c r="N95">
        <v>34</v>
      </c>
      <c r="O95">
        <f t="shared" si="98"/>
        <v>49.28</v>
      </c>
      <c r="P95" s="15">
        <f t="shared" si="74"/>
        <v>0.24655032467532467</v>
      </c>
      <c r="Q95" s="16">
        <f t="shared" si="75"/>
        <v>0.75344967532467533</v>
      </c>
      <c r="R95" s="16">
        <f t="shared" si="76"/>
        <v>38.143389813311693</v>
      </c>
      <c r="S95" s="17">
        <f t="shared" si="77"/>
        <v>269.07169490665586</v>
      </c>
      <c r="T95" s="15">
        <f t="shared" si="78"/>
        <v>0.24756493506493504</v>
      </c>
      <c r="U95" s="16">
        <f t="shared" si="79"/>
        <v>0.75243506493506496</v>
      </c>
      <c r="V95" s="16">
        <f t="shared" si="80"/>
        <v>38.248782467532465</v>
      </c>
      <c r="W95" s="17">
        <f t="shared" si="81"/>
        <v>269.12439123376623</v>
      </c>
      <c r="X95" s="15">
        <f t="shared" si="82"/>
        <v>0.24857954545454544</v>
      </c>
      <c r="Y95" s="16">
        <f t="shared" si="83"/>
        <v>0.75142045454545459</v>
      </c>
      <c r="Z95" s="16">
        <f t="shared" si="84"/>
        <v>38.353752367424242</v>
      </c>
      <c r="AA95" s="17">
        <f t="shared" si="85"/>
        <v>269.17687618371212</v>
      </c>
      <c r="AC95">
        <v>34</v>
      </c>
      <c r="AD95">
        <f t="shared" si="99"/>
        <v>12.218</v>
      </c>
      <c r="AE95" s="15">
        <f t="shared" si="86"/>
        <v>0.34908571428571428</v>
      </c>
      <c r="AF95" s="16">
        <f t="shared" si="87"/>
        <v>0.65091428571428578</v>
      </c>
      <c r="AG95" s="16">
        <f t="shared" si="88"/>
        <v>33.136961428571432</v>
      </c>
      <c r="AH95" s="17">
        <f t="shared" si="89"/>
        <v>266.56848071428573</v>
      </c>
      <c r="AI95" s="15">
        <f t="shared" si="90"/>
        <v>0.25454166666666667</v>
      </c>
      <c r="AJ95" s="16">
        <f t="shared" si="91"/>
        <v>0.74545833333333333</v>
      </c>
      <c r="AK95" s="16">
        <f t="shared" si="92"/>
        <v>37.950041319444445</v>
      </c>
      <c r="AL95" s="17">
        <f t="shared" si="93"/>
        <v>268.97502065972225</v>
      </c>
      <c r="AM95" s="15">
        <f t="shared" si="94"/>
        <v>0.21817857142857142</v>
      </c>
      <c r="AN95" s="16">
        <f t="shared" si="95"/>
        <v>0.78182142857142856</v>
      </c>
      <c r="AO95" s="16">
        <f t="shared" si="96"/>
        <v>39.80122589285714</v>
      </c>
      <c r="AP95" s="17">
        <f t="shared" si="97"/>
        <v>269.90061294642857</v>
      </c>
    </row>
    <row r="96" spans="1:42" ht="15">
      <c r="A96" s="33" t="s">
        <v>168</v>
      </c>
      <c r="B96" s="61">
        <f>(Constants!C18*(Constants!C20+(Calculations!B95*1000)))/(Calculations!B95*1000)</f>
        <v>22.769699453551912</v>
      </c>
      <c r="C96" s="75" t="s">
        <v>1</v>
      </c>
      <c r="N96">
        <v>35</v>
      </c>
      <c r="O96">
        <f t="shared" si="98"/>
        <v>49.7</v>
      </c>
      <c r="P96" s="15">
        <f t="shared" si="74"/>
        <v>0.24446680080482897</v>
      </c>
      <c r="Q96" s="16">
        <f t="shared" si="75"/>
        <v>0.75553319919517103</v>
      </c>
      <c r="R96" s="16">
        <f t="shared" si="76"/>
        <v>38.248868209255534</v>
      </c>
      <c r="S96" s="17">
        <f t="shared" si="77"/>
        <v>269.12443410462777</v>
      </c>
      <c r="T96" s="15">
        <f t="shared" si="78"/>
        <v>0.24547283702213277</v>
      </c>
      <c r="U96" s="16">
        <f t="shared" si="79"/>
        <v>0.75452716297786726</v>
      </c>
      <c r="V96" s="16">
        <f t="shared" si="80"/>
        <v>38.355130784708244</v>
      </c>
      <c r="W96" s="17">
        <f t="shared" si="81"/>
        <v>269.1775653923541</v>
      </c>
      <c r="X96" s="15">
        <f t="shared" si="82"/>
        <v>0.2464788732394366</v>
      </c>
      <c r="Y96" s="16">
        <f t="shared" si="83"/>
        <v>0.75352112676056338</v>
      </c>
      <c r="Z96" s="16">
        <f t="shared" si="84"/>
        <v>38.46097417840376</v>
      </c>
      <c r="AA96" s="17">
        <f t="shared" si="85"/>
        <v>269.23048708920186</v>
      </c>
      <c r="AC96">
        <v>35</v>
      </c>
      <c r="AD96">
        <f t="shared" si="99"/>
        <v>12.22</v>
      </c>
      <c r="AE96" s="15">
        <f t="shared" si="86"/>
        <v>0.34914285714285714</v>
      </c>
      <c r="AF96" s="16">
        <f t="shared" si="87"/>
        <v>0.6508571428571428</v>
      </c>
      <c r="AG96" s="16">
        <f t="shared" si="88"/>
        <v>33.139476190476195</v>
      </c>
      <c r="AH96" s="17">
        <f t="shared" si="89"/>
        <v>266.56973809523811</v>
      </c>
      <c r="AI96" s="15">
        <f t="shared" si="90"/>
        <v>0.25458333333333333</v>
      </c>
      <c r="AJ96" s="16">
        <f t="shared" si="91"/>
        <v>0.74541666666666662</v>
      </c>
      <c r="AK96" s="16">
        <f t="shared" si="92"/>
        <v>37.954131944444441</v>
      </c>
      <c r="AL96" s="17">
        <f t="shared" si="93"/>
        <v>268.97706597222225</v>
      </c>
      <c r="AM96" s="15">
        <f t="shared" si="94"/>
        <v>0.21821428571428572</v>
      </c>
      <c r="AN96" s="16">
        <f t="shared" si="95"/>
        <v>0.78178571428571431</v>
      </c>
      <c r="AO96" s="16">
        <f t="shared" si="96"/>
        <v>39.805922619047621</v>
      </c>
      <c r="AP96" s="17">
        <f t="shared" si="97"/>
        <v>269.90296130952379</v>
      </c>
    </row>
    <row r="97" spans="1:42">
      <c r="N97">
        <v>36</v>
      </c>
      <c r="O97">
        <f t="shared" si="98"/>
        <v>50.12</v>
      </c>
      <c r="P97" s="15">
        <f t="shared" si="74"/>
        <v>0.24241819632881087</v>
      </c>
      <c r="Q97" s="16">
        <f t="shared" si="75"/>
        <v>0.7575818036711891</v>
      </c>
      <c r="R97" s="16">
        <f t="shared" si="76"/>
        <v>38.352578810853956</v>
      </c>
      <c r="S97" s="17">
        <f t="shared" si="77"/>
        <v>269.17628940542699</v>
      </c>
      <c r="T97" s="15">
        <f t="shared" si="78"/>
        <v>0.24341580207501995</v>
      </c>
      <c r="U97" s="16">
        <f t="shared" si="79"/>
        <v>0.75658419792498011</v>
      </c>
      <c r="V97" s="16">
        <f t="shared" si="80"/>
        <v>38.459696727853157</v>
      </c>
      <c r="W97" s="17">
        <f t="shared" si="81"/>
        <v>269.22984836392658</v>
      </c>
      <c r="X97" s="15">
        <f t="shared" si="82"/>
        <v>0.24441340782122906</v>
      </c>
      <c r="Y97" s="16">
        <f t="shared" si="83"/>
        <v>0.755586592178771</v>
      </c>
      <c r="Z97" s="16">
        <f t="shared" si="84"/>
        <v>38.566398975791429</v>
      </c>
      <c r="AA97" s="17">
        <f t="shared" si="85"/>
        <v>269.28319948789573</v>
      </c>
      <c r="AC97">
        <v>36</v>
      </c>
      <c r="AD97">
        <f t="shared" si="99"/>
        <v>12.222</v>
      </c>
      <c r="AE97" s="15">
        <f t="shared" si="86"/>
        <v>0.34920000000000001</v>
      </c>
      <c r="AF97" s="16">
        <f t="shared" si="87"/>
        <v>0.65080000000000005</v>
      </c>
      <c r="AG97" s="16">
        <f t="shared" si="88"/>
        <v>33.14199</v>
      </c>
      <c r="AH97" s="17">
        <f t="shared" si="89"/>
        <v>266.57099499999998</v>
      </c>
      <c r="AI97" s="15">
        <f t="shared" si="90"/>
        <v>0.25462499999999999</v>
      </c>
      <c r="AJ97" s="16">
        <f t="shared" si="91"/>
        <v>0.74537500000000001</v>
      </c>
      <c r="AK97" s="16">
        <f t="shared" si="92"/>
        <v>37.958221875</v>
      </c>
      <c r="AL97" s="17">
        <f t="shared" si="93"/>
        <v>268.97911093750002</v>
      </c>
      <c r="AM97" s="15">
        <f t="shared" si="94"/>
        <v>0.21825</v>
      </c>
      <c r="AN97" s="16">
        <f t="shared" si="95"/>
        <v>0.78174999999999994</v>
      </c>
      <c r="AO97" s="16">
        <f t="shared" si="96"/>
        <v>39.810618750000003</v>
      </c>
      <c r="AP97" s="17">
        <f t="shared" si="97"/>
        <v>269.905309375</v>
      </c>
    </row>
    <row r="98" spans="1:42">
      <c r="A98" s="49" t="s">
        <v>169</v>
      </c>
      <c r="B98" s="60"/>
      <c r="C98" s="33"/>
      <c r="N98">
        <v>37</v>
      </c>
      <c r="O98">
        <f t="shared" si="98"/>
        <v>50.54</v>
      </c>
      <c r="P98" s="15">
        <f t="shared" si="74"/>
        <v>0.24040364068064901</v>
      </c>
      <c r="Q98" s="16">
        <f t="shared" si="75"/>
        <v>0.75959635931935099</v>
      </c>
      <c r="R98" s="16">
        <f t="shared" si="76"/>
        <v>38.454565690542147</v>
      </c>
      <c r="S98" s="17">
        <f t="shared" si="77"/>
        <v>269.22728284527108</v>
      </c>
      <c r="T98" s="15">
        <f t="shared" si="78"/>
        <v>0.24139295607439651</v>
      </c>
      <c r="U98" s="16">
        <f t="shared" si="79"/>
        <v>0.75860704392560352</v>
      </c>
      <c r="V98" s="16">
        <f t="shared" si="80"/>
        <v>38.562524732884846</v>
      </c>
      <c r="W98" s="17">
        <f t="shared" si="81"/>
        <v>269.28126236644243</v>
      </c>
      <c r="X98" s="15">
        <f t="shared" si="82"/>
        <v>0.24238227146814406</v>
      </c>
      <c r="Y98" s="16">
        <f t="shared" si="83"/>
        <v>0.75761772853185594</v>
      </c>
      <c r="Z98" s="16">
        <f t="shared" si="84"/>
        <v>38.670071560480153</v>
      </c>
      <c r="AA98" s="17">
        <f t="shared" si="85"/>
        <v>269.3350357802401</v>
      </c>
      <c r="AC98">
        <v>37</v>
      </c>
      <c r="AD98">
        <f t="shared" si="99"/>
        <v>12.224</v>
      </c>
      <c r="AE98" s="15">
        <f t="shared" si="86"/>
        <v>0.34925714285714288</v>
      </c>
      <c r="AF98" s="16">
        <f t="shared" si="87"/>
        <v>0.65074285714285707</v>
      </c>
      <c r="AG98" s="16">
        <f t="shared" si="88"/>
        <v>33.144502857142861</v>
      </c>
      <c r="AH98" s="17">
        <f t="shared" si="89"/>
        <v>266.57225142857141</v>
      </c>
      <c r="AI98" s="15">
        <f t="shared" si="90"/>
        <v>0.25466666666666665</v>
      </c>
      <c r="AJ98" s="16">
        <f t="shared" si="91"/>
        <v>0.7453333333333334</v>
      </c>
      <c r="AK98" s="16">
        <f t="shared" si="92"/>
        <v>37.962311111111106</v>
      </c>
      <c r="AL98" s="17">
        <f t="shared" si="93"/>
        <v>268.98115555555557</v>
      </c>
      <c r="AM98" s="15">
        <f t="shared" si="94"/>
        <v>0.21828571428571428</v>
      </c>
      <c r="AN98" s="16">
        <f t="shared" si="95"/>
        <v>0.78171428571428569</v>
      </c>
      <c r="AO98" s="16">
        <f t="shared" si="96"/>
        <v>39.81531428571428</v>
      </c>
      <c r="AP98" s="17">
        <f t="shared" si="97"/>
        <v>269.90765714285715</v>
      </c>
    </row>
    <row r="99" spans="1:42">
      <c r="A99" s="33" t="s">
        <v>170</v>
      </c>
      <c r="B99" s="56">
        <f>IF(Design_Converter!B93=Lists!A2,0,1)</f>
        <v>1</v>
      </c>
      <c r="C99" s="33"/>
      <c r="E99" s="36" t="s">
        <v>220</v>
      </c>
      <c r="N99">
        <v>38</v>
      </c>
      <c r="O99">
        <f t="shared" si="98"/>
        <v>50.96</v>
      </c>
      <c r="P99" s="15">
        <f t="shared" si="74"/>
        <v>0.23842229199372056</v>
      </c>
      <c r="Q99" s="16">
        <f t="shared" si="75"/>
        <v>0.76157770800627944</v>
      </c>
      <c r="R99" s="16">
        <f t="shared" si="76"/>
        <v>38.554871467817897</v>
      </c>
      <c r="S99" s="17">
        <f t="shared" si="77"/>
        <v>269.27743573390893</v>
      </c>
      <c r="T99" s="15">
        <f t="shared" si="78"/>
        <v>0.23940345368916796</v>
      </c>
      <c r="U99" s="16">
        <f t="shared" si="79"/>
        <v>0.76059654631083207</v>
      </c>
      <c r="V99" s="16">
        <f t="shared" si="80"/>
        <v>38.663657770800633</v>
      </c>
      <c r="W99" s="17">
        <f t="shared" si="81"/>
        <v>269.33182888540034</v>
      </c>
      <c r="X99" s="15">
        <f t="shared" si="82"/>
        <v>0.24038461538461539</v>
      </c>
      <c r="Y99" s="16">
        <f t="shared" si="83"/>
        <v>0.75961538461538458</v>
      </c>
      <c r="Z99" s="16">
        <f t="shared" si="84"/>
        <v>38.772035256410255</v>
      </c>
      <c r="AA99" s="17">
        <f t="shared" si="85"/>
        <v>269.38601762820514</v>
      </c>
      <c r="AC99">
        <v>38</v>
      </c>
      <c r="AD99">
        <f t="shared" si="99"/>
        <v>12.226000000000001</v>
      </c>
      <c r="AE99" s="15">
        <f t="shared" si="86"/>
        <v>0.34931428571428574</v>
      </c>
      <c r="AF99" s="16">
        <f t="shared" si="87"/>
        <v>0.65068571428571431</v>
      </c>
      <c r="AG99" s="16">
        <f t="shared" si="88"/>
        <v>33.147014761904764</v>
      </c>
      <c r="AH99" s="17">
        <f t="shared" si="89"/>
        <v>266.57350738095238</v>
      </c>
      <c r="AI99" s="15">
        <f t="shared" si="90"/>
        <v>0.25470833333333337</v>
      </c>
      <c r="AJ99" s="16">
        <f t="shared" si="91"/>
        <v>0.74529166666666669</v>
      </c>
      <c r="AK99" s="16">
        <f t="shared" si="92"/>
        <v>37.966399652777781</v>
      </c>
      <c r="AL99" s="17">
        <f t="shared" si="93"/>
        <v>268.9831998263889</v>
      </c>
      <c r="AM99" s="15">
        <f t="shared" si="94"/>
        <v>0.21832142857142858</v>
      </c>
      <c r="AN99" s="16">
        <f t="shared" si="95"/>
        <v>0.78167857142857144</v>
      </c>
      <c r="AO99" s="16">
        <f t="shared" si="96"/>
        <v>39.820009226190479</v>
      </c>
      <c r="AP99" s="17">
        <f t="shared" si="97"/>
        <v>269.91000461309523</v>
      </c>
    </row>
    <row r="100" spans="1:42">
      <c r="A100" s="33" t="s">
        <v>174</v>
      </c>
      <c r="B100" s="56">
        <f>Design_Converter!B94</f>
        <v>24</v>
      </c>
      <c r="C100" s="33" t="s">
        <v>1</v>
      </c>
      <c r="N100">
        <v>39</v>
      </c>
      <c r="O100">
        <f t="shared" si="98"/>
        <v>51.379999999999995</v>
      </c>
      <c r="P100" s="15">
        <f t="shared" si="74"/>
        <v>0.23647333592837683</v>
      </c>
      <c r="Q100" s="16">
        <f t="shared" si="75"/>
        <v>0.76352666407162317</v>
      </c>
      <c r="R100" s="16">
        <f t="shared" si="76"/>
        <v>38.653537368625926</v>
      </c>
      <c r="S100" s="17">
        <f t="shared" si="77"/>
        <v>269.32676868431298</v>
      </c>
      <c r="T100" s="15">
        <f t="shared" si="78"/>
        <v>0.23744647722849357</v>
      </c>
      <c r="U100" s="16">
        <f t="shared" si="79"/>
        <v>0.76255352277150645</v>
      </c>
      <c r="V100" s="16">
        <f t="shared" si="80"/>
        <v>38.763137407551568</v>
      </c>
      <c r="W100" s="17">
        <f t="shared" si="81"/>
        <v>269.38156870377577</v>
      </c>
      <c r="X100" s="15">
        <f t="shared" si="82"/>
        <v>0.23841961852861038</v>
      </c>
      <c r="Y100" s="16">
        <f t="shared" si="83"/>
        <v>0.76158038147138962</v>
      </c>
      <c r="Z100" s="16">
        <f t="shared" si="84"/>
        <v>38.872331970935512</v>
      </c>
      <c r="AA100" s="17">
        <f t="shared" si="85"/>
        <v>269.43616598546777</v>
      </c>
      <c r="AC100">
        <v>39</v>
      </c>
      <c r="AD100">
        <f t="shared" si="99"/>
        <v>12.228</v>
      </c>
      <c r="AE100" s="15">
        <f t="shared" si="86"/>
        <v>0.34937142857142856</v>
      </c>
      <c r="AF100" s="16">
        <f t="shared" si="87"/>
        <v>0.65062857142857144</v>
      </c>
      <c r="AG100" s="16">
        <f t="shared" si="88"/>
        <v>33.149525714285716</v>
      </c>
      <c r="AH100" s="17">
        <f t="shared" si="89"/>
        <v>266.57476285714284</v>
      </c>
      <c r="AI100" s="15">
        <f t="shared" si="90"/>
        <v>0.25474999999999998</v>
      </c>
      <c r="AJ100" s="16">
        <f t="shared" si="91"/>
        <v>0.74524999999999997</v>
      </c>
      <c r="AK100" s="16">
        <f t="shared" si="92"/>
        <v>37.97048749999999</v>
      </c>
      <c r="AL100" s="17">
        <f t="shared" si="93"/>
        <v>268.98524375</v>
      </c>
      <c r="AM100" s="15">
        <f t="shared" si="94"/>
        <v>0.21835714285714286</v>
      </c>
      <c r="AN100" s="16">
        <f t="shared" si="95"/>
        <v>0.78164285714285708</v>
      </c>
      <c r="AO100" s="16">
        <f t="shared" si="96"/>
        <v>39.824703571428572</v>
      </c>
      <c r="AP100" s="17">
        <f t="shared" si="97"/>
        <v>269.91235178571429</v>
      </c>
    </row>
    <row r="101" spans="1:42" ht="15">
      <c r="A101" s="33" t="s">
        <v>175</v>
      </c>
      <c r="B101" s="56">
        <f>Design_Converter!B95</f>
        <v>38.299999999999997</v>
      </c>
      <c r="C101" s="75" t="s">
        <v>104</v>
      </c>
      <c r="N101">
        <v>40</v>
      </c>
      <c r="O101">
        <f t="shared" si="98"/>
        <v>51.8</v>
      </c>
      <c r="P101" s="15">
        <f t="shared" si="74"/>
        <v>0.23455598455598459</v>
      </c>
      <c r="Q101" s="16">
        <f t="shared" si="75"/>
        <v>0.76544401544401541</v>
      </c>
      <c r="R101" s="16">
        <f t="shared" si="76"/>
        <v>38.750603281853287</v>
      </c>
      <c r="S101" s="17">
        <f t="shared" si="77"/>
        <v>269.37530164092664</v>
      </c>
      <c r="T101" s="15">
        <f t="shared" si="78"/>
        <v>0.23552123552123552</v>
      </c>
      <c r="U101" s="16">
        <f t="shared" si="79"/>
        <v>0.76447876447876451</v>
      </c>
      <c r="V101" s="16">
        <f t="shared" si="80"/>
        <v>38.861003861003859</v>
      </c>
      <c r="W101" s="17">
        <f t="shared" si="81"/>
        <v>269.43050193050192</v>
      </c>
      <c r="X101" s="15">
        <f t="shared" si="82"/>
        <v>0.23648648648648649</v>
      </c>
      <c r="Y101" s="16">
        <f t="shared" si="83"/>
        <v>0.76351351351351349</v>
      </c>
      <c r="Z101" s="16">
        <f t="shared" si="84"/>
        <v>38.971002252252248</v>
      </c>
      <c r="AA101" s="17">
        <f t="shared" si="85"/>
        <v>269.48550112612611</v>
      </c>
      <c r="AC101">
        <v>40</v>
      </c>
      <c r="AD101">
        <f t="shared" si="99"/>
        <v>12.23</v>
      </c>
      <c r="AE101" s="15">
        <f t="shared" si="86"/>
        <v>0.34942857142857142</v>
      </c>
      <c r="AF101" s="16">
        <f t="shared" si="87"/>
        <v>0.65057142857142858</v>
      </c>
      <c r="AG101" s="16">
        <f t="shared" si="88"/>
        <v>33.152035714285709</v>
      </c>
      <c r="AH101" s="17">
        <f t="shared" si="89"/>
        <v>266.57601785714286</v>
      </c>
      <c r="AI101" s="15">
        <f t="shared" si="90"/>
        <v>0.25479166666666669</v>
      </c>
      <c r="AJ101" s="16">
        <f t="shared" si="91"/>
        <v>0.74520833333333325</v>
      </c>
      <c r="AK101" s="16">
        <f t="shared" si="92"/>
        <v>37.974574652777783</v>
      </c>
      <c r="AL101" s="17">
        <f t="shared" si="93"/>
        <v>268.98728732638887</v>
      </c>
      <c r="AM101" s="15">
        <f t="shared" si="94"/>
        <v>0.21839285714285714</v>
      </c>
      <c r="AN101" s="16">
        <f t="shared" si="95"/>
        <v>0.78160714285714283</v>
      </c>
      <c r="AO101" s="16">
        <f t="shared" si="96"/>
        <v>39.829397321428573</v>
      </c>
      <c r="AP101" s="17">
        <f t="shared" si="97"/>
        <v>269.91469866071429</v>
      </c>
    </row>
    <row r="102" spans="1:42" ht="15">
      <c r="A102" s="33" t="s">
        <v>176</v>
      </c>
      <c r="B102" s="60">
        <f>((B100-Constants!C11)/(Constants!C11))*B101</f>
        <v>329.37999999999994</v>
      </c>
      <c r="C102" s="75" t="s">
        <v>104</v>
      </c>
      <c r="N102">
        <v>41</v>
      </c>
      <c r="O102">
        <f t="shared" si="98"/>
        <v>52.22</v>
      </c>
      <c r="P102" s="15">
        <f t="shared" si="74"/>
        <v>0.23266947529682117</v>
      </c>
      <c r="Q102" s="16">
        <f t="shared" si="75"/>
        <v>0.76733052470317886</v>
      </c>
      <c r="R102" s="16">
        <f t="shared" si="76"/>
        <v>38.846107813098435</v>
      </c>
      <c r="S102" s="17">
        <f t="shared" si="77"/>
        <v>269.42305390654923</v>
      </c>
      <c r="T102" s="15">
        <f t="shared" si="78"/>
        <v>0.23362696284948295</v>
      </c>
      <c r="U102" s="16">
        <f t="shared" si="79"/>
        <v>0.76637303715051708</v>
      </c>
      <c r="V102" s="16">
        <f t="shared" si="80"/>
        <v>38.957296055151282</v>
      </c>
      <c r="W102" s="17">
        <f t="shared" si="81"/>
        <v>269.47864802757562</v>
      </c>
      <c r="X102" s="15">
        <f t="shared" si="82"/>
        <v>0.23458445040214479</v>
      </c>
      <c r="Y102" s="16">
        <f t="shared" si="83"/>
        <v>0.76541554959785518</v>
      </c>
      <c r="Z102" s="16">
        <f t="shared" si="84"/>
        <v>39.068085344057195</v>
      </c>
      <c r="AA102" s="17">
        <f t="shared" si="85"/>
        <v>269.53404267202859</v>
      </c>
      <c r="AC102">
        <v>41</v>
      </c>
      <c r="AD102">
        <f t="shared" si="99"/>
        <v>12.231999999999999</v>
      </c>
      <c r="AE102" s="15">
        <f t="shared" si="86"/>
        <v>0.34948571428571429</v>
      </c>
      <c r="AF102" s="16">
        <f t="shared" si="87"/>
        <v>0.65051428571428571</v>
      </c>
      <c r="AG102" s="16">
        <f t="shared" si="88"/>
        <v>33.154544761904766</v>
      </c>
      <c r="AH102" s="17">
        <f t="shared" si="89"/>
        <v>266.57727238095237</v>
      </c>
      <c r="AI102" s="15">
        <f t="shared" si="90"/>
        <v>0.2548333333333333</v>
      </c>
      <c r="AJ102" s="16">
        <f t="shared" si="91"/>
        <v>0.74516666666666675</v>
      </c>
      <c r="AK102" s="16">
        <f t="shared" si="92"/>
        <v>37.978661111111109</v>
      </c>
      <c r="AL102" s="17">
        <f t="shared" si="93"/>
        <v>268.98933055555557</v>
      </c>
      <c r="AM102" s="15">
        <f t="shared" si="94"/>
        <v>0.21842857142857142</v>
      </c>
      <c r="AN102" s="16">
        <f t="shared" si="95"/>
        <v>0.78157142857142858</v>
      </c>
      <c r="AO102" s="16">
        <f t="shared" si="96"/>
        <v>39.834090476190475</v>
      </c>
      <c r="AP102" s="17">
        <f t="shared" si="97"/>
        <v>269.91704523809523</v>
      </c>
    </row>
    <row r="103" spans="1:42" ht="15">
      <c r="A103" s="33" t="s">
        <v>177</v>
      </c>
      <c r="B103" s="56">
        <f>Design_Converter!B97</f>
        <v>100</v>
      </c>
      <c r="C103" s="75" t="s">
        <v>104</v>
      </c>
      <c r="N103">
        <v>42</v>
      </c>
      <c r="O103">
        <f t="shared" si="98"/>
        <v>52.64</v>
      </c>
      <c r="P103" s="15">
        <f t="shared" si="74"/>
        <v>0.23081306990881459</v>
      </c>
      <c r="Q103" s="16">
        <f t="shared" si="75"/>
        <v>0.76918693009118544</v>
      </c>
      <c r="R103" s="16">
        <f t="shared" si="76"/>
        <v>38.940088335866264</v>
      </c>
      <c r="S103" s="17">
        <f t="shared" si="77"/>
        <v>269.47004416793311</v>
      </c>
      <c r="T103" s="15">
        <f t="shared" si="78"/>
        <v>0.2317629179331307</v>
      </c>
      <c r="U103" s="16">
        <f t="shared" si="79"/>
        <v>0.76823708206686936</v>
      </c>
      <c r="V103" s="16">
        <f t="shared" si="80"/>
        <v>39.052051671732521</v>
      </c>
      <c r="W103" s="17">
        <f t="shared" si="81"/>
        <v>269.52602583586628</v>
      </c>
      <c r="X103" s="15">
        <f t="shared" si="82"/>
        <v>0.2327127659574468</v>
      </c>
      <c r="Y103" s="16">
        <f t="shared" si="83"/>
        <v>0.76728723404255317</v>
      </c>
      <c r="Z103" s="16">
        <f t="shared" si="84"/>
        <v>39.163619237588655</v>
      </c>
      <c r="AA103" s="17">
        <f t="shared" si="85"/>
        <v>269.58180961879435</v>
      </c>
      <c r="AC103">
        <v>42</v>
      </c>
      <c r="AD103">
        <f t="shared" si="99"/>
        <v>12.234</v>
      </c>
      <c r="AE103" s="15">
        <f t="shared" si="86"/>
        <v>0.34954285714285716</v>
      </c>
      <c r="AF103" s="16">
        <f t="shared" si="87"/>
        <v>0.65045714285714284</v>
      </c>
      <c r="AG103" s="16">
        <f t="shared" si="88"/>
        <v>33.157052857142858</v>
      </c>
      <c r="AH103" s="17">
        <f t="shared" si="89"/>
        <v>266.57852642857142</v>
      </c>
      <c r="AI103" s="15">
        <f t="shared" si="90"/>
        <v>0.25487500000000002</v>
      </c>
      <c r="AJ103" s="16">
        <f t="shared" si="91"/>
        <v>0.74512500000000004</v>
      </c>
      <c r="AK103" s="16">
        <f t="shared" si="92"/>
        <v>37.982746874999997</v>
      </c>
      <c r="AL103" s="17">
        <f t="shared" si="93"/>
        <v>268.99137343749999</v>
      </c>
      <c r="AM103" s="15">
        <f t="shared" si="94"/>
        <v>0.21846428571428572</v>
      </c>
      <c r="AN103" s="16">
        <f t="shared" si="95"/>
        <v>0.78153571428571422</v>
      </c>
      <c r="AO103" s="16">
        <f t="shared" si="96"/>
        <v>39.838783035714286</v>
      </c>
      <c r="AP103" s="17">
        <f t="shared" si="97"/>
        <v>269.91939151785715</v>
      </c>
    </row>
    <row r="104" spans="1:42">
      <c r="A104" s="33" t="s">
        <v>240</v>
      </c>
      <c r="B104" s="56">
        <f>IF(Design_Converter!B98=Lists!C2,0,1)</f>
        <v>0</v>
      </c>
      <c r="C104" s="33"/>
      <c r="E104" s="36" t="s">
        <v>239</v>
      </c>
      <c r="N104">
        <v>43</v>
      </c>
      <c r="O104">
        <f t="shared" si="98"/>
        <v>53.06</v>
      </c>
      <c r="P104" s="15">
        <f t="shared" si="74"/>
        <v>0.22898605352431209</v>
      </c>
      <c r="Q104" s="16">
        <f t="shared" si="75"/>
        <v>0.77101394647568788</v>
      </c>
      <c r="R104" s="16">
        <f t="shared" si="76"/>
        <v>39.032581040331706</v>
      </c>
      <c r="S104" s="17">
        <f t="shared" si="77"/>
        <v>269.51629052016585</v>
      </c>
      <c r="T104" s="15">
        <f t="shared" si="78"/>
        <v>0.22992838296268372</v>
      </c>
      <c r="U104" s="16">
        <f t="shared" si="79"/>
        <v>0.7700716170373163</v>
      </c>
      <c r="V104" s="16">
        <f t="shared" si="80"/>
        <v>39.145307199396903</v>
      </c>
      <c r="W104" s="17">
        <f t="shared" si="81"/>
        <v>269.57265359969847</v>
      </c>
      <c r="X104" s="15">
        <f t="shared" si="82"/>
        <v>0.23087071240105539</v>
      </c>
      <c r="Y104" s="16">
        <f t="shared" si="83"/>
        <v>0.76912928759894461</v>
      </c>
      <c r="Z104" s="16">
        <f t="shared" si="84"/>
        <v>39.257640721196132</v>
      </c>
      <c r="AA104" s="17">
        <f t="shared" si="85"/>
        <v>269.62882036059807</v>
      </c>
      <c r="AC104">
        <v>43</v>
      </c>
      <c r="AD104">
        <f t="shared" si="99"/>
        <v>12.236000000000001</v>
      </c>
      <c r="AE104" s="15">
        <f t="shared" si="86"/>
        <v>0.34960000000000002</v>
      </c>
      <c r="AF104" s="16">
        <f t="shared" si="87"/>
        <v>0.65039999999999998</v>
      </c>
      <c r="AG104" s="16">
        <f t="shared" si="88"/>
        <v>33.159559999999999</v>
      </c>
      <c r="AH104" s="17">
        <f t="shared" si="89"/>
        <v>266.57978000000003</v>
      </c>
      <c r="AI104" s="15">
        <f t="shared" si="90"/>
        <v>0.25491666666666668</v>
      </c>
      <c r="AJ104" s="16">
        <f t="shared" si="91"/>
        <v>0.74508333333333332</v>
      </c>
      <c r="AK104" s="16">
        <f t="shared" si="92"/>
        <v>37.986831944444447</v>
      </c>
      <c r="AL104" s="17">
        <f t="shared" si="93"/>
        <v>268.99341597222224</v>
      </c>
      <c r="AM104" s="15">
        <f t="shared" si="94"/>
        <v>0.2185</v>
      </c>
      <c r="AN104" s="16">
        <f t="shared" si="95"/>
        <v>0.78149999999999997</v>
      </c>
      <c r="AO104" s="16">
        <f t="shared" si="96"/>
        <v>39.843474999999998</v>
      </c>
      <c r="AP104" s="17">
        <f t="shared" si="97"/>
        <v>269.92173750000001</v>
      </c>
    </row>
    <row r="105" spans="1:42">
      <c r="A105" s="33" t="s">
        <v>242</v>
      </c>
      <c r="B105" s="56">
        <f>Design_Converter!B99</f>
        <v>2.4</v>
      </c>
      <c r="C105" s="74" t="s">
        <v>1</v>
      </c>
      <c r="N105">
        <v>44</v>
      </c>
      <c r="O105">
        <f t="shared" si="98"/>
        <v>53.480000000000004</v>
      </c>
      <c r="P105" s="15">
        <f t="shared" si="74"/>
        <v>0.22718773373223633</v>
      </c>
      <c r="Q105" s="16">
        <f t="shared" si="75"/>
        <v>0.77281226626776367</v>
      </c>
      <c r="R105" s="16">
        <f t="shared" si="76"/>
        <v>39.123620979805537</v>
      </c>
      <c r="S105" s="17">
        <f t="shared" si="77"/>
        <v>269.56181048990277</v>
      </c>
      <c r="T105" s="15">
        <f t="shared" si="78"/>
        <v>0.22812266267763648</v>
      </c>
      <c r="U105" s="16">
        <f t="shared" si="79"/>
        <v>0.77187733732236352</v>
      </c>
      <c r="V105" s="16">
        <f t="shared" si="80"/>
        <v>39.237097980553479</v>
      </c>
      <c r="W105" s="17">
        <f t="shared" si="81"/>
        <v>269.61854899027674</v>
      </c>
      <c r="X105" s="15">
        <f t="shared" si="82"/>
        <v>0.22905759162303663</v>
      </c>
      <c r="Y105" s="16">
        <f t="shared" si="83"/>
        <v>0.77094240837696337</v>
      </c>
      <c r="Z105" s="16">
        <f t="shared" si="84"/>
        <v>39.350185427574168</v>
      </c>
      <c r="AA105" s="17">
        <f t="shared" si="85"/>
        <v>269.67509271378708</v>
      </c>
      <c r="AC105">
        <v>44</v>
      </c>
      <c r="AD105">
        <f t="shared" si="99"/>
        <v>12.238</v>
      </c>
      <c r="AE105" s="15">
        <f t="shared" si="86"/>
        <v>0.34965714285714283</v>
      </c>
      <c r="AF105" s="16">
        <f t="shared" si="87"/>
        <v>0.65034285714285711</v>
      </c>
      <c r="AG105" s="16">
        <f t="shared" si="88"/>
        <v>33.162066190476189</v>
      </c>
      <c r="AH105" s="17">
        <f t="shared" si="89"/>
        <v>266.58103309523807</v>
      </c>
      <c r="AI105" s="15">
        <f t="shared" si="90"/>
        <v>0.25495833333333334</v>
      </c>
      <c r="AJ105" s="16">
        <f t="shared" si="91"/>
        <v>0.7450416666666666</v>
      </c>
      <c r="AK105" s="16">
        <f t="shared" si="92"/>
        <v>37.990916319444445</v>
      </c>
      <c r="AL105" s="17">
        <f t="shared" si="93"/>
        <v>268.9954581597222</v>
      </c>
      <c r="AM105" s="15">
        <f t="shared" si="94"/>
        <v>0.21853571428571428</v>
      </c>
      <c r="AN105" s="16">
        <f t="shared" si="95"/>
        <v>0.78146428571428572</v>
      </c>
      <c r="AO105" s="16">
        <f t="shared" si="96"/>
        <v>39.848166369047618</v>
      </c>
      <c r="AP105" s="17">
        <f t="shared" si="97"/>
        <v>269.92408318452379</v>
      </c>
    </row>
    <row r="106" spans="1:42" ht="15">
      <c r="A106" s="33" t="s">
        <v>243</v>
      </c>
      <c r="B106" s="70">
        <f>((B105/Constants!C13)-(B103*1000))/(1+(B103/B101))/1000</f>
        <v>-1.1077368040491684</v>
      </c>
      <c r="C106" s="75" t="s">
        <v>104</v>
      </c>
      <c r="N106">
        <v>45</v>
      </c>
      <c r="O106">
        <f t="shared" si="98"/>
        <v>53.9</v>
      </c>
      <c r="P106" s="15">
        <f t="shared" si="74"/>
        <v>0.225417439703154</v>
      </c>
      <c r="Q106" s="16">
        <f t="shared" si="75"/>
        <v>0.77458256029684602</v>
      </c>
      <c r="R106" s="16">
        <f t="shared" si="76"/>
        <v>39.213242115027832</v>
      </c>
      <c r="S106" s="17">
        <f t="shared" si="77"/>
        <v>269.60662105751391</v>
      </c>
      <c r="T106" s="15">
        <f t="shared" si="78"/>
        <v>0.22634508348794063</v>
      </c>
      <c r="U106" s="16">
        <f t="shared" si="79"/>
        <v>0.77365491651205942</v>
      </c>
      <c r="V106" s="16">
        <f t="shared" si="80"/>
        <v>39.327458256029686</v>
      </c>
      <c r="W106" s="17">
        <f t="shared" si="81"/>
        <v>269.66372912801484</v>
      </c>
      <c r="X106" s="15">
        <f t="shared" si="82"/>
        <v>0.22727272727272727</v>
      </c>
      <c r="Y106" s="16">
        <f t="shared" si="83"/>
        <v>0.77272727272727271</v>
      </c>
      <c r="Z106" s="16">
        <f t="shared" si="84"/>
        <v>39.441287878787882</v>
      </c>
      <c r="AA106" s="17">
        <f t="shared" si="85"/>
        <v>269.72064393939394</v>
      </c>
      <c r="AC106">
        <v>45</v>
      </c>
      <c r="AD106">
        <f t="shared" si="99"/>
        <v>12.24</v>
      </c>
      <c r="AE106" s="15">
        <f t="shared" si="86"/>
        <v>0.3497142857142857</v>
      </c>
      <c r="AF106" s="16">
        <f t="shared" si="87"/>
        <v>0.65028571428571436</v>
      </c>
      <c r="AG106" s="16">
        <f t="shared" si="88"/>
        <v>33.164571428571421</v>
      </c>
      <c r="AH106" s="17">
        <f t="shared" si="89"/>
        <v>266.58228571428572</v>
      </c>
      <c r="AI106" s="15">
        <f t="shared" si="90"/>
        <v>0.255</v>
      </c>
      <c r="AJ106" s="16">
        <f t="shared" si="91"/>
        <v>0.745</v>
      </c>
      <c r="AK106" s="16">
        <f t="shared" si="92"/>
        <v>37.994999999999997</v>
      </c>
      <c r="AL106" s="17">
        <f t="shared" si="93"/>
        <v>268.9975</v>
      </c>
      <c r="AM106" s="15">
        <f t="shared" si="94"/>
        <v>0.21857142857142858</v>
      </c>
      <c r="AN106" s="16">
        <f t="shared" si="95"/>
        <v>0.78142857142857136</v>
      </c>
      <c r="AO106" s="16">
        <f t="shared" si="96"/>
        <v>39.852857142857147</v>
      </c>
      <c r="AP106" s="17">
        <f t="shared" si="97"/>
        <v>269.92642857142857</v>
      </c>
    </row>
    <row r="107" spans="1:42" ht="15">
      <c r="A107" s="33" t="s">
        <v>244</v>
      </c>
      <c r="B107" s="56">
        <f>Design_Converter!B101</f>
        <v>0.97299999999999998</v>
      </c>
      <c r="C107" s="75" t="s">
        <v>104</v>
      </c>
      <c r="N107">
        <v>46</v>
      </c>
      <c r="O107">
        <f t="shared" si="98"/>
        <v>54.32</v>
      </c>
      <c r="P107" s="15">
        <f t="shared" si="74"/>
        <v>0.22367452135493374</v>
      </c>
      <c r="Q107" s="16">
        <f t="shared" si="75"/>
        <v>0.77632547864506629</v>
      </c>
      <c r="R107" s="16">
        <f t="shared" si="76"/>
        <v>39.301477356406487</v>
      </c>
      <c r="S107" s="17">
        <f t="shared" si="77"/>
        <v>269.65073867820325</v>
      </c>
      <c r="T107" s="15">
        <f t="shared" si="78"/>
        <v>0.22459499263622973</v>
      </c>
      <c r="U107" s="16">
        <f t="shared" si="79"/>
        <v>0.77540500736377027</v>
      </c>
      <c r="V107" s="16">
        <f t="shared" si="80"/>
        <v>39.416421207658324</v>
      </c>
      <c r="W107" s="17">
        <f t="shared" si="81"/>
        <v>269.70821060382917</v>
      </c>
      <c r="X107" s="15">
        <f t="shared" si="82"/>
        <v>0.22551546391752578</v>
      </c>
      <c r="Y107" s="16">
        <f t="shared" si="83"/>
        <v>0.77448453608247425</v>
      </c>
      <c r="Z107" s="16">
        <f t="shared" si="84"/>
        <v>39.530981529209626</v>
      </c>
      <c r="AA107" s="17">
        <f t="shared" si="85"/>
        <v>269.76549076460481</v>
      </c>
      <c r="AC107">
        <v>46</v>
      </c>
      <c r="AD107">
        <f t="shared" si="99"/>
        <v>12.242000000000001</v>
      </c>
      <c r="AE107" s="15">
        <f t="shared" si="86"/>
        <v>0.34977142857142862</v>
      </c>
      <c r="AF107" s="16">
        <f t="shared" si="87"/>
        <v>0.65022857142857138</v>
      </c>
      <c r="AG107" s="16">
        <f t="shared" si="88"/>
        <v>33.167075714285723</v>
      </c>
      <c r="AH107" s="17">
        <f t="shared" si="89"/>
        <v>266.58353785714286</v>
      </c>
      <c r="AI107" s="15">
        <f t="shared" si="90"/>
        <v>0.25504166666666667</v>
      </c>
      <c r="AJ107" s="16">
        <f t="shared" si="91"/>
        <v>0.74495833333333339</v>
      </c>
      <c r="AK107" s="16">
        <f t="shared" si="92"/>
        <v>37.999082986111112</v>
      </c>
      <c r="AL107" s="17">
        <f t="shared" si="93"/>
        <v>268.99954149305557</v>
      </c>
      <c r="AM107" s="15">
        <f t="shared" si="94"/>
        <v>0.21860714285714286</v>
      </c>
      <c r="AN107" s="16">
        <f t="shared" si="95"/>
        <v>0.78139285714285711</v>
      </c>
      <c r="AO107" s="16">
        <f t="shared" si="96"/>
        <v>39.857547321428569</v>
      </c>
      <c r="AP107" s="17">
        <f t="shared" si="97"/>
        <v>269.92877366071428</v>
      </c>
    </row>
    <row r="108" spans="1:42" ht="15">
      <c r="A108" s="1" t="s">
        <v>179</v>
      </c>
      <c r="B108" s="70">
        <f>IF(B104=0,Constants!C13*Calculations!B103*1000,((B103*1000)+(B107*1000)*(1+(B103/B101)))*Constants!C13)</f>
        <v>2.4999999999999996</v>
      </c>
      <c r="C108" s="75" t="s">
        <v>1</v>
      </c>
      <c r="N108">
        <v>47</v>
      </c>
      <c r="O108">
        <f t="shared" si="98"/>
        <v>54.739999999999995</v>
      </c>
      <c r="P108" s="15">
        <f t="shared" si="74"/>
        <v>0.22195834855681407</v>
      </c>
      <c r="Q108" s="16">
        <f t="shared" si="75"/>
        <v>0.77804165144318593</v>
      </c>
      <c r="R108" s="16">
        <f t="shared" si="76"/>
        <v>39.388358604311293</v>
      </c>
      <c r="S108" s="17">
        <f t="shared" si="77"/>
        <v>269.69417930215565</v>
      </c>
      <c r="T108" s="15">
        <f t="shared" si="78"/>
        <v>0.22287175739861162</v>
      </c>
      <c r="U108" s="16">
        <f t="shared" si="79"/>
        <v>0.77712824260138835</v>
      </c>
      <c r="V108" s="16">
        <f t="shared" si="80"/>
        <v>39.504018998903902</v>
      </c>
      <c r="W108" s="17">
        <f t="shared" si="81"/>
        <v>269.75200949945196</v>
      </c>
      <c r="X108" s="15">
        <f t="shared" si="82"/>
        <v>0.22378516624040923</v>
      </c>
      <c r="Y108" s="16">
        <f t="shared" si="83"/>
        <v>0.77621483375959077</v>
      </c>
      <c r="Z108" s="16">
        <f t="shared" si="84"/>
        <v>39.619298806479115</v>
      </c>
      <c r="AA108" s="17">
        <f t="shared" si="85"/>
        <v>269.80964940323958</v>
      </c>
      <c r="AC108">
        <v>47</v>
      </c>
      <c r="AD108">
        <f t="shared" si="99"/>
        <v>12.244</v>
      </c>
      <c r="AE108" s="15">
        <f t="shared" si="86"/>
        <v>0.34982857142857143</v>
      </c>
      <c r="AF108" s="16">
        <f t="shared" si="87"/>
        <v>0.65017142857142862</v>
      </c>
      <c r="AG108" s="16">
        <f t="shared" si="88"/>
        <v>33.169579047619045</v>
      </c>
      <c r="AH108" s="17">
        <f t="shared" si="89"/>
        <v>266.58478952380955</v>
      </c>
      <c r="AI108" s="15">
        <f t="shared" si="90"/>
        <v>0.25508333333333333</v>
      </c>
      <c r="AJ108" s="16">
        <f t="shared" si="91"/>
        <v>0.74491666666666667</v>
      </c>
      <c r="AK108" s="16">
        <f t="shared" si="92"/>
        <v>38.003165277777782</v>
      </c>
      <c r="AL108" s="17">
        <f t="shared" si="93"/>
        <v>269.00158263888886</v>
      </c>
      <c r="AM108" s="15">
        <f t="shared" si="94"/>
        <v>0.21864285714285714</v>
      </c>
      <c r="AN108" s="16">
        <f t="shared" si="95"/>
        <v>0.78135714285714286</v>
      </c>
      <c r="AO108" s="16">
        <f t="shared" si="96"/>
        <v>39.862236904761907</v>
      </c>
      <c r="AP108" s="17">
        <f t="shared" si="97"/>
        <v>269.93111845238093</v>
      </c>
    </row>
    <row r="109" spans="1:42" ht="15">
      <c r="A109" s="1" t="s">
        <v>245</v>
      </c>
      <c r="B109" s="60">
        <f>Constants!C11*((Calculations!B101+Calculations!B103)/Calculations!B101)</f>
        <v>9.0274151436031342</v>
      </c>
      <c r="C109" s="75" t="s">
        <v>1</v>
      </c>
      <c r="N109">
        <v>48</v>
      </c>
      <c r="O109">
        <f t="shared" si="98"/>
        <v>55.16</v>
      </c>
      <c r="P109" s="15">
        <f t="shared" si="74"/>
        <v>0.22026831036983324</v>
      </c>
      <c r="Q109" s="16">
        <f t="shared" si="75"/>
        <v>0.7797316896301667</v>
      </c>
      <c r="R109" s="16">
        <f t="shared" si="76"/>
        <v>39.473916787527202</v>
      </c>
      <c r="S109" s="17">
        <f t="shared" si="77"/>
        <v>269.73695839376359</v>
      </c>
      <c r="T109" s="15">
        <f t="shared" si="78"/>
        <v>0.22117476432197244</v>
      </c>
      <c r="U109" s="16">
        <f t="shared" si="79"/>
        <v>0.77882523567802753</v>
      </c>
      <c r="V109" s="16">
        <f t="shared" si="80"/>
        <v>39.59028281363306</v>
      </c>
      <c r="W109" s="17">
        <f t="shared" si="81"/>
        <v>269.79514140681653</v>
      </c>
      <c r="X109" s="15">
        <f t="shared" si="82"/>
        <v>0.2220812182741117</v>
      </c>
      <c r="Y109" s="16">
        <f t="shared" si="83"/>
        <v>0.77791878172588835</v>
      </c>
      <c r="Z109" s="16">
        <f t="shared" si="84"/>
        <v>39.706271150592215</v>
      </c>
      <c r="AA109" s="17">
        <f t="shared" si="85"/>
        <v>269.85313557529611</v>
      </c>
      <c r="AC109">
        <v>48</v>
      </c>
      <c r="AD109">
        <f t="shared" si="99"/>
        <v>12.246</v>
      </c>
      <c r="AE109" s="15">
        <f t="shared" si="86"/>
        <v>0.3498857142857143</v>
      </c>
      <c r="AF109" s="16">
        <f t="shared" si="87"/>
        <v>0.65011428571428564</v>
      </c>
      <c r="AG109" s="16">
        <f t="shared" si="88"/>
        <v>33.172081428571431</v>
      </c>
      <c r="AH109" s="17">
        <f t="shared" si="89"/>
        <v>266.58604071428573</v>
      </c>
      <c r="AI109" s="15">
        <f t="shared" si="90"/>
        <v>0.25512499999999999</v>
      </c>
      <c r="AJ109" s="16">
        <f t="shared" si="91"/>
        <v>0.74487499999999995</v>
      </c>
      <c r="AK109" s="16">
        <f t="shared" si="92"/>
        <v>38.007246875</v>
      </c>
      <c r="AL109" s="17">
        <f t="shared" si="93"/>
        <v>269.00362343749998</v>
      </c>
      <c r="AM109" s="15">
        <f t="shared" si="94"/>
        <v>0.21867857142857144</v>
      </c>
      <c r="AN109" s="16">
        <f t="shared" si="95"/>
        <v>0.7813214285714285</v>
      </c>
      <c r="AO109" s="16">
        <f t="shared" si="96"/>
        <v>39.866925892857147</v>
      </c>
      <c r="AP109" s="17">
        <f t="shared" si="97"/>
        <v>269.93346294642856</v>
      </c>
    </row>
    <row r="110" spans="1:42" ht="15">
      <c r="A110" s="1" t="s">
        <v>246</v>
      </c>
      <c r="B110" s="69">
        <f>B109-B108</f>
        <v>6.5274151436031342</v>
      </c>
      <c r="C110" s="76" t="s">
        <v>1</v>
      </c>
      <c r="N110">
        <v>49</v>
      </c>
      <c r="O110">
        <f t="shared" si="98"/>
        <v>55.58</v>
      </c>
      <c r="P110" s="15">
        <f t="shared" si="74"/>
        <v>0.21860381432169845</v>
      </c>
      <c r="Q110" s="16">
        <f t="shared" si="75"/>
        <v>0.7813961856783016</v>
      </c>
      <c r="R110" s="16">
        <f t="shared" si="76"/>
        <v>39.558181899964012</v>
      </c>
      <c r="S110" s="17">
        <f t="shared" si="77"/>
        <v>269.77909094998199</v>
      </c>
      <c r="T110" s="15">
        <f t="shared" si="78"/>
        <v>0.2195034184958618</v>
      </c>
      <c r="U110" s="16">
        <f t="shared" si="79"/>
        <v>0.78049658150413825</v>
      </c>
      <c r="V110" s="16">
        <f t="shared" si="80"/>
        <v>39.67524289312702</v>
      </c>
      <c r="W110" s="17">
        <f t="shared" si="81"/>
        <v>269.8376214465635</v>
      </c>
      <c r="X110" s="15">
        <f t="shared" si="82"/>
        <v>0.22040302267002521</v>
      </c>
      <c r="Y110" s="16">
        <f t="shared" si="83"/>
        <v>0.77959697732997479</v>
      </c>
      <c r="Z110" s="16">
        <f t="shared" si="84"/>
        <v>39.791929051217465</v>
      </c>
      <c r="AA110" s="17">
        <f t="shared" si="85"/>
        <v>269.89596452560875</v>
      </c>
      <c r="AC110">
        <v>49</v>
      </c>
      <c r="AD110">
        <f t="shared" si="99"/>
        <v>12.247999999999999</v>
      </c>
      <c r="AE110" s="15">
        <f t="shared" si="86"/>
        <v>0.34994285714285711</v>
      </c>
      <c r="AF110" s="16">
        <f t="shared" si="87"/>
        <v>0.65005714285714289</v>
      </c>
      <c r="AG110" s="16">
        <f t="shared" si="88"/>
        <v>33.174582857142859</v>
      </c>
      <c r="AH110" s="17">
        <f t="shared" si="89"/>
        <v>266.5872914285714</v>
      </c>
      <c r="AI110" s="15">
        <f t="shared" si="90"/>
        <v>0.25516666666666665</v>
      </c>
      <c r="AJ110" s="16">
        <f t="shared" si="91"/>
        <v>0.74483333333333335</v>
      </c>
      <c r="AK110" s="16">
        <f t="shared" si="92"/>
        <v>38.01132777777778</v>
      </c>
      <c r="AL110" s="17">
        <f t="shared" si="93"/>
        <v>269.00566388888888</v>
      </c>
      <c r="AM110" s="15">
        <f t="shared" si="94"/>
        <v>0.21871428571428569</v>
      </c>
      <c r="AN110" s="16">
        <f t="shared" si="95"/>
        <v>0.78128571428571436</v>
      </c>
      <c r="AO110" s="16">
        <f t="shared" si="96"/>
        <v>39.871614285714287</v>
      </c>
      <c r="AP110" s="17">
        <f t="shared" si="97"/>
        <v>269.93580714285713</v>
      </c>
    </row>
    <row r="111" spans="1:42" ht="15">
      <c r="A111" s="1" t="s">
        <v>178</v>
      </c>
      <c r="B111" s="60">
        <f>Constants!C12*(Calculations!B101+Calculations!B103)/Calculations!B101</f>
        <v>4.5137075718015671</v>
      </c>
      <c r="C111" s="75" t="s">
        <v>1</v>
      </c>
      <c r="N111">
        <v>50</v>
      </c>
      <c r="O111">
        <f t="shared" si="98"/>
        <v>56</v>
      </c>
      <c r="P111" s="15">
        <f t="shared" si="74"/>
        <v>0.21696428571428572</v>
      </c>
      <c r="Q111" s="16">
        <f t="shared" si="75"/>
        <v>0.78303571428571428</v>
      </c>
      <c r="R111" s="16">
        <f t="shared" si="76"/>
        <v>39.641183035714292</v>
      </c>
      <c r="S111" s="17">
        <f t="shared" si="77"/>
        <v>269.82059151785717</v>
      </c>
      <c r="T111" s="15">
        <f t="shared" si="78"/>
        <v>0.21785714285714283</v>
      </c>
      <c r="U111" s="16">
        <f t="shared" si="79"/>
        <v>0.78214285714285714</v>
      </c>
      <c r="V111" s="16">
        <f t="shared" si="80"/>
        <v>39.758928571428562</v>
      </c>
      <c r="W111" s="17">
        <f t="shared" si="81"/>
        <v>269.87946428571428</v>
      </c>
      <c r="X111" s="15">
        <f t="shared" si="82"/>
        <v>0.21875</v>
      </c>
      <c r="Y111" s="16">
        <f t="shared" si="83"/>
        <v>0.78125</v>
      </c>
      <c r="Z111" s="16">
        <f t="shared" si="84"/>
        <v>39.876302083333336</v>
      </c>
      <c r="AA111" s="17">
        <f t="shared" si="85"/>
        <v>269.93815104166669</v>
      </c>
      <c r="AC111">
        <v>50</v>
      </c>
      <c r="AD111">
        <f t="shared" si="99"/>
        <v>12.25</v>
      </c>
      <c r="AE111" s="15">
        <f t="shared" si="86"/>
        <v>0.35</v>
      </c>
      <c r="AF111" s="16">
        <f t="shared" si="87"/>
        <v>0.65</v>
      </c>
      <c r="AG111" s="16">
        <f t="shared" si="88"/>
        <v>33.177083333333329</v>
      </c>
      <c r="AH111" s="17">
        <f t="shared" si="89"/>
        <v>266.58854166666669</v>
      </c>
      <c r="AI111" s="15">
        <f t="shared" si="90"/>
        <v>0.25520833333333331</v>
      </c>
      <c r="AJ111" s="16">
        <f t="shared" si="91"/>
        <v>0.74479166666666674</v>
      </c>
      <c r="AK111" s="16">
        <f t="shared" si="92"/>
        <v>38.015407986111114</v>
      </c>
      <c r="AL111" s="17">
        <f t="shared" si="93"/>
        <v>269.00770399305554</v>
      </c>
      <c r="AM111" s="15">
        <f t="shared" si="94"/>
        <v>0.21875</v>
      </c>
      <c r="AN111" s="16">
        <f t="shared" si="95"/>
        <v>0.78125</v>
      </c>
      <c r="AO111" s="16">
        <f t="shared" si="96"/>
        <v>39.876302083333336</v>
      </c>
      <c r="AP111" s="17">
        <f t="shared" si="97"/>
        <v>269.93815104166669</v>
      </c>
    </row>
    <row r="114" spans="1:28" ht="15.75" customHeight="1">
      <c r="A114" s="47" t="s">
        <v>184</v>
      </c>
    </row>
    <row r="115" spans="1:28">
      <c r="A115" s="33" t="s">
        <v>211</v>
      </c>
      <c r="B115" s="56">
        <f>Design_Converter!B110</f>
        <v>3.2</v>
      </c>
      <c r="C115" s="33" t="s">
        <v>1</v>
      </c>
      <c r="D115" s="36">
        <f>IF(B115&gt;Constants!C48,1,0)</f>
        <v>0</v>
      </c>
      <c r="E115" s="36" t="s">
        <v>188</v>
      </c>
    </row>
    <row r="116" spans="1:28" ht="15">
      <c r="A116" s="33" t="s">
        <v>212</v>
      </c>
      <c r="B116" s="61">
        <f>(B115/((Constants!C6/Constants!C16)+(Constants!C15)))/1000</f>
        <v>11.636363636363637</v>
      </c>
      <c r="C116" s="75" t="s">
        <v>104</v>
      </c>
    </row>
    <row r="117" spans="1:28" s="23" customFormat="1" ht="15">
      <c r="A117" s="33" t="s">
        <v>186</v>
      </c>
      <c r="B117" s="66">
        <f>Design_Converter!B112</f>
        <v>9.09</v>
      </c>
      <c r="C117" s="75" t="s">
        <v>104</v>
      </c>
      <c r="D117" s="36"/>
      <c r="E117" s="36"/>
      <c r="F117"/>
      <c r="G117"/>
      <c r="H117"/>
      <c r="AB117"/>
    </row>
    <row r="118" spans="1:28">
      <c r="A118" s="33" t="s">
        <v>213</v>
      </c>
      <c r="B118" s="57">
        <f>((Constants!C6/Constants!C16)+(Constants!C15))*B117*1000</f>
        <v>2.4997500000000001</v>
      </c>
      <c r="C118" s="33" t="s">
        <v>1</v>
      </c>
      <c r="D118" s="36">
        <f>IF(B118&gt;Constants!C48,1,0)</f>
        <v>0</v>
      </c>
      <c r="E118" s="36" t="s">
        <v>188</v>
      </c>
    </row>
    <row r="119" spans="1:28">
      <c r="A119" s="33" t="s">
        <v>214</v>
      </c>
      <c r="B119" s="57">
        <f>(Constants!C15)*B117*1000</f>
        <v>0.22724999999999998</v>
      </c>
      <c r="C119" s="74" t="s">
        <v>1</v>
      </c>
    </row>
    <row r="120" spans="1:28">
      <c r="A120" s="33" t="s">
        <v>215</v>
      </c>
      <c r="B120" s="61">
        <f>((100*10^-6)/(B117*1000))*(10^9)</f>
        <v>11.001100110011</v>
      </c>
      <c r="C120" s="74" t="s">
        <v>40</v>
      </c>
      <c r="E120" s="36" t="s">
        <v>217</v>
      </c>
    </row>
    <row r="121" spans="1:28">
      <c r="A121" s="33" t="s">
        <v>216</v>
      </c>
      <c r="B121" s="56">
        <f>Design_Converter!B116</f>
        <v>10</v>
      </c>
      <c r="C121" s="74" t="s">
        <v>40</v>
      </c>
    </row>
    <row r="122" spans="1:28">
      <c r="A122" s="33" t="s">
        <v>218</v>
      </c>
      <c r="B122" s="64">
        <f>(1/(2*PI()*B117*1000*(B121*10^-9)))*(1/1000)</f>
        <v>1.7508794619570447</v>
      </c>
      <c r="C122" s="74" t="s">
        <v>3</v>
      </c>
    </row>
    <row r="123" spans="1:28">
      <c r="A123" s="33" t="s">
        <v>219</v>
      </c>
      <c r="B123" s="61">
        <f>((B64*Rcs/(Constants!C16))*(B117*1000)*(10^(-(LOG10(Fsw/(B122*1000))))))*1000</f>
        <v>6.3278300141804449</v>
      </c>
      <c r="C123" s="74" t="s">
        <v>72</v>
      </c>
    </row>
    <row r="126" spans="1:28">
      <c r="A126" s="36" t="s">
        <v>223</v>
      </c>
    </row>
    <row r="127" spans="1:28">
      <c r="A127" s="33" t="s">
        <v>227</v>
      </c>
      <c r="B127" s="56">
        <f>IF(Design_Converter!B123=Lists!G2,0,1)</f>
        <v>1</v>
      </c>
      <c r="C127" s="33"/>
      <c r="E127" s="36" t="s">
        <v>228</v>
      </c>
    </row>
    <row r="128" spans="1:28">
      <c r="A128" s="33" t="s">
        <v>229</v>
      </c>
      <c r="B128" s="56">
        <f>Design_Converter!B124*(10^-9)</f>
        <v>5.5000000000000003E-8</v>
      </c>
      <c r="C128" s="33" t="s">
        <v>23</v>
      </c>
      <c r="D128" s="36">
        <f>IF(B128&lt;Constants!C31,1,IF(B128&gt;Constants!C32,1,0))</f>
        <v>0</v>
      </c>
      <c r="E128" s="36" t="s">
        <v>247</v>
      </c>
    </row>
    <row r="129" spans="1:8" ht="15">
      <c r="A129" s="33" t="s">
        <v>231</v>
      </c>
      <c r="B129" s="60">
        <f>(B128-Constants!C27)/(Constants!C26*1000)</f>
        <v>9.75</v>
      </c>
      <c r="C129" s="75" t="s">
        <v>104</v>
      </c>
    </row>
    <row r="130" spans="1:8" ht="15">
      <c r="A130" s="33" t="s">
        <v>232</v>
      </c>
      <c r="B130" s="56">
        <f>Design_Converter!B126</f>
        <v>40.200000000000003</v>
      </c>
      <c r="C130" s="75" t="s">
        <v>104</v>
      </c>
    </row>
    <row r="131" spans="1:8">
      <c r="A131" s="33" t="s">
        <v>233</v>
      </c>
      <c r="B131" s="60">
        <f>IF(B127=1,(((B130*1000)*Constants!C26)+Constants!C27)*(10^9),(Constants!C29*(10^9)))</f>
        <v>176.79999999999998</v>
      </c>
      <c r="C131" s="33" t="s">
        <v>97</v>
      </c>
    </row>
    <row r="132" spans="1:8">
      <c r="A132" s="33" t="s">
        <v>234</v>
      </c>
      <c r="B132" s="60">
        <f>IF(B127=1,(((B130*1000)*Constants!C26)+Constants!C27)*(10^9),(Constants!C30*(10^9)))</f>
        <v>176.79999999999998</v>
      </c>
      <c r="C132" s="33" t="s">
        <v>97</v>
      </c>
    </row>
    <row r="133" spans="1:8">
      <c r="H133" s="23"/>
    </row>
    <row r="134" spans="1:8">
      <c r="A134" s="53" t="s">
        <v>252</v>
      </c>
      <c r="B134" s="53"/>
      <c r="C134" s="53"/>
    </row>
    <row r="135" spans="1:8">
      <c r="A135" s="33" t="s">
        <v>250</v>
      </c>
      <c r="B135" s="56">
        <f>Design_Converter!B134</f>
        <v>50</v>
      </c>
      <c r="C135" s="74" t="s">
        <v>251</v>
      </c>
    </row>
    <row r="136" spans="1:8">
      <c r="A136" s="33" t="s">
        <v>254</v>
      </c>
      <c r="B136" s="70">
        <f>1/(Ramp_C*Ramp_R*Fsw)</f>
        <v>0.10493179433368309</v>
      </c>
      <c r="C136" s="74" t="s">
        <v>255</v>
      </c>
    </row>
    <row r="137" spans="1:8">
      <c r="A137" s="33" t="s">
        <v>253</v>
      </c>
      <c r="B137" s="70">
        <f>(Rcs+(B135/1000))/(2*PI()*Lm*1000)</f>
        <v>3.3289908930054777</v>
      </c>
      <c r="C137" s="74" t="s">
        <v>3</v>
      </c>
    </row>
    <row r="138" spans="1:8">
      <c r="A138" s="33" t="s">
        <v>256</v>
      </c>
      <c r="B138" s="67">
        <f>1/(B136*(Rcs+(B135/1000)))</f>
        <v>189.84063745019921</v>
      </c>
      <c r="C138" s="74" t="s">
        <v>42</v>
      </c>
    </row>
    <row r="139" spans="1:8">
      <c r="A139" s="33" t="s">
        <v>257</v>
      </c>
      <c r="B139" s="60">
        <f>Fsw/10</f>
        <v>10000</v>
      </c>
      <c r="C139" s="74" t="s">
        <v>87</v>
      </c>
    </row>
    <row r="140" spans="1:8">
      <c r="A140" s="33" t="s">
        <v>258</v>
      </c>
      <c r="B140" s="56">
        <f>Design_Converter!B137*1000</f>
        <v>10000</v>
      </c>
      <c r="C140" s="74" t="s">
        <v>87</v>
      </c>
    </row>
    <row r="141" spans="1:8">
      <c r="A141" s="33" t="s">
        <v>265</v>
      </c>
      <c r="B141" s="67">
        <f>B137*1000</f>
        <v>3328.9908930054776</v>
      </c>
      <c r="C141" s="74" t="s">
        <v>87</v>
      </c>
    </row>
    <row r="142" spans="1:8">
      <c r="A142" s="33" t="s">
        <v>266</v>
      </c>
      <c r="B142" s="60">
        <f>IF(B140*100&gt;=Fsw/2,Fsw/2,B140*100)</f>
        <v>50000</v>
      </c>
      <c r="C142" s="74" t="s">
        <v>87</v>
      </c>
    </row>
    <row r="143" spans="1:8" ht="15">
      <c r="A143" s="33" t="s">
        <v>259</v>
      </c>
      <c r="B143" s="70">
        <f>((B136/(Rcs*gm*Acs))*IMABS(COMPLEX(Rcs+(B135/1000),2*PI()*B140*Lm)))/1000</f>
        <v>1.6677095175483831</v>
      </c>
      <c r="C143" s="75" t="s">
        <v>104</v>
      </c>
    </row>
    <row r="144" spans="1:8" ht="15">
      <c r="A144" s="33" t="s">
        <v>260</v>
      </c>
      <c r="B144" s="56">
        <f>Design_Converter!B139</f>
        <v>11</v>
      </c>
      <c r="C144" s="75" t="s">
        <v>104</v>
      </c>
    </row>
    <row r="145" spans="1:7">
      <c r="A145" s="33" t="s">
        <v>261</v>
      </c>
      <c r="B145" s="67">
        <f>(Lm/((Rcs+(B135/1000))*(B143*1000)))*(10^9)</f>
        <v>28.667321519229759</v>
      </c>
      <c r="C145" s="74" t="s">
        <v>40</v>
      </c>
    </row>
    <row r="146" spans="1:7">
      <c r="A146" s="33" t="s">
        <v>262</v>
      </c>
      <c r="B146" s="56">
        <f>Design_Converter!B141</f>
        <v>15</v>
      </c>
      <c r="C146" s="33" t="s">
        <v>40</v>
      </c>
    </row>
    <row r="147" spans="1:7">
      <c r="A147" s="33" t="s">
        <v>263</v>
      </c>
      <c r="B147" s="78">
        <f>B145/100</f>
        <v>0.2866732151922976</v>
      </c>
      <c r="C147" s="77" t="s">
        <v>40</v>
      </c>
      <c r="D147" s="37"/>
      <c r="E147" s="73" t="s">
        <v>267</v>
      </c>
      <c r="F147" s="23"/>
      <c r="G147" s="23"/>
    </row>
    <row r="148" spans="1:7">
      <c r="A148" s="33" t="s">
        <v>264</v>
      </c>
      <c r="B148" s="56">
        <f>Design_Converter!B143</f>
        <v>1</v>
      </c>
      <c r="C148" s="33" t="s">
        <v>40</v>
      </c>
    </row>
    <row r="149" spans="1:7">
      <c r="A149" s="33" t="s">
        <v>268</v>
      </c>
      <c r="B149" s="70">
        <f>(1/(2*PI()*B144*1000*B146*(10^-9)))/1000</f>
        <v>0.96457541267815361</v>
      </c>
      <c r="C149" s="33" t="s">
        <v>3</v>
      </c>
    </row>
    <row r="150" spans="1:7">
      <c r="A150" s="33" t="s">
        <v>269</v>
      </c>
      <c r="B150" s="67">
        <f>(1/(2*PI()*B144*1000*B148*(10^-9)))/1000</f>
        <v>14.468631190172303</v>
      </c>
      <c r="C150" s="33" t="s">
        <v>3</v>
      </c>
    </row>
    <row r="151" spans="1:7">
      <c r="A151" s="36" t="s">
        <v>278</v>
      </c>
      <c r="E151" s="36" t="s">
        <v>280</v>
      </c>
    </row>
    <row r="152" spans="1:7">
      <c r="A152" s="36" t="s">
        <v>279</v>
      </c>
      <c r="E152" s="36" t="s">
        <v>280</v>
      </c>
    </row>
    <row r="156" spans="1:7">
      <c r="A156" s="36" t="s">
        <v>399</v>
      </c>
    </row>
    <row r="157" spans="1:7">
      <c r="A157" s="33" t="s">
        <v>433</v>
      </c>
      <c r="B157" s="56">
        <f>Design_Converter!B152</f>
        <v>2</v>
      </c>
      <c r="C157" s="33" t="s">
        <v>1</v>
      </c>
    </row>
    <row r="158" spans="1:7">
      <c r="A158" s="33" t="s">
        <v>419</v>
      </c>
      <c r="B158" s="56">
        <f>Design_Converter!B153*1000</f>
        <v>10000</v>
      </c>
      <c r="C158" s="33" t="s">
        <v>56</v>
      </c>
    </row>
    <row r="159" spans="1:7">
      <c r="A159" s="33" t="s">
        <v>434</v>
      </c>
      <c r="B159" s="60">
        <f>(B158*V12_Nom/B157)-B158</f>
        <v>51000</v>
      </c>
      <c r="C159" s="33" t="s">
        <v>56</v>
      </c>
    </row>
    <row r="160" spans="1:7">
      <c r="A160" s="33" t="s">
        <v>418</v>
      </c>
      <c r="B160" s="56">
        <f>Design_Converter!B155*1000</f>
        <v>51000</v>
      </c>
      <c r="C160" s="33" t="s">
        <v>56</v>
      </c>
    </row>
    <row r="161" spans="1:5">
      <c r="A161" s="33" t="s">
        <v>410</v>
      </c>
      <c r="B161" s="70">
        <f>V12_Nom/(I_Channel_Design*np)</f>
        <v>3.4857142857142857E-2</v>
      </c>
      <c r="C161" s="33" t="s">
        <v>56</v>
      </c>
    </row>
    <row r="162" spans="1:5">
      <c r="A162" s="33" t="s">
        <v>411</v>
      </c>
      <c r="B162" s="67">
        <f>1/(2*PI()*Zo_Buck_Cout*B161)</f>
        <v>795.45653284633818</v>
      </c>
      <c r="C162" s="33" t="s">
        <v>87</v>
      </c>
      <c r="E162" s="36" t="s">
        <v>437</v>
      </c>
    </row>
    <row r="163" spans="1:5">
      <c r="A163" s="33" t="s">
        <v>438</v>
      </c>
      <c r="B163" s="123">
        <f>1/(2*PI()*Zo_Buck_Resr*Zo_Buck_Cout)</f>
        <v>6931.8355005180892</v>
      </c>
      <c r="C163" s="33" t="s">
        <v>87</v>
      </c>
      <c r="E163" s="36" t="s">
        <v>441</v>
      </c>
    </row>
    <row r="164" spans="1:5">
      <c r="A164" s="33" t="s">
        <v>439</v>
      </c>
      <c r="B164" s="60">
        <f>B140/10</f>
        <v>1000</v>
      </c>
      <c r="C164" s="33" t="s">
        <v>87</v>
      </c>
      <c r="E164" s="36" t="s">
        <v>442</v>
      </c>
    </row>
    <row r="165" spans="1:5">
      <c r="A165" s="33" t="s">
        <v>440</v>
      </c>
      <c r="B165" s="60">
        <f>Design_Converter!B157*1000</f>
        <v>1000</v>
      </c>
      <c r="C165" s="33" t="s">
        <v>87</v>
      </c>
    </row>
    <row r="166" spans="1:5">
      <c r="A166" s="54" t="s">
        <v>404</v>
      </c>
      <c r="B166" s="60"/>
      <c r="C166" s="33"/>
    </row>
    <row r="167" spans="1:5">
      <c r="A167" s="33" t="s">
        <v>408</v>
      </c>
      <c r="B167" s="70">
        <f>10^(Compensation!S134/20)</f>
        <v>7.7783772806082832</v>
      </c>
      <c r="C167" s="33" t="s">
        <v>42</v>
      </c>
    </row>
    <row r="168" spans="1:5">
      <c r="A168" s="33" t="s">
        <v>414</v>
      </c>
      <c r="B168" s="67">
        <f>B162</f>
        <v>795.45653284633818</v>
      </c>
      <c r="C168" s="33" t="s">
        <v>87</v>
      </c>
    </row>
    <row r="169" spans="1:5">
      <c r="A169" s="33" t="s">
        <v>417</v>
      </c>
      <c r="B169" s="123">
        <f>IF(B163&gt;(Fsw/2),Fsw/2,B163)</f>
        <v>6931.8355005180892</v>
      </c>
      <c r="C169" s="33" t="s">
        <v>87</v>
      </c>
    </row>
    <row r="170" spans="1:5">
      <c r="A170" s="33" t="s">
        <v>413</v>
      </c>
      <c r="B170" s="70">
        <f>((B160*B165)/(B168*B167))*SQRT(((1+((B165^2)/(B169^2)))/(1+((B165^2)/(B168^2)))))</f>
        <v>5184.3457585093993</v>
      </c>
      <c r="C170" s="124" t="s">
        <v>56</v>
      </c>
    </row>
    <row r="171" spans="1:5">
      <c r="A171" s="33" t="s">
        <v>420</v>
      </c>
      <c r="B171" s="125">
        <f>Design_Converter!B159*1000</f>
        <v>40000</v>
      </c>
      <c r="C171" s="33" t="s">
        <v>56</v>
      </c>
    </row>
    <row r="172" spans="1:5">
      <c r="A172" s="33" t="s">
        <v>422</v>
      </c>
      <c r="B172" s="60">
        <f>1/(2*PI()*B168*B170)</f>
        <v>3.8593104958633568E-8</v>
      </c>
      <c r="C172" s="33" t="s">
        <v>425</v>
      </c>
    </row>
    <row r="173" spans="1:5">
      <c r="A173" s="33" t="s">
        <v>421</v>
      </c>
      <c r="B173" s="56">
        <f>Design_Converter!B161*(10^-9)</f>
        <v>3.3000000000000002E-9</v>
      </c>
      <c r="C173" s="33" t="s">
        <v>425</v>
      </c>
    </row>
    <row r="174" spans="1:5">
      <c r="A174" s="33" t="s">
        <v>423</v>
      </c>
      <c r="B174" s="60">
        <f>1/(2*PI()*B169*B170)</f>
        <v>4.4287169624661481E-9</v>
      </c>
      <c r="C174" s="33"/>
    </row>
    <row r="175" spans="1:5">
      <c r="A175" s="33" t="s">
        <v>424</v>
      </c>
      <c r="B175" s="56">
        <f>Design_Converter!B163*(10^-9)</f>
        <v>1.0000000000000002E-10</v>
      </c>
      <c r="C175" s="33"/>
    </row>
    <row r="176" spans="1:5">
      <c r="A176" s="33" t="s">
        <v>435</v>
      </c>
      <c r="B176" s="70">
        <f>1/(2*PI()*B171*B173)/1000</f>
        <v>1.2057192658476921</v>
      </c>
      <c r="C176" s="33" t="s">
        <v>3</v>
      </c>
    </row>
    <row r="177" spans="1:5">
      <c r="A177" s="33" t="s">
        <v>436</v>
      </c>
      <c r="B177" s="70">
        <f>1/(2*PI()*B171*B175)/1000</f>
        <v>39.78873577297383</v>
      </c>
      <c r="C177" s="33" t="s">
        <v>3</v>
      </c>
    </row>
    <row r="180" spans="1:5">
      <c r="A180" s="36" t="s">
        <v>396</v>
      </c>
    </row>
    <row r="181" spans="1:5">
      <c r="A181" s="33" t="s">
        <v>433</v>
      </c>
      <c r="B181" s="56">
        <f>Design_Converter!B171</f>
        <v>2.5</v>
      </c>
      <c r="C181" s="33" t="s">
        <v>1</v>
      </c>
    </row>
    <row r="182" spans="1:5">
      <c r="A182" s="33" t="s">
        <v>419</v>
      </c>
      <c r="B182" s="56">
        <f>Design_Converter!B172*1000</f>
        <v>1200</v>
      </c>
      <c r="C182" s="33" t="s">
        <v>56</v>
      </c>
    </row>
    <row r="183" spans="1:5">
      <c r="A183" s="33" t="s">
        <v>434</v>
      </c>
      <c r="B183" s="60">
        <f>(B182*V48_Nom/B181)-B182</f>
        <v>21840</v>
      </c>
      <c r="C183" s="33" t="s">
        <v>56</v>
      </c>
    </row>
    <row r="184" spans="1:5">
      <c r="A184" s="33" t="s">
        <v>418</v>
      </c>
      <c r="B184" s="56">
        <f>Design_Converter!B174*1000</f>
        <v>22000</v>
      </c>
      <c r="C184" s="33" t="s">
        <v>56</v>
      </c>
    </row>
    <row r="185" spans="1:5">
      <c r="A185" s="33" t="s">
        <v>410</v>
      </c>
      <c r="B185" s="60">
        <f>(V48_Nom^2)/(V12_Min*I_Channel_Design*np)</f>
        <v>0.54179894179894184</v>
      </c>
      <c r="C185" s="33" t="s">
        <v>56</v>
      </c>
      <c r="E185" s="36" t="s">
        <v>406</v>
      </c>
    </row>
    <row r="186" spans="1:5">
      <c r="A186" s="33" t="s">
        <v>400</v>
      </c>
      <c r="B186" s="123">
        <f>2/(((V48_Nom^2)/(V12_Min*I_Channel_Design*np))*(2*PI()*Zo_Boost_Cout))</f>
        <v>196.49015105278153</v>
      </c>
      <c r="C186" s="33" t="s">
        <v>87</v>
      </c>
      <c r="E186" s="36" t="s">
        <v>405</v>
      </c>
    </row>
    <row r="187" spans="1:5">
      <c r="A187" s="33" t="s">
        <v>397</v>
      </c>
      <c r="B187" s="123">
        <f>(((V12_Min/V48_Nom)^2)*B185)/(2*PI()*(Lm/np))</f>
        <v>9208.2502788882321</v>
      </c>
      <c r="C187" s="33" t="s">
        <v>87</v>
      </c>
      <c r="E187" s="36" t="s">
        <v>405</v>
      </c>
    </row>
    <row r="188" spans="1:5">
      <c r="A188" s="33" t="s">
        <v>402</v>
      </c>
      <c r="B188" s="70">
        <f>B187/5</f>
        <v>1841.6500557776465</v>
      </c>
      <c r="C188" s="33" t="s">
        <v>87</v>
      </c>
      <c r="E188" s="36" t="s">
        <v>412</v>
      </c>
    </row>
    <row r="189" spans="1:5">
      <c r="A189" s="33" t="s">
        <v>401</v>
      </c>
      <c r="B189" s="56">
        <f>Design_Converter!B176*1000</f>
        <v>819</v>
      </c>
      <c r="C189" s="33" t="s">
        <v>87</v>
      </c>
    </row>
    <row r="190" spans="1:5">
      <c r="A190" s="54" t="s">
        <v>404</v>
      </c>
      <c r="B190" s="54"/>
      <c r="C190" s="54"/>
    </row>
    <row r="191" spans="1:5">
      <c r="A191" s="33" t="s">
        <v>408</v>
      </c>
      <c r="B191" s="70">
        <f>10^(Compensation!S224/20)</f>
        <v>6.3039246165343474</v>
      </c>
      <c r="C191" s="33" t="s">
        <v>409</v>
      </c>
    </row>
    <row r="192" spans="1:5">
      <c r="A192" s="33" t="s">
        <v>414</v>
      </c>
      <c r="B192" s="70">
        <f>2/(2*PI()*B185*Zo_Boost_Cout)</f>
        <v>196.49015105278153</v>
      </c>
      <c r="C192" s="33" t="s">
        <v>416</v>
      </c>
    </row>
    <row r="193" spans="1:5">
      <c r="A193" s="33" t="s">
        <v>417</v>
      </c>
      <c r="B193" s="60">
        <f>Fsw/2</f>
        <v>50000</v>
      </c>
      <c r="C193" s="33" t="s">
        <v>403</v>
      </c>
      <c r="E193" s="36" t="s">
        <v>415</v>
      </c>
    </row>
    <row r="194" spans="1:5">
      <c r="A194" s="33" t="s">
        <v>413</v>
      </c>
      <c r="B194" s="70">
        <f>((B184*B189)/(B191*B192))*SQRT((1+((B189/B193)^2))/(1+((B189/B192)^2)))</f>
        <v>3394.0450792785837</v>
      </c>
      <c r="C194" s="33" t="s">
        <v>56</v>
      </c>
    </row>
    <row r="195" spans="1:5">
      <c r="A195" s="33" t="s">
        <v>420</v>
      </c>
      <c r="B195" s="56">
        <f>Design_Converter!B178*1000</f>
        <v>100000</v>
      </c>
      <c r="C195" s="33" t="s">
        <v>56</v>
      </c>
    </row>
    <row r="196" spans="1:5">
      <c r="A196" s="33" t="s">
        <v>422</v>
      </c>
      <c r="B196" s="60">
        <f>1/(2*PI()*B194*B192)</f>
        <v>2.3865016494170555E-7</v>
      </c>
      <c r="C196" s="33" t="s">
        <v>425</v>
      </c>
    </row>
    <row r="197" spans="1:5">
      <c r="A197" s="33" t="s">
        <v>421</v>
      </c>
      <c r="B197" s="56">
        <f>Design_Converter!B180*(10^-9)</f>
        <v>1.3200000000000001E-8</v>
      </c>
      <c r="C197" s="33" t="s">
        <v>425</v>
      </c>
    </row>
    <row r="198" spans="1:5">
      <c r="A198" s="33" t="s">
        <v>423</v>
      </c>
      <c r="B198" s="60">
        <f>1/(2*PI()*B194*B193)</f>
        <v>9.3784813916333887E-10</v>
      </c>
      <c r="C198" s="33" t="s">
        <v>425</v>
      </c>
    </row>
    <row r="199" spans="1:5">
      <c r="A199" s="33" t="s">
        <v>424</v>
      </c>
      <c r="B199" s="56">
        <f>Design_Converter!B182*(10^-9)</f>
        <v>1.0000000000000002E-10</v>
      </c>
      <c r="C199" s="33" t="s">
        <v>425</v>
      </c>
    </row>
    <row r="200" spans="1:5">
      <c r="A200" s="33" t="s">
        <v>435</v>
      </c>
      <c r="B200" s="67">
        <f>1/(2*PI()*B195*B197)</f>
        <v>120.5719265847692</v>
      </c>
      <c r="C200" s="33" t="s">
        <v>87</v>
      </c>
    </row>
    <row r="201" spans="1:5">
      <c r="A201" s="33" t="s">
        <v>436</v>
      </c>
      <c r="B201" s="123">
        <f>1/(2*PI()*B195*B199)</f>
        <v>15915.494309189533</v>
      </c>
      <c r="C201" s="33" t="s">
        <v>87</v>
      </c>
    </row>
  </sheetData>
  <mergeCells count="13">
    <mergeCell ref="AD58:AO58"/>
    <mergeCell ref="AB4:AE4"/>
    <mergeCell ref="AF4:AI4"/>
    <mergeCell ref="AJ4:AM4"/>
    <mergeCell ref="P4:S4"/>
    <mergeCell ref="T4:W4"/>
    <mergeCell ref="X4:AA4"/>
    <mergeCell ref="A14:C14"/>
    <mergeCell ref="A6:C6"/>
    <mergeCell ref="A10:C10"/>
    <mergeCell ref="A63:C63"/>
    <mergeCell ref="A40:C40"/>
    <mergeCell ref="A21:C21"/>
  </mergeCells>
  <phoneticPr fontId="20" type="noConversion"/>
  <conditionalFormatting sqref="D70">
    <cfRule type="cellIs" dxfId="0" priority="2" operator="equal">
      <formula>1</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S228"/>
  <sheetViews>
    <sheetView topLeftCell="B122" zoomScaleNormal="100" workbookViewId="0">
      <selection activeCell="AP195" sqref="AP195"/>
    </sheetView>
  </sheetViews>
  <sheetFormatPr defaultRowHeight="13.5"/>
  <cols>
    <col min="1" max="1" width="27.625" customWidth="1"/>
    <col min="2" max="2" width="11.75" customWidth="1"/>
    <col min="3" max="3" width="12" customWidth="1"/>
    <col min="4" max="4" width="11.875" customWidth="1"/>
    <col min="7" max="7" width="10.375" customWidth="1"/>
    <col min="8" max="8" width="9.625" customWidth="1"/>
    <col min="10" max="10" width="17.625" customWidth="1"/>
    <col min="13" max="13" width="16.25" customWidth="1"/>
    <col min="14" max="14" width="16" bestFit="1" customWidth="1"/>
    <col min="15" max="15" width="13.875" customWidth="1"/>
    <col min="18" max="18" width="17.375" customWidth="1"/>
    <col min="21" max="21" width="12" customWidth="1"/>
    <col min="32" max="32" width="13.375" bestFit="1" customWidth="1"/>
  </cols>
  <sheetData>
    <row r="3" spans="2:30">
      <c r="B3" t="s">
        <v>270</v>
      </c>
    </row>
    <row r="4" spans="2:30">
      <c r="B4" t="s">
        <v>271</v>
      </c>
    </row>
    <row r="5" spans="2:30">
      <c r="B5" s="227" t="s">
        <v>33</v>
      </c>
      <c r="C5" s="227"/>
      <c r="D5" s="212" t="s">
        <v>272</v>
      </c>
      <c r="E5" s="212"/>
      <c r="F5" s="212"/>
      <c r="G5" s="212" t="s">
        <v>276</v>
      </c>
      <c r="H5" s="212"/>
      <c r="I5" s="212"/>
      <c r="J5" s="212" t="s">
        <v>277</v>
      </c>
      <c r="K5" s="212"/>
      <c r="L5" s="212"/>
    </row>
    <row r="6" spans="2:30">
      <c r="B6" s="228"/>
      <c r="C6" s="228"/>
      <c r="D6" s="212"/>
      <c r="E6" s="212"/>
      <c r="F6" s="212"/>
      <c r="G6" s="212"/>
      <c r="H6" s="212"/>
      <c r="I6" s="212"/>
      <c r="J6" s="212"/>
      <c r="K6" s="212"/>
      <c r="L6" s="212"/>
    </row>
    <row r="7" spans="2:30" s="2" customFormat="1" ht="27">
      <c r="B7" s="79" t="s">
        <v>35</v>
      </c>
      <c r="C7" s="79" t="s">
        <v>34</v>
      </c>
      <c r="D7" s="80" t="s">
        <v>273</v>
      </c>
      <c r="E7" s="80" t="s">
        <v>274</v>
      </c>
      <c r="F7" s="80" t="s">
        <v>275</v>
      </c>
      <c r="G7" s="80" t="s">
        <v>273</v>
      </c>
      <c r="H7" s="80" t="s">
        <v>274</v>
      </c>
      <c r="I7" s="80" t="s">
        <v>275</v>
      </c>
      <c r="J7" s="80" t="s">
        <v>273</v>
      </c>
      <c r="K7" s="80" t="s">
        <v>274</v>
      </c>
      <c r="L7" s="80" t="s">
        <v>275</v>
      </c>
    </row>
    <row r="8" spans="2:30">
      <c r="B8" s="1">
        <v>1</v>
      </c>
      <c r="C8" s="1">
        <f>2*PI()*B8</f>
        <v>6.2831853071795862</v>
      </c>
      <c r="D8" s="81" t="str">
        <f>IMPRODUCT(COMPLEX(1/(Calculations!$B$136*(Rcs+(Calculations!$B$135/1000))),0),IMDIV(COMPLEX(1,0),COMPLEX(1,(C8*Lm)/(Rcs+(Calculations!$B$135/1000)))))</f>
        <v>189.84062031994-0.0570264763171365i</v>
      </c>
      <c r="E8" s="1">
        <f>20*LOG10(IMABS(D8))</f>
        <v>45.567783277980737</v>
      </c>
      <c r="F8" s="1">
        <f>IMARGUMENT(D8)*(180/PI())</f>
        <v>-1.7211154860803494E-2</v>
      </c>
      <c r="G8" s="1" t="str">
        <f t="shared" ref="G8:G39" si="0">IMPRODUCT(COMPLEX(-(gm*Acs*Rcs)/(IL_Comp_Ccomp+IL_Comp_Chf),0),IMDIV(COMPLEX(1,C8*IL_Comp_Rcomp*IL_Comp_Ccomp),IMPRODUCT(COMPLEX(0,C8),COMPLEX(1,C8*IL_Comp_Rcomp*((IL_Comp_Ccomp*IL_Comp_Chf)/(IL_Comp_Ccomp+IL_Comp_Chf))))))</f>
        <v>-0.0966796870940962+99.4718456968288i</v>
      </c>
      <c r="H8" s="1">
        <f>20*LOG(IMABS(G8))</f>
        <v>39.954007629279872</v>
      </c>
      <c r="I8" s="1">
        <f>IMARGUMENT(G8)*(180/PI())</f>
        <v>90.055687478724167</v>
      </c>
      <c r="J8" s="1" t="str">
        <f>IMPRODUCT(D8,G8)</f>
        <v>-12.6812029174289+18883.8024047572i</v>
      </c>
      <c r="K8" s="1">
        <f>20*LOG(IMABS(J8))</f>
        <v>85.521790907260595</v>
      </c>
      <c r="L8" s="1">
        <f>IMARGUMENT(J8)*(180/PI())</f>
        <v>90.038476323863364</v>
      </c>
      <c r="AA8" t="s">
        <v>87</v>
      </c>
      <c r="AB8" t="s">
        <v>293</v>
      </c>
      <c r="AC8" t="s">
        <v>294</v>
      </c>
      <c r="AD8" t="s">
        <v>274</v>
      </c>
    </row>
    <row r="9" spans="2:30">
      <c r="B9" s="1">
        <v>2</v>
      </c>
      <c r="C9" s="1">
        <f t="shared" ref="C9:C62" si="1">2*PI()*B9</f>
        <v>12.566370614359172</v>
      </c>
      <c r="D9" s="81" t="str">
        <f>IMPRODUCT(COMPLEX(1/(Calculations!$B$136*(Rcs+(Calculations!$B$135/1000))),0),IMDIV(COMPLEX(1,0),COMPLEX(1,(C9*Lm)/(Rcs+(Calculations!$B$135/1000)))))</f>
        <v>189.840568929181-0.114052921759597i</v>
      </c>
      <c r="E9" s="1">
        <f t="shared" ref="E9:E62" si="2">20*LOG10(IMABS(D9))</f>
        <v>45.567782102324742</v>
      </c>
      <c r="F9" s="1">
        <f t="shared" ref="F9:F62" si="3">IMARGUMENT(D9)*(180/PI())</f>
        <v>-3.4422306615512564E-2</v>
      </c>
      <c r="G9" s="1" t="str">
        <f t="shared" si="0"/>
        <v>-0.096679685876385+49.7359322450051i</v>
      </c>
      <c r="H9" s="1">
        <f t="shared" ref="H9:H62" si="4">20*LOG(IMABS(G9))</f>
        <v>33.933421664652073</v>
      </c>
      <c r="I9" s="1">
        <f t="shared" ref="I9:I62" si="5">IMARGUMENT(G9)*(180/PI())</f>
        <v>90.111374829793689</v>
      </c>
      <c r="J9" s="1" t="str">
        <f t="shared" ref="J9:J62" si="6">IMPRODUCT(D9,G9)</f>
        <v>-12.6811981816872+9441.90870021562i</v>
      </c>
      <c r="K9" s="1">
        <f t="shared" ref="K9:K62" si="7">20*LOG(IMABS(J9))</f>
        <v>79.501203766976815</v>
      </c>
      <c r="L9" s="1">
        <f t="shared" ref="L9:L62" si="8">IMARGUMENT(J9)*(180/PI())</f>
        <v>90.076952523178178</v>
      </c>
      <c r="Y9" t="s">
        <v>290</v>
      </c>
      <c r="AA9">
        <f>Calculations!B137*1000</f>
        <v>3328.9908930054776</v>
      </c>
      <c r="AB9">
        <f>2*PI()*AA9</f>
        <v>20916.666666666668</v>
      </c>
      <c r="AC9" t="str">
        <f>IMPRODUCT(IMPRODUCT(COMPLEX(1/(Calculations!$B$136*(Rcs+(Calculations!$B$135/1000))),0),IMDIV(COMPLEX(1,0),COMPLEX(1,(AB9*Lm)/(Rcs+(Calculations!$B$135/1000))))),IMPRODUCT(COMPLEX(-(gm*Acs*Rcs)/(IL_Comp_Ccomp+IL_Comp_Chf),0),IMDIV(COMPLEX(1,AB9*IL_Comp_Rcomp*IL_Comp_Ccomp),IMPRODUCT(COMPLEX(0,AB9),COMPLEX(1,AB9*IL_Comp_Rcomp*((IL_Comp_Ccomp*IL_Comp_Chf)/(IL_Comp_Ccomp+IL_Comp_Chf)))))))</f>
        <v>-4.0411329752544+13.4966073835668i</v>
      </c>
      <c r="AD9">
        <f>20*LOG10(IMABS(AC9))</f>
        <v>22.977368082344185</v>
      </c>
    </row>
    <row r="10" spans="2:30">
      <c r="B10" s="1">
        <v>3</v>
      </c>
      <c r="C10" s="1">
        <f t="shared" si="1"/>
        <v>18.849555921538759</v>
      </c>
      <c r="D10" s="81" t="str">
        <f>IMPRODUCT(COMPLEX(1/(Calculations!$B$136*(Rcs+(Calculations!$B$135/1000))),0),IMDIV(COMPLEX(1,0),COMPLEX(1,(C10*Lm)/(Rcs+(Calculations!$B$135/1000)))))</f>
        <v>189.840483277979-0.171079305452759i</v>
      </c>
      <c r="E10" s="1">
        <f t="shared" si="2"/>
        <v>45.567780142898854</v>
      </c>
      <c r="F10" s="1">
        <f t="shared" si="3"/>
        <v>-5.1633452158035165E-2</v>
      </c>
      <c r="G10" s="1" t="str">
        <f t="shared" si="0"/>
        <v>-0.0966796838468675+33.1572986039929i</v>
      </c>
      <c r="H10" s="1">
        <f t="shared" si="4"/>
        <v>30.411619731191202</v>
      </c>
      <c r="I10" s="1">
        <f t="shared" si="5"/>
        <v>90.167061925555572</v>
      </c>
      <c r="J10" s="1" t="str">
        <f t="shared" si="6"/>
        <v>-12.6811902887907+6294.61413106743i</v>
      </c>
      <c r="K10" s="1">
        <f t="shared" si="7"/>
        <v>75.979399874090049</v>
      </c>
      <c r="L10" s="1">
        <f t="shared" si="8"/>
        <v>90.115428473397543</v>
      </c>
      <c r="Y10" t="s">
        <v>291</v>
      </c>
      <c r="AA10">
        <f>Calculations!B149*1000</f>
        <v>964.57541267815361</v>
      </c>
      <c r="AB10">
        <f t="shared" ref="AB10:AB11" si="9">2*PI()*AA10</f>
        <v>6060.606060606061</v>
      </c>
      <c r="AC10" t="str">
        <f>IMPRODUCT(IMPRODUCT(COMPLEX(1/(Calculations!$B$136*(Rcs+(Calculations!$B$135/1000))),0),IMDIV(COMPLEX(1,0),COMPLEX(1,(AB10*Lm)/(Rcs+(Calculations!$B$135/1000))))),IMPRODUCT(COMPLEX(-(gm*Acs*Rcs)/(IL_Comp_Ccomp+IL_Comp_Chf),0),IMDIV(COMPLEX(1,AB10*IL_Comp_Rcomp*IL_Comp_Ccomp),IMPRODUCT(COMPLEX(0,AB10),COMPLEX(1,AB10*IL_Comp_Rcomp*((IL_Comp_Ccomp*IL_Comp_Chf)/(IL_Comp_Ccomp+IL_Comp_Chf)))))))</f>
        <v>-11.3276901980267+24.002159884994i</v>
      </c>
      <c r="AD10">
        <f t="shared" ref="AD10:AD11" si="10">20*LOG10(IMABS(AC10))</f>
        <v>28.478318286845969</v>
      </c>
    </row>
    <row r="11" spans="2:30">
      <c r="B11" s="1">
        <v>4</v>
      </c>
      <c r="C11" s="1">
        <f t="shared" si="1"/>
        <v>25.132741228718345</v>
      </c>
      <c r="D11" s="81" t="str">
        <f>IMPRODUCT(COMPLEX(1/(Calculations!$B$136*(Rcs+(Calculations!$B$135/1000))),0),IMDIV(COMPLEX(1,0),COMPLEX(1,(C11*Lm)/(Rcs+(Calculations!$B$135/1000)))))</f>
        <v>189.840363366426-0.228105596522115i</v>
      </c>
      <c r="E11" s="1">
        <f t="shared" si="2"/>
        <v>45.567777399704084</v>
      </c>
      <c r="F11" s="1">
        <f t="shared" si="3"/>
        <v>-6.8844588382287297E-2</v>
      </c>
      <c r="G11" s="1" t="str">
        <f t="shared" si="0"/>
        <v>-0.0966796810055431+24.8679849156832i</v>
      </c>
      <c r="H11" s="1">
        <f t="shared" si="4"/>
        <v>27.912877545528385</v>
      </c>
      <c r="I11" s="1">
        <f t="shared" si="5"/>
        <v>90.222748638360116</v>
      </c>
      <c r="J11" s="1" t="str">
        <f t="shared" si="6"/>
        <v>-12.6811792387476+4720.96934576041i</v>
      </c>
      <c r="K11" s="1">
        <f t="shared" si="7"/>
        <v>73.480654945232487</v>
      </c>
      <c r="L11" s="1">
        <f t="shared" si="8"/>
        <v>90.153904049977825</v>
      </c>
      <c r="Y11" t="s">
        <v>292</v>
      </c>
      <c r="AA11">
        <f>Calculations!B150*1000</f>
        <v>14468.631190172304</v>
      </c>
      <c r="AB11">
        <f t="shared" si="9"/>
        <v>90909.090909090912</v>
      </c>
      <c r="AC11" t="str">
        <f>IMPRODUCT(IMPRODUCT(COMPLEX(1/(Calculations!$B$136*(Rcs+(Calculations!$B$135/1000))),0),IMDIV(COMPLEX(1,0),COMPLEX(1,(AB11*Lm)/(Rcs+(Calculations!$B$135/1000))))),IMPRODUCT(COMPLEX(-(gm*Acs*Rcs)/(IL_Comp_Ccomp+IL_Comp_Chf),0),IMDIV(COMPLEX(1,AB11*IL_Comp_Rcomp*IL_Comp_Ccomp),IMPRODUCT(COMPLEX(0,AB11),COMPLEX(1,AB11*IL_Comp_Rcomp*((IL_Comp_Ccomp*IL_Comp_Chf)/(IL_Comp_Ccomp+IL_Comp_Chf)))))))</f>
        <v>1.79519599739958+2.66056936721804i</v>
      </c>
      <c r="AD11">
        <f t="shared" si="10"/>
        <v>10.128944814715462</v>
      </c>
    </row>
    <row r="12" spans="2:30">
      <c r="B12" s="1">
        <v>5</v>
      </c>
      <c r="C12" s="1">
        <f t="shared" si="1"/>
        <v>31.415926535897931</v>
      </c>
      <c r="D12" s="81" t="str">
        <f>IMPRODUCT(COMPLEX(1/(Calculations!$B$136*(Rcs+(Calculations!$B$135/1000))),0),IMDIV(COMPLEX(1,0),COMPLEX(1,(C12*Lm)/(Rcs+(Calculations!$B$135/1000)))))</f>
        <v>189.840209194651-0.285131764093321i</v>
      </c>
      <c r="E12" s="1">
        <f t="shared" si="2"/>
        <v>45.567773872741896</v>
      </c>
      <c r="F12" s="1">
        <f t="shared" si="3"/>
        <v>-8.6055712182194308E-2</v>
      </c>
      <c r="G12" s="1" t="str">
        <f t="shared" si="0"/>
        <v>-0.0966796773524112+19.8943992084539i</v>
      </c>
      <c r="H12" s="1">
        <f t="shared" si="4"/>
        <v>25.974719130510103</v>
      </c>
      <c r="I12" s="1">
        <f t="shared" si="5"/>
        <v>90.278434840562525</v>
      </c>
      <c r="J12" s="1" t="str">
        <f t="shared" si="6"/>
        <v>-12.6811650315699+3776.78447398174i</v>
      </c>
      <c r="K12" s="1">
        <f t="shared" si="7"/>
        <v>71.542493003252005</v>
      </c>
      <c r="L12" s="1">
        <f t="shared" si="8"/>
        <v>90.192379128380338</v>
      </c>
    </row>
    <row r="13" spans="2:30">
      <c r="B13" s="1">
        <v>6</v>
      </c>
      <c r="C13" s="1">
        <f t="shared" si="1"/>
        <v>37.699111843077517</v>
      </c>
      <c r="D13" s="81" t="str">
        <f>IMPRODUCT(COMPLEX(1/(Calculations!$B$136*(Rcs+(Calculations!$B$135/1000))),0),IMDIV(COMPLEX(1,0),COMPLEX(1,(C13*Lm)/(Rcs+(Calculations!$B$135/1000)))))</f>
        <v>189.840020762821-0.342157777292258i</v>
      </c>
      <c r="E13" s="1">
        <f t="shared" si="2"/>
        <v>45.567769562014192</v>
      </c>
      <c r="F13" s="1">
        <f t="shared" si="3"/>
        <v>-0.1032668204516954</v>
      </c>
      <c r="G13" s="1" t="str">
        <f t="shared" si="0"/>
        <v>-0.0966796728874731+16.5786774917644i</v>
      </c>
      <c r="H13" s="1">
        <f t="shared" si="4"/>
        <v>24.391145353069273</v>
      </c>
      <c r="I13" s="1">
        <f t="shared" si="5"/>
        <v>90.334120404524654</v>
      </c>
      <c r="J13" s="1" t="str">
        <f t="shared" si="6"/>
        <v>-12.6811476672733+3147.32955895865i</v>
      </c>
      <c r="K13" s="1">
        <f t="shared" si="7"/>
        <v>69.958914915083469</v>
      </c>
      <c r="L13" s="1">
        <f t="shared" si="8"/>
        <v>90.23085358407296</v>
      </c>
    </row>
    <row r="14" spans="2:30">
      <c r="B14" s="1">
        <v>7</v>
      </c>
      <c r="C14" s="1">
        <f t="shared" si="1"/>
        <v>43.982297150257104</v>
      </c>
      <c r="D14" s="81" t="str">
        <f>IMPRODUCT(COMPLEX(1/(Calculations!$B$136*(Rcs+(Calculations!$B$135/1000))),0),IMDIV(COMPLEX(1,0),COMPLEX(1,(C14*Lm)/(Rcs+(Calculations!$B$135/1000)))))</f>
        <v>189.839798071142-0.39918360524509i</v>
      </c>
      <c r="E14" s="1">
        <f t="shared" si="2"/>
        <v>45.567764467523389</v>
      </c>
      <c r="F14" s="1">
        <f t="shared" si="3"/>
        <v>-0.12047791008474676</v>
      </c>
      <c r="G14" s="1" t="str">
        <f t="shared" si="0"/>
        <v>-0.0966796676107281+14.2103066268114i</v>
      </c>
      <c r="H14" s="1">
        <f t="shared" si="4"/>
        <v>23.052270002006384</v>
      </c>
      <c r="I14" s="1">
        <f t="shared" si="5"/>
        <v>90.389805202616557</v>
      </c>
      <c r="J14" s="1" t="str">
        <f t="shared" si="6"/>
        <v>-12.681127145877+2697.72033350116i</v>
      </c>
      <c r="K14" s="1">
        <f t="shared" si="7"/>
        <v>68.620034469529784</v>
      </c>
      <c r="L14" s="1">
        <f t="shared" si="8"/>
        <v>90.269327292531798</v>
      </c>
    </row>
    <row r="15" spans="2:30">
      <c r="B15" s="1">
        <v>8</v>
      </c>
      <c r="C15" s="1">
        <f t="shared" si="1"/>
        <v>50.26548245743669</v>
      </c>
      <c r="D15" s="81" t="str">
        <f>IMPRODUCT(COMPLEX(1/(Calculations!$B$136*(Rcs+(Calculations!$B$135/1000))),0),IMDIV(COMPLEX(1,0),COMPLEX(1,(C15*Lm)/(Rcs+(Calculations!$B$135/1000)))))</f>
        <v>189.839541119853-0.456209217078302i</v>
      </c>
      <c r="E15" s="1">
        <f t="shared" si="2"/>
        <v>45.567758589272174</v>
      </c>
      <c r="F15" s="1">
        <f t="shared" si="3"/>
        <v>-0.13768897797532292</v>
      </c>
      <c r="G15" s="1" t="str">
        <f t="shared" si="0"/>
        <v>-0.0966796615221769+12.4340300441932i</v>
      </c>
      <c r="H15" s="1">
        <f t="shared" si="4"/>
        <v>21.892500801648488</v>
      </c>
      <c r="I15" s="1">
        <f t="shared" si="5"/>
        <v>90.445489107218137</v>
      </c>
      <c r="J15" s="1" t="str">
        <f t="shared" si="6"/>
        <v>-12.6811034674033+2360.51466401279i</v>
      </c>
      <c r="K15" s="1">
        <f t="shared" si="7"/>
        <v>67.460259390920655</v>
      </c>
      <c r="L15" s="1">
        <f t="shared" si="8"/>
        <v>90.307800129242821</v>
      </c>
    </row>
    <row r="16" spans="2:30">
      <c r="B16" s="1">
        <v>9</v>
      </c>
      <c r="C16" s="1">
        <f t="shared" si="1"/>
        <v>56.548667764616276</v>
      </c>
      <c r="D16" s="81" t="str">
        <f>IMPRODUCT(COMPLEX(1/(Calculations!$B$136*(Rcs+(Calculations!$B$135/1000))),0),IMDIV(COMPLEX(1,0),COMPLEX(1,(C16*Lm)/(Rcs+(Calculations!$B$135/1000)))))</f>
        <v>189.839249909234-0.513234581918783i</v>
      </c>
      <c r="E16" s="1">
        <f t="shared" si="2"/>
        <v>45.567751927263778</v>
      </c>
      <c r="F16" s="1">
        <f t="shared" si="3"/>
        <v>-0.15490002101742381</v>
      </c>
      <c r="G16" s="1" t="str">
        <f t="shared" si="0"/>
        <v>-0.09667965462182+11.0524829831311i</v>
      </c>
      <c r="H16" s="1">
        <f t="shared" si="4"/>
        <v>20.869529389091802</v>
      </c>
      <c r="I16" s="1">
        <f t="shared" si="5"/>
        <v>90.501171990720877</v>
      </c>
      <c r="J16" s="1" t="str">
        <f t="shared" si="6"/>
        <v>-12.6810766318784+2098.2446984943i</v>
      </c>
      <c r="K16" s="1">
        <f t="shared" si="7"/>
        <v>66.43728131635558</v>
      </c>
      <c r="L16" s="1">
        <f t="shared" si="8"/>
        <v>90.346271969703466</v>
      </c>
    </row>
    <row r="17" spans="2:12">
      <c r="B17" s="1">
        <v>10</v>
      </c>
      <c r="C17" s="1">
        <f t="shared" si="1"/>
        <v>62.831853071795862</v>
      </c>
      <c r="D17" s="81" t="str">
        <f>IMPRODUCT(COMPLEX(1/(Calculations!$B$136*(Rcs+(Calculations!$B$135/1000))),0),IMDIV(COMPLEX(1,0),COMPLEX(1,(C17*Lm)/(Rcs+(Calculations!$B$135/1000)))))</f>
        <v>189.838924439598-0.570259668893861i</v>
      </c>
      <c r="E17" s="1">
        <f t="shared" si="2"/>
        <v>45.56774448150172</v>
      </c>
      <c r="F17" s="1">
        <f t="shared" si="3"/>
        <v>-0.1721110361050773</v>
      </c>
      <c r="G17" s="1" t="str">
        <f t="shared" si="0"/>
        <v>-0.0966796469096575+9.94724658715756i</v>
      </c>
      <c r="H17" s="1">
        <f t="shared" si="4"/>
        <v>19.954467910952616</v>
      </c>
      <c r="I17" s="1">
        <f t="shared" si="5"/>
        <v>90.556853725529422</v>
      </c>
      <c r="J17" s="1" t="str">
        <f t="shared" si="6"/>
        <v>-12.6810466393314+1888.42972574489i</v>
      </c>
      <c r="K17" s="1">
        <f t="shared" si="7"/>
        <v>65.522212392454335</v>
      </c>
      <c r="L17" s="1">
        <f t="shared" si="8"/>
        <v>90.384742689424343</v>
      </c>
    </row>
    <row r="18" spans="2:12">
      <c r="B18" s="1">
        <v>20</v>
      </c>
      <c r="C18" s="1">
        <f t="shared" si="1"/>
        <v>125.66370614359172</v>
      </c>
      <c r="D18" s="81" t="str">
        <f>IMPRODUCT(COMPLEX(1/(Calculations!$B$136*(Rcs+(Calculations!$B$135/1000))),0),IMDIV(COMPLEX(1,0),COMPLEX(1,(C18*Lm)/(Rcs+(Calculations!$B$135/1000)))))</f>
        <v>189.833785593278-1.14048846449017i</v>
      </c>
      <c r="E18" s="1">
        <f t="shared" si="2"/>
        <v>45.567626918530181</v>
      </c>
      <c r="F18" s="1">
        <f t="shared" si="3"/>
        <v>-0.34421896619871956</v>
      </c>
      <c r="G18" s="1" t="str">
        <f t="shared" si="0"/>
        <v>-0.0966795251388344+4.97371725929216i</v>
      </c>
      <c r="H18" s="1">
        <f t="shared" si="4"/>
        <v>13.935262490468833</v>
      </c>
      <c r="I18" s="1">
        <f t="shared" si="5"/>
        <v>91.113579837159676</v>
      </c>
      <c r="J18" s="1" t="str">
        <f t="shared" si="6"/>
        <v>-12.6805730866071+944.289837685227i</v>
      </c>
      <c r="K18" s="1">
        <f t="shared" si="7"/>
        <v>59.50288940899901</v>
      </c>
      <c r="L18" s="1">
        <f t="shared" si="8"/>
        <v>90.769360870960966</v>
      </c>
    </row>
    <row r="19" spans="2:12">
      <c r="B19" s="1">
        <v>30</v>
      </c>
      <c r="C19" s="1">
        <f t="shared" si="1"/>
        <v>188.49555921538757</v>
      </c>
      <c r="D19" s="81" t="str">
        <f>IMPRODUCT(COMPLEX(1/(Calculations!$B$136*(Rcs+(Calculations!$B$135/1000))),0),IMDIV(COMPLEX(1,0),COMPLEX(1,(C19*Lm)/(Rcs+(Calculations!$B$135/1000)))))</f>
        <v>189.825221467632-1.7106555190626i</v>
      </c>
      <c r="E19" s="1">
        <f t="shared" si="2"/>
        <v>45.567430987316023</v>
      </c>
      <c r="F19" s="1">
        <f t="shared" si="3"/>
        <v>-0.51632068460578973</v>
      </c>
      <c r="G19" s="1" t="str">
        <f t="shared" si="0"/>
        <v>-0.096679322188145+3.31591591219231i</v>
      </c>
      <c r="H19" s="1">
        <f t="shared" si="4"/>
        <v>10.415760461646464</v>
      </c>
      <c r="I19" s="1">
        <f t="shared" si="5"/>
        <v>91.670050885499151</v>
      </c>
      <c r="J19" s="1" t="str">
        <f t="shared" si="6"/>
        <v>-12.6797838897659+629.609857416031i</v>
      </c>
      <c r="K19" s="1">
        <f t="shared" si="7"/>
        <v>55.983191448962486</v>
      </c>
      <c r="L19" s="1">
        <f t="shared" si="8"/>
        <v>91.153730200893364</v>
      </c>
    </row>
    <row r="20" spans="2:12">
      <c r="B20" s="1">
        <v>40</v>
      </c>
      <c r="C20" s="1">
        <f t="shared" si="1"/>
        <v>251.32741228718345</v>
      </c>
      <c r="D20" s="81" t="str">
        <f>IMPRODUCT(COMPLEX(1/(Calculations!$B$136*(Rcs+(Calculations!$B$135/1000))),0),IMDIV(COMPLEX(1,0),COMPLEX(1,(C20*Lm)/(Rcs+(Calculations!$B$135/1000)))))</f>
        <v>189.813232989817-2.28072997602525i</v>
      </c>
      <c r="E20" s="1">
        <f t="shared" si="2"/>
        <v>45.567156698465574</v>
      </c>
      <c r="F20" s="1">
        <f t="shared" si="3"/>
        <v>-0.68841308632367593</v>
      </c>
      <c r="G20" s="1" t="str">
        <f t="shared" si="0"/>
        <v>-0.0966790380586106+2.48704655988934i</v>
      </c>
      <c r="H20" s="1">
        <f t="shared" si="4"/>
        <v>7.9202360399736262</v>
      </c>
      <c r="I20" s="1">
        <f t="shared" si="5"/>
        <v>92.226139749641689</v>
      </c>
      <c r="J20" s="1" t="str">
        <f t="shared" si="6"/>
        <v>-12.6786791353403+472.294846908952i</v>
      </c>
      <c r="K20" s="1">
        <f t="shared" si="7"/>
        <v>53.487392738439198</v>
      </c>
      <c r="L20" s="1">
        <f t="shared" si="8"/>
        <v>91.537726663318011</v>
      </c>
    </row>
    <row r="21" spans="2:12">
      <c r="B21" s="1">
        <v>50</v>
      </c>
      <c r="C21" s="1">
        <f t="shared" si="1"/>
        <v>314.15926535897933</v>
      </c>
      <c r="D21" s="81" t="str">
        <f>IMPRODUCT(COMPLEX(1/(Calculations!$B$136*(Rcs+(Calculations!$B$135/1000))),0),IMDIV(COMPLEX(1,0),COMPLEX(1,(C21*Lm)/(Rcs+(Calculations!$B$135/1000)))))</f>
        <v>189.797821457499-2.85068099549749i</v>
      </c>
      <c r="E21" s="1">
        <f t="shared" si="2"/>
        <v>45.566804066824915</v>
      </c>
      <c r="F21" s="1">
        <f t="shared" si="3"/>
        <v>-0.86049306735831022</v>
      </c>
      <c r="G21" s="1" t="str">
        <f t="shared" si="0"/>
        <v>-0.0966786727516638+1.98975000506327i</v>
      </c>
      <c r="H21" s="1">
        <f t="shared" si="4"/>
        <v>5.9862111512046763</v>
      </c>
      <c r="I21" s="1">
        <f t="shared" si="5"/>
        <v>92.781719800088396</v>
      </c>
      <c r="J21" s="1" t="str">
        <f t="shared" si="6"/>
        <v>-12.6772589444434+377.925816261139i</v>
      </c>
      <c r="K21" s="1">
        <f t="shared" si="7"/>
        <v>51.553015218029579</v>
      </c>
      <c r="L21" s="1">
        <f t="shared" si="8"/>
        <v>91.921226732730091</v>
      </c>
    </row>
    <row r="22" spans="2:12">
      <c r="B22" s="1">
        <v>60</v>
      </c>
      <c r="C22" s="1">
        <f t="shared" si="1"/>
        <v>376.99111843077515</v>
      </c>
      <c r="D22" s="81" t="str">
        <f>IMPRODUCT(COMPLEX(1/(Calculations!$B$136*(Rcs+(Calculations!$B$135/1000))),0),IMDIV(COMPLEX(1,0),COMPLEX(1,(C22*Lm)/(Rcs+(Calculations!$B$135/1000)))))</f>
        <v>189.778988538505-3.42047775986257i</v>
      </c>
      <c r="E22" s="1">
        <f t="shared" si="2"/>
        <v>45.566373111477333</v>
      </c>
      <c r="F22" s="1">
        <f t="shared" si="3"/>
        <v>-1.0325575250599255</v>
      </c>
      <c r="G22" s="1" t="str">
        <f t="shared" si="0"/>
        <v>-0.0966782262691437+1.65823984850227i</v>
      </c>
      <c r="H22" s="1">
        <f t="shared" si="4"/>
        <v>4.4076839737149811</v>
      </c>
      <c r="I22" s="1">
        <f t="shared" si="5"/>
        <v>93.336665060092827</v>
      </c>
      <c r="J22" s="1" t="str">
        <f t="shared" si="6"/>
        <v>-12.6755234727349+315.029766925821i</v>
      </c>
      <c r="K22" s="1">
        <f t="shared" si="7"/>
        <v>49.974057085192314</v>
      </c>
      <c r="L22" s="1">
        <f t="shared" si="8"/>
        <v>92.304107535032912</v>
      </c>
    </row>
    <row r="23" spans="2:12">
      <c r="B23" s="1">
        <v>70</v>
      </c>
      <c r="C23" s="1">
        <f t="shared" si="1"/>
        <v>439.82297150257102</v>
      </c>
      <c r="D23" s="81" t="str">
        <f>IMPRODUCT(COMPLEX(1/(Calculations!$B$136*(Rcs+(Calculations!$B$135/1000))),0),IMDIV(COMPLEX(1,0),COMPLEX(1,(C23*Lm)/(Rcs+(Calculations!$B$135/1000)))))</f>
        <v>189.756736270373-3.99008947931786i</v>
      </c>
      <c r="E23" s="1">
        <f t="shared" si="2"/>
        <v>45.565863855739927</v>
      </c>
      <c r="F23" s="1">
        <f t="shared" si="3"/>
        <v>-1.2046033584584617</v>
      </c>
      <c r="G23" s="1" t="str">
        <f t="shared" si="0"/>
        <v>-0.0966776986133006+1.42146477616824i</v>
      </c>
      <c r="H23" s="1">
        <f t="shared" si="4"/>
        <v>3.0747650220122811</v>
      </c>
      <c r="I23" s="1">
        <f t="shared" si="5"/>
        <v>93.890850364919487</v>
      </c>
      <c r="J23" s="1" t="str">
        <f t="shared" si="6"/>
        <v>-12.6734729103809+270.118269317103i</v>
      </c>
      <c r="K23" s="1">
        <f t="shared" si="7"/>
        <v>48.640628877752199</v>
      </c>
      <c r="L23" s="1">
        <f t="shared" si="8"/>
        <v>92.686247006461016</v>
      </c>
    </row>
    <row r="24" spans="2:12">
      <c r="B24" s="1">
        <v>80</v>
      </c>
      <c r="C24" s="1">
        <f t="shared" si="1"/>
        <v>502.6548245743669</v>
      </c>
      <c r="D24" s="81" t="str">
        <f>IMPRODUCT(COMPLEX(1/(Calculations!$B$136*(Rcs+(Calculations!$B$135/1000))),0),IMDIV(COMPLEX(1,0),COMPLEX(1,(C24*Lm)/(Rcs+(Calculations!$B$135/1000)))))</f>
        <v>189.731067059796-4.55948539741431i</v>
      </c>
      <c r="E24" s="1">
        <f t="shared" si="2"/>
        <v>45.565276327159154</v>
      </c>
      <c r="F24" s="1">
        <f t="shared" si="3"/>
        <v>-1.3766274685984849</v>
      </c>
      <c r="G24" s="1" t="str">
        <f t="shared" si="0"/>
        <v>-0.0966770897867925+1.24389913096326i</v>
      </c>
      <c r="H24" s="1">
        <f t="shared" si="4"/>
        <v>1.9218581673468993</v>
      </c>
      <c r="I24" s="1">
        <f t="shared" si="5"/>
        <v>94.444151518516435</v>
      </c>
      <c r="J24" s="1" t="str">
        <f t="shared" si="6"/>
        <v>-12.6711074820005+236.44710721156i</v>
      </c>
      <c r="K24" s="1">
        <f t="shared" si="7"/>
        <v>47.487134494506059</v>
      </c>
      <c r="L24" s="1">
        <f t="shared" si="8"/>
        <v>93.067524049917935</v>
      </c>
    </row>
    <row r="25" spans="2:12">
      <c r="B25" s="1">
        <v>90</v>
      </c>
      <c r="C25" s="1">
        <f t="shared" si="1"/>
        <v>565.48667764616278</v>
      </c>
      <c r="D25" s="81" t="str">
        <f>IMPRODUCT(COMPLEX(1/(Calculations!$B$136*(Rcs+(Calculations!$B$135/1000))),0),IMDIV(COMPLEX(1,0),COMPLEX(1,(C25*Lm)/(Rcs+(Calculations!$B$135/1000)))))</f>
        <v>189.701983681977-5.12863479658364i</v>
      </c>
      <c r="E25" s="1">
        <f t="shared" si="2"/>
        <v>45.564610557506157</v>
      </c>
      <c r="F25" s="1">
        <f t="shared" si="3"/>
        <v>-1.5486267588736049</v>
      </c>
      <c r="G25" s="1" t="str">
        <f t="shared" si="0"/>
        <v>-0.0966763997926869+1.10580643665168i</v>
      </c>
      <c r="H25" s="1">
        <f t="shared" si="4"/>
        <v>0.90665062309532296</v>
      </c>
      <c r="I25" s="1">
        <f t="shared" si="5"/>
        <v>94.996445447119953</v>
      </c>
      <c r="J25" s="1" t="str">
        <f t="shared" si="6"/>
        <v>-12.6684274466066+210.269492549107i</v>
      </c>
      <c r="K25" s="1">
        <f t="shared" si="7"/>
        <v>46.471261180601466</v>
      </c>
      <c r="L25" s="1">
        <f t="shared" si="8"/>
        <v>93.447818688246358</v>
      </c>
    </row>
    <row r="26" spans="2:12">
      <c r="B26" s="1">
        <v>100</v>
      </c>
      <c r="C26" s="1">
        <f t="shared" si="1"/>
        <v>628.31853071795865</v>
      </c>
      <c r="D26" s="81" t="str">
        <f>IMPRODUCT(COMPLEX(1/(Calculations!$B$136*(Rcs+(Calculations!$B$135/1000))),0),IMDIV(COMPLEX(1,0),COMPLEX(1,(C26*Lm)/(Rcs+(Calculations!$B$135/1000)))))</f>
        <v>189.669489279874-5.69750700365051i</v>
      </c>
      <c r="E26" s="1">
        <f t="shared" si="2"/>
        <v>45.563866582770757</v>
      </c>
      <c r="F26" s="1">
        <f t="shared" si="3"/>
        <v>-1.7205981353602322</v>
      </c>
      <c r="G26" s="1" t="str">
        <f t="shared" si="0"/>
        <v>-0.0966756286344588+0.995344807429038i</v>
      </c>
      <c r="H26" s="1">
        <f t="shared" si="4"/>
        <v>2.4955080732906148E-4</v>
      </c>
      <c r="I26" s="1">
        <f t="shared" si="5"/>
        <v>95.547610349325211</v>
      </c>
      <c r="J26" s="1" t="str">
        <f t="shared" si="6"/>
        <v>-12.6654330975345+189.337351353667i</v>
      </c>
      <c r="K26" s="1">
        <f t="shared" si="7"/>
        <v>45.564116133578068</v>
      </c>
      <c r="L26" s="1">
        <f t="shared" si="8"/>
        <v>93.827012213964991</v>
      </c>
    </row>
    <row r="27" spans="2:12">
      <c r="B27" s="1">
        <v>200</v>
      </c>
      <c r="C27" s="1">
        <f t="shared" si="1"/>
        <v>1256.6370614359173</v>
      </c>
      <c r="D27" s="81" t="str">
        <f>IMPRODUCT(COMPLEX(1/(Calculations!$B$136*(Rcs+(Calculations!$B$135/1000))),0),IMDIV(COMPLEX(1,0),COMPLEX(1,(C27*Lm)/(Rcs+(Calculations!$B$135/1000)))))</f>
        <v>189.157891329536-11.3642780896141i</v>
      </c>
      <c r="E27" s="1">
        <f t="shared" si="2"/>
        <v>45.552136474904756</v>
      </c>
      <c r="F27" s="1">
        <f t="shared" si="3"/>
        <v>-3.4380985608569734</v>
      </c>
      <c r="G27" s="1" t="str">
        <f t="shared" si="0"/>
        <v>-0.0966634540823987+0.498611865600687i</v>
      </c>
      <c r="H27" s="1">
        <f t="shared" si="4"/>
        <v>-5.8845164560511041</v>
      </c>
      <c r="I27" s="1">
        <f t="shared" si="5"/>
        <v>100.97155433892304</v>
      </c>
      <c r="J27" s="1" t="str">
        <f t="shared" si="6"/>
        <v>-12.6182912433885+95.414879462207i</v>
      </c>
      <c r="K27" s="1">
        <f t="shared" si="7"/>
        <v>39.667620018853647</v>
      </c>
      <c r="L27" s="1">
        <f t="shared" si="8"/>
        <v>97.533455778066084</v>
      </c>
    </row>
    <row r="28" spans="2:12">
      <c r="B28" s="1">
        <v>300</v>
      </c>
      <c r="C28" s="1">
        <f t="shared" si="1"/>
        <v>1884.9555921538758</v>
      </c>
      <c r="D28" s="81" t="str">
        <f>IMPRODUCT(COMPLEX(1/(Calculations!$B$136*(Rcs+(Calculations!$B$135/1000))),0),IMDIV(COMPLEX(1,0),COMPLEX(1,(C28*Lm)/(Rcs+(Calculations!$B$135/1000)))))</f>
        <v>188.311333696479-16.9701275625721i</v>
      </c>
      <c r="E28" s="1">
        <f t="shared" si="2"/>
        <v>45.532656427224765</v>
      </c>
      <c r="F28" s="1">
        <f t="shared" si="3"/>
        <v>-5.1494368987618877</v>
      </c>
      <c r="G28" s="1" t="str">
        <f t="shared" si="0"/>
        <v>-0.0966431699749375+0.333451406471144i</v>
      </c>
      <c r="H28" s="1">
        <f t="shared" si="4"/>
        <v>-9.1890577025502864</v>
      </c>
      <c r="I28" s="1">
        <f t="shared" si="5"/>
        <v>106.16300731433384</v>
      </c>
      <c r="J28" s="1" t="str">
        <f t="shared" si="6"/>
        <v>-12.5402913269016+64.4327259980739i</v>
      </c>
      <c r="K28" s="1">
        <f t="shared" si="7"/>
        <v>36.343598724674479</v>
      </c>
      <c r="L28" s="1">
        <f t="shared" si="8"/>
        <v>101.01357041557195</v>
      </c>
    </row>
    <row r="29" spans="2:12">
      <c r="B29" s="1">
        <v>400</v>
      </c>
      <c r="C29" s="1">
        <f t="shared" si="1"/>
        <v>2513.2741228718346</v>
      </c>
      <c r="D29" s="81" t="str">
        <f>IMPRODUCT(COMPLEX(1/(Calculations!$B$136*(Rcs+(Calculations!$B$135/1000))),0),IMDIV(COMPLEX(1,0),COMPLEX(1,(C29*Lm)/(Rcs+(Calculations!$B$135/1000)))))</f>
        <v>187.138803730766-22.4859496160187i</v>
      </c>
      <c r="E29" s="1">
        <f t="shared" si="2"/>
        <v>45.505530324516229</v>
      </c>
      <c r="F29" s="1">
        <f t="shared" si="3"/>
        <v>-6.8516145440221026</v>
      </c>
      <c r="G29" s="1" t="str">
        <f t="shared" si="0"/>
        <v>-0.0966147865220281+0.251183674085504i</v>
      </c>
      <c r="H29" s="1">
        <f t="shared" si="4"/>
        <v>-11.400955751725894</v>
      </c>
      <c r="I29" s="1">
        <f t="shared" si="5"/>
        <v>111.03863989998514</v>
      </c>
      <c r="J29" s="1" t="str">
        <f t="shared" si="6"/>
        <v>-12.4322721325826+49.1786875069566i</v>
      </c>
      <c r="K29" s="1">
        <f t="shared" si="7"/>
        <v>34.104574572790341</v>
      </c>
      <c r="L29" s="1">
        <f t="shared" si="8"/>
        <v>104.18702535596307</v>
      </c>
    </row>
    <row r="30" spans="2:12">
      <c r="B30" s="1">
        <v>500</v>
      </c>
      <c r="C30" s="1">
        <f t="shared" si="1"/>
        <v>3141.5926535897929</v>
      </c>
      <c r="D30" s="81" t="str">
        <f>IMPRODUCT(COMPLEX(1/(Calculations!$B$136*(Rcs+(Calculations!$B$135/1000))),0),IMDIV(COMPLEX(1,0),COMPLEX(1,(C30*Lm)/(Rcs+(Calculations!$B$135/1000)))))</f>
        <v>185.652550265658-27.8842081928988i</v>
      </c>
      <c r="E30" s="1">
        <f t="shared" si="2"/>
        <v>45.470901028981743</v>
      </c>
      <c r="F30" s="1">
        <f t="shared" si="3"/>
        <v>-8.541729365802226</v>
      </c>
      <c r="G30" s="1" t="str">
        <f t="shared" si="0"/>
        <v>-0.0965783179996194+0.202072591750082i</v>
      </c>
      <c r="H30" s="1">
        <f t="shared" si="4"/>
        <v>-12.99636378207623</v>
      </c>
      <c r="I30" s="1">
        <f t="shared" si="5"/>
        <v>115.5449419668897</v>
      </c>
      <c r="J30" s="1" t="str">
        <f t="shared" si="6"/>
        <v>-12.2953768185591+40.2083019232153i</v>
      </c>
      <c r="K30" s="1">
        <f t="shared" si="7"/>
        <v>32.47453724690552</v>
      </c>
      <c r="L30" s="1">
        <f t="shared" si="8"/>
        <v>107.00321260108743</v>
      </c>
    </row>
    <row r="31" spans="2:12">
      <c r="B31" s="1">
        <v>600</v>
      </c>
      <c r="C31" s="1">
        <f t="shared" si="1"/>
        <v>3769.9111843077517</v>
      </c>
      <c r="D31" s="81" t="str">
        <f>IMPRODUCT(COMPLEX(1/(Calculations!$B$136*(Rcs+(Calculations!$B$135/1000))),0),IMDIV(COMPLEX(1,0),COMPLEX(1,(C31*Lm)/(Rcs+(Calculations!$B$135/1000)))))</f>
        <v>183.867769753859-33.1393702770737i</v>
      </c>
      <c r="E31" s="1">
        <f t="shared" si="2"/>
        <v>45.42894791770081</v>
      </c>
      <c r="F31" s="1">
        <f t="shared" si="3"/>
        <v>-10.217003907514865</v>
      </c>
      <c r="G31" s="1" t="str">
        <f t="shared" si="0"/>
        <v>-0.0965337827317206+0.169539363109391i</v>
      </c>
      <c r="H31" s="1">
        <f t="shared" si="4"/>
        <v>-14.19504209248757</v>
      </c>
      <c r="I31" s="1">
        <f t="shared" si="5"/>
        <v>119.6566935529312</v>
      </c>
      <c r="J31" s="1" t="str">
        <f t="shared" si="6"/>
        <v>-12.1310236061637+34.3718933506065i</v>
      </c>
      <c r="K31" s="1">
        <f t="shared" si="7"/>
        <v>31.233905825213242</v>
      </c>
      <c r="L31" s="1">
        <f t="shared" si="8"/>
        <v>109.43968964541632</v>
      </c>
    </row>
    <row r="32" spans="2:12">
      <c r="B32" s="1">
        <v>700</v>
      </c>
      <c r="C32" s="1">
        <f t="shared" si="1"/>
        <v>4398.22971502571</v>
      </c>
      <c r="D32" s="81" t="str">
        <f>IMPRODUCT(COMPLEX(1/(Calculations!$B$136*(Rcs+(Calculations!$B$135/1000))),0),IMDIV(COMPLEX(1,0),COMPLEX(1,(C32*Lm)/(Rcs+(Calculations!$B$135/1000)))))</f>
        <v>181.802229007637-38.2282692850662i</v>
      </c>
      <c r="E32" s="1">
        <f t="shared" si="2"/>
        <v>45.379883871305331</v>
      </c>
      <c r="F32" s="1">
        <f t="shared" si="3"/>
        <v>-11.874810441846158</v>
      </c>
      <c r="G32" s="1" t="str">
        <f t="shared" si="0"/>
        <v>-0.096481203067415+0.146478700982806i</v>
      </c>
      <c r="H32" s="1">
        <f t="shared" si="4"/>
        <v>-15.119482700209275</v>
      </c>
      <c r="I32" s="1">
        <f t="shared" si="5"/>
        <v>123.37171854069626</v>
      </c>
      <c r="J32" s="1" t="str">
        <f t="shared" si="6"/>
        <v>-11.9408705492971+30.3184637526256i</v>
      </c>
      <c r="K32" s="1">
        <f t="shared" si="7"/>
        <v>30.26040117109606</v>
      </c>
      <c r="L32" s="1">
        <f t="shared" si="8"/>
        <v>111.49690809885008</v>
      </c>
    </row>
    <row r="33" spans="2:12">
      <c r="B33" s="1">
        <v>800</v>
      </c>
      <c r="C33" s="1">
        <f t="shared" si="1"/>
        <v>5026.5482457436692</v>
      </c>
      <c r="D33" s="81" t="str">
        <f>IMPRODUCT(COMPLEX(1/(Calculations!$B$136*(Rcs+(Calculations!$B$135/1000))),0),IMDIV(COMPLEX(1,0),COMPLEX(1,(C33*Lm)/(Rcs+(Calculations!$B$135/1000)))))</f>
        <v>179.475841467064-43.1303892946441i</v>
      </c>
      <c r="E33" s="1">
        <f t="shared" si="2"/>
        <v>45.323951816797823</v>
      </c>
      <c r="F33" s="1">
        <f t="shared" si="3"/>
        <v>-13.512692381494542</v>
      </c>
      <c r="G33" s="1" t="str">
        <f t="shared" si="0"/>
        <v>-0.096420605352875+0.129337884670159i</v>
      </c>
      <c r="H33" s="1">
        <f t="shared" si="4"/>
        <v>-15.846055647386192</v>
      </c>
      <c r="I33" s="1">
        <f t="shared" si="5"/>
        <v>126.70430477994272</v>
      </c>
      <c r="J33" s="1" t="str">
        <f t="shared" si="6"/>
        <v>-11.7267759641012+27.3716839296416i</v>
      </c>
      <c r="K33" s="1">
        <f t="shared" si="7"/>
        <v>29.477896169411633</v>
      </c>
      <c r="L33" s="1">
        <f t="shared" si="8"/>
        <v>113.1916123984482</v>
      </c>
    </row>
    <row r="34" spans="2:12">
      <c r="B34" s="1">
        <v>900</v>
      </c>
      <c r="C34" s="1">
        <f t="shared" si="1"/>
        <v>5654.8667764616275</v>
      </c>
      <c r="D34" s="81" t="str">
        <f>IMPRODUCT(COMPLEX(1/(Calculations!$B$136*(Rcs+(Calculations!$B$135/1000))),0),IMDIV(COMPLEX(1,0),COMPLEX(1,(C34*Lm)/(Rcs+(Calculations!$B$135/1000)))))</f>
        <v>176.910214970399-47.8280651977429i</v>
      </c>
      <c r="E34" s="1">
        <f t="shared" si="2"/>
        <v>45.261420937190067</v>
      </c>
      <c r="F34" s="1">
        <f t="shared" si="3"/>
        <v>-15.128381705437755</v>
      </c>
      <c r="G34" s="1" t="str">
        <f t="shared" si="0"/>
        <v>-0.09635201989844+0.116143112471528i</v>
      </c>
      <c r="H34" s="1">
        <f t="shared" si="4"/>
        <v>-16.425810065444615</v>
      </c>
      <c r="I34" s="1">
        <f t="shared" si="5"/>
        <v>129.67901104175675</v>
      </c>
      <c r="J34" s="1" t="str">
        <f t="shared" si="6"/>
        <v>-11.4907561975082+25.1552336843061i</v>
      </c>
      <c r="K34" s="1">
        <f t="shared" si="7"/>
        <v>28.835610871745473</v>
      </c>
      <c r="L34" s="1">
        <f t="shared" si="8"/>
        <v>114.55062933631903</v>
      </c>
    </row>
    <row r="35" spans="2:12">
      <c r="B35" s="1">
        <v>1000</v>
      </c>
      <c r="C35" s="1">
        <f t="shared" si="1"/>
        <v>6283.1853071795858</v>
      </c>
      <c r="D35" s="81" t="str">
        <f>IMPRODUCT(COMPLEX(1/(Calculations!$B$136*(Rcs+(Calculations!$B$135/1000))),0),IMDIV(COMPLEX(1,0),COMPLEX(1,(C35*Lm)/(Rcs+(Calculations!$B$135/1000)))))</f>
        <v>174.128188893403-52.3065981523899i</v>
      </c>
      <c r="E35" s="1">
        <f t="shared" si="2"/>
        <v>45.192582664422069</v>
      </c>
      <c r="F35" s="1">
        <f t="shared" si="3"/>
        <v>-16.719812223847146</v>
      </c>
      <c r="G35" s="1" t="str">
        <f t="shared" si="0"/>
        <v>-0.0962754809408444+0.105710042770104i</v>
      </c>
      <c r="H35" s="1">
        <f t="shared" si="4"/>
        <v>-16.894430207574718</v>
      </c>
      <c r="I35" s="1">
        <f t="shared" si="5"/>
        <v>132.32570949939412</v>
      </c>
      <c r="J35" s="1" t="str">
        <f t="shared" si="6"/>
        <v>-11.2349424032228+23.4429411889032i</v>
      </c>
      <c r="K35" s="1">
        <f t="shared" si="7"/>
        <v>28.298152456847347</v>
      </c>
      <c r="L35" s="1">
        <f t="shared" si="8"/>
        <v>115.60589727554699</v>
      </c>
    </row>
    <row r="36" spans="2:12">
      <c r="B36" s="1">
        <v>2000</v>
      </c>
      <c r="C36" s="1">
        <f t="shared" si="1"/>
        <v>12566.370614359172</v>
      </c>
      <c r="D36" s="81" t="str">
        <f>IMPRODUCT(COMPLEX(1/(Calculations!$B$136*(Rcs+(Calculations!$B$135/1000))),0),IMDIV(COMPLEX(1,0),COMPLEX(1,(C36*Lm)/(Rcs+(Calculations!$B$135/1000)))))</f>
        <v>139.492310392192-83.8045611270839i</v>
      </c>
      <c r="E36" s="1">
        <f t="shared" si="2"/>
        <v>44.229394509861855</v>
      </c>
      <c r="F36" s="1">
        <f t="shared" si="3"/>
        <v>-30.996717977393679</v>
      </c>
      <c r="G36" s="1" t="str">
        <f t="shared" si="0"/>
        <v>-0.0950828893469544+0.0620577776157146i</v>
      </c>
      <c r="H36" s="1">
        <f t="shared" si="4"/>
        <v>-18.89682276555272</v>
      </c>
      <c r="I36" s="1">
        <f t="shared" si="5"/>
        <v>146.86870881958436</v>
      </c>
      <c r="J36" s="1" t="str">
        <f t="shared" si="6"/>
        <v>-8.06260709616468+16.6249625898375i</v>
      </c>
      <c r="K36" s="1">
        <f t="shared" si="7"/>
        <v>25.332571744309142</v>
      </c>
      <c r="L36" s="1">
        <f t="shared" si="8"/>
        <v>115.87199084219066</v>
      </c>
    </row>
    <row r="37" spans="2:12">
      <c r="B37" s="1">
        <v>3000</v>
      </c>
      <c r="C37" s="1">
        <f t="shared" si="1"/>
        <v>18849.555921538758</v>
      </c>
      <c r="D37" s="81" t="str">
        <f>IMPRODUCT(COMPLEX(1/(Calculations!$B$136*(Rcs+(Calculations!$B$135/1000))),0),IMDIV(COMPLEX(1,0),COMPLEX(1,(C37*Lm)/(Rcs+(Calculations!$B$135/1000)))))</f>
        <v>104.761940519021-94.4087357575553i</v>
      </c>
      <c r="E37" s="1">
        <f t="shared" si="2"/>
        <v>42.985927178140606</v>
      </c>
      <c r="F37" s="1">
        <f t="shared" si="3"/>
        <v>-42.024353557368244</v>
      </c>
      <c r="G37" s="1" t="str">
        <f t="shared" si="0"/>
        <v>-0.0931595662177431+0.0512661994828652i</v>
      </c>
      <c r="H37" s="1">
        <f t="shared" si="4"/>
        <v>-19.466553738004862</v>
      </c>
      <c r="I37" s="1">
        <f t="shared" si="5"/>
        <v>151.17577979861667</v>
      </c>
      <c r="J37" s="1" t="str">
        <f t="shared" si="6"/>
        <v>-4.91959985460906+14.1658234111996i</v>
      </c>
      <c r="K37" s="1">
        <f t="shared" si="7"/>
        <v>23.519373440135762</v>
      </c>
      <c r="L37" s="1">
        <f t="shared" si="8"/>
        <v>109.1514262412484</v>
      </c>
    </row>
    <row r="38" spans="2:12">
      <c r="B38" s="1">
        <v>4000</v>
      </c>
      <c r="C38" s="1">
        <f t="shared" si="1"/>
        <v>25132.741228718343</v>
      </c>
      <c r="D38" s="81" t="str">
        <f>IMPRODUCT(COMPLEX(1/(Calculations!$B$136*(Rcs+(Calculations!$B$135/1000))),0),IMDIV(COMPLEX(1,0),COMPLEX(1,(C38*Lm)/(Rcs+(Calculations!$B$135/1000)))))</f>
        <v>77.6838554560631-93.3422264618196i</v>
      </c>
      <c r="E38" s="1">
        <f t="shared" si="2"/>
        <v>41.687199549985891</v>
      </c>
      <c r="F38" s="1">
        <f t="shared" si="3"/>
        <v>-50.231157225840057</v>
      </c>
      <c r="G38" s="1" t="str">
        <f t="shared" si="0"/>
        <v>-0.0905940337405344+0.0483482478039209i</v>
      </c>
      <c r="H38" s="1">
        <f t="shared" si="4"/>
        <v>-19.769603344167063</v>
      </c>
      <c r="I38" s="1">
        <f t="shared" si="5"/>
        <v>151.91203962383639</v>
      </c>
      <c r="J38" s="1" t="str">
        <f t="shared" si="6"/>
        <v>-2.52476072673562+12.2121271074524i</v>
      </c>
      <c r="K38" s="1">
        <f t="shared" si="7"/>
        <v>21.917596205818821</v>
      </c>
      <c r="L38" s="1">
        <f t="shared" si="8"/>
        <v>101.68088239799636</v>
      </c>
    </row>
    <row r="39" spans="2:12">
      <c r="B39" s="1">
        <v>5000</v>
      </c>
      <c r="C39" s="1">
        <f t="shared" si="1"/>
        <v>31415.926535897932</v>
      </c>
      <c r="D39" s="81" t="str">
        <f>IMPRODUCT(COMPLEX(1/(Calculations!$B$136*(Rcs+(Calculations!$B$135/1000))),0),IMDIV(COMPLEX(1,0),COMPLEX(1,(C39*Lm)/(Rcs+(Calculations!$B$135/1000)))))</f>
        <v>58.3071245595865-87.5747733075736i</v>
      </c>
      <c r="E39" s="1">
        <f t="shared" si="2"/>
        <v>40.441108080270858</v>
      </c>
      <c r="F39" s="1">
        <f t="shared" si="3"/>
        <v>-56.34439600012692</v>
      </c>
      <c r="G39" s="1" t="str">
        <f t="shared" si="0"/>
        <v>-0.0874960235322588+0.0482410445635485i</v>
      </c>
      <c r="H39" s="1">
        <f t="shared" si="4"/>
        <v>-20.007496954803067</v>
      </c>
      <c r="I39" s="1">
        <f t="shared" si="5"/>
        <v>151.12979861222638</v>
      </c>
      <c r="J39" s="1" t="str">
        <f t="shared" si="6"/>
        <v>-0.876943000790609+10.4752410204031i</v>
      </c>
      <c r="K39" s="1">
        <f t="shared" si="7"/>
        <v>20.433611125467817</v>
      </c>
      <c r="L39" s="1">
        <f t="shared" si="8"/>
        <v>94.785402612099418</v>
      </c>
    </row>
    <row r="40" spans="2:12">
      <c r="B40" s="1">
        <v>6000</v>
      </c>
      <c r="C40" s="1">
        <f t="shared" si="1"/>
        <v>37699.111843077517</v>
      </c>
      <c r="D40" s="81" t="str">
        <f>IMPRODUCT(COMPLEX(1/(Calculations!$B$136*(Rcs+(Calculations!$B$135/1000))),0),IMDIV(COMPLEX(1,0),COMPLEX(1,(C40*Lm)/(Rcs+(Calculations!$B$135/1000)))))</f>
        <v>44.6845955013843-80.5371902853878i</v>
      </c>
      <c r="E40" s="1">
        <f t="shared" si="2"/>
        <v>39.285470144154395</v>
      </c>
      <c r="F40" s="1">
        <f t="shared" si="3"/>
        <v>-60.977092875189136</v>
      </c>
      <c r="G40" s="1" t="str">
        <f t="shared" ref="G40:G62" si="11">IMPRODUCT(COMPLEX(-(gm*Acs*Rcs)/(IL_Comp_Ccomp+IL_Comp_Chf),0),IMDIV(COMPLEX(1,C40*IL_Comp_Rcomp*IL_Comp_Ccomp),IMPRODUCT(COMPLEX(0,C40),COMPLEX(1,C40*IL_Comp_Rcomp*((IL_Comp_Ccomp*IL_Comp_Chf)/(IL_Comp_Ccomp+IL_Comp_Chf))))))</f>
        <v>-0.0839857649866575+0.0492299613635708i</v>
      </c>
      <c r="H40" s="1">
        <f t="shared" si="4"/>
        <v>-20.233200543113089</v>
      </c>
      <c r="I40" s="1">
        <f t="shared" si="5"/>
        <v>149.62243441794331</v>
      </c>
      <c r="J40" s="1" t="str">
        <f t="shared" si="6"/>
        <v>0.211972829777076+8.96379844607423i</v>
      </c>
      <c r="K40" s="1">
        <f t="shared" si="7"/>
        <v>19.052269601041306</v>
      </c>
      <c r="L40" s="1">
        <f t="shared" si="8"/>
        <v>88.64534154275421</v>
      </c>
    </row>
    <row r="41" spans="2:12">
      <c r="B41" s="1">
        <v>7000</v>
      </c>
      <c r="C41" s="1">
        <f t="shared" si="1"/>
        <v>43982.297150257102</v>
      </c>
      <c r="D41" s="81" t="str">
        <f>IMPRODUCT(COMPLEX(1/(Calculations!$B$136*(Rcs+(Calculations!$B$135/1000))),0),IMDIV(COMPLEX(1,0),COMPLEX(1,(C41*Lm)/(Rcs+(Calculations!$B$135/1000)))))</f>
        <v>35.0161757139841-73.6298890191906i</v>
      </c>
      <c r="E41" s="1">
        <f t="shared" si="2"/>
        <v>38.226578964284492</v>
      </c>
      <c r="F41" s="1">
        <f t="shared" si="3"/>
        <v>-64.565635335092878</v>
      </c>
      <c r="G41" s="1" t="str">
        <f t="shared" si="11"/>
        <v>-0.0801839673444087+0.0505790995223539i</v>
      </c>
      <c r="H41" s="1">
        <f t="shared" si="4"/>
        <v>-20.463507593114354</v>
      </c>
      <c r="I41" s="1">
        <f t="shared" si="5"/>
        <v>147.75675512215344</v>
      </c>
      <c r="J41" s="1" t="str">
        <f t="shared" si="6"/>
        <v>0.916397594545336+7.67502325301705i</v>
      </c>
      <c r="K41" s="1">
        <f t="shared" si="7"/>
        <v>17.763071371170138</v>
      </c>
      <c r="L41" s="1">
        <f t="shared" si="8"/>
        <v>83.191119787060543</v>
      </c>
    </row>
    <row r="42" spans="2:12">
      <c r="B42" s="1">
        <v>8000</v>
      </c>
      <c r="C42" s="1">
        <f t="shared" si="1"/>
        <v>50265.482457436687</v>
      </c>
      <c r="D42" s="81" t="str">
        <f>IMPRODUCT(COMPLEX(1/(Calculations!$B$136*(Rcs+(Calculations!$B$135/1000))),0),IMDIV(COMPLEX(1,0),COMPLEX(1,(C42*Lm)/(Rcs+(Calculations!$B$135/1000)))))</f>
        <v>28.020605884347-67.3371764235726i</v>
      </c>
      <c r="E42" s="1">
        <f t="shared" si="2"/>
        <v>37.258667052133603</v>
      </c>
      <c r="F42" s="1">
        <f t="shared" si="3"/>
        <v>-67.406639939320868</v>
      </c>
      <c r="G42" s="1" t="str">
        <f t="shared" si="11"/>
        <v>-0.0762037432315106+0.0519351647145602i</v>
      </c>
      <c r="H42" s="1">
        <f t="shared" si="4"/>
        <v>-20.703628671952711</v>
      </c>
      <c r="I42" s="1">
        <f t="shared" si="5"/>
        <v>145.72438204167906</v>
      </c>
      <c r="J42" s="1" t="str">
        <f t="shared" si="6"/>
        <v>1.36189229296951+6.58659968412219i</v>
      </c>
      <c r="K42" s="1">
        <f t="shared" si="7"/>
        <v>16.555038380180889</v>
      </c>
      <c r="L42" s="1">
        <f t="shared" si="8"/>
        <v>78.317742102358181</v>
      </c>
    </row>
    <row r="43" spans="2:12">
      <c r="B43" s="1">
        <v>9000</v>
      </c>
      <c r="C43" s="1">
        <f t="shared" si="1"/>
        <v>56548.667764616279</v>
      </c>
      <c r="D43" s="81" t="str">
        <f>IMPRODUCT(COMPLEX(1/(Calculations!$B$136*(Rcs+(Calculations!$B$135/1000))),0),IMDIV(COMPLEX(1,0),COMPLEX(1,(C43*Lm)/(Rcs+(Calculations!$B$135/1000)))))</f>
        <v>22.8475061799088-61.7687347992516i</v>
      </c>
      <c r="E43" s="1">
        <f t="shared" si="2"/>
        <v>36.372279869621849</v>
      </c>
      <c r="F43" s="1">
        <f t="shared" si="3"/>
        <v>-69.70117710282652</v>
      </c>
      <c r="G43" s="1" t="str">
        <f t="shared" si="11"/>
        <v>-0.0721450680516444+0.0531244100334684i</v>
      </c>
      <c r="H43" s="1">
        <f t="shared" si="4"/>
        <v>-20.95440580788086</v>
      </c>
      <c r="I43" s="1">
        <f t="shared" si="5"/>
        <v>143.63372603052295</v>
      </c>
      <c r="J43" s="1" t="str">
        <f t="shared" si="6"/>
        <v>1.63309270656412+5.67006986209966i</v>
      </c>
      <c r="K43" s="1">
        <f t="shared" si="7"/>
        <v>15.41787406174098</v>
      </c>
      <c r="L43" s="1">
        <f t="shared" si="8"/>
        <v>73.932548927696473</v>
      </c>
    </row>
    <row r="44" spans="2:12">
      <c r="B44" s="1">
        <v>10000</v>
      </c>
      <c r="C44" s="1">
        <f t="shared" si="1"/>
        <v>62831.853071795864</v>
      </c>
      <c r="D44" s="81" t="str">
        <f>IMPRODUCT(COMPLEX(1/(Calculations!$B$136*(Rcs+(Calculations!$B$135/1000))),0),IMDIV(COMPLEX(1,0),COMPLEX(1,(C44*Lm)/(Rcs+(Calculations!$B$135/1000)))))</f>
        <v>18.9395650863052-56.8928113504274i</v>
      </c>
      <c r="E44" s="1">
        <f t="shared" si="2"/>
        <v>35.557591854685654</v>
      </c>
      <c r="F44" s="1">
        <f t="shared" si="3"/>
        <v>-71.587446408757913</v>
      </c>
      <c r="G44" s="1" t="str">
        <f t="shared" si="11"/>
        <v>-0.0680917809773469+0.0540674907139509i</v>
      </c>
      <c r="H44" s="1">
        <f t="shared" si="4"/>
        <v>-21.214906022453611</v>
      </c>
      <c r="I44" s="1">
        <f t="shared" si="5"/>
        <v>141.5490744458896</v>
      </c>
      <c r="J44" s="1" t="str">
        <f t="shared" si="6"/>
        <v>1.78642283171689+4.89794760908889i</v>
      </c>
      <c r="K44" s="1">
        <f t="shared" si="7"/>
        <v>14.342685832232039</v>
      </c>
      <c r="L44" s="1">
        <f t="shared" si="8"/>
        <v>69.961628037131732</v>
      </c>
    </row>
    <row r="45" spans="2:12">
      <c r="B45" s="1">
        <v>20000</v>
      </c>
      <c r="C45" s="1">
        <f t="shared" si="1"/>
        <v>125663.70614359173</v>
      </c>
      <c r="D45" s="81" t="str">
        <f>IMPRODUCT(COMPLEX(1/(Calculations!$B$136*(Rcs+(Calculations!$B$135/1000))),0),IMDIV(COMPLEX(1,0),COMPLEX(1,(C45*Lm)/(Rcs+(Calculations!$B$135/1000)))))</f>
        <v>5.11782871029207-30.7470274012771i</v>
      </c>
      <c r="E45" s="1">
        <f t="shared" si="2"/>
        <v>29.874749297924531</v>
      </c>
      <c r="F45" s="1">
        <f t="shared" si="3"/>
        <v>-80.549782172205042</v>
      </c>
      <c r="G45" s="1" t="str">
        <f t="shared" si="11"/>
        <v>-0.0360829268210071+0.0517337083227405i</v>
      </c>
      <c r="H45" s="1">
        <f t="shared" si="4"/>
        <v>-24.002965551347586</v>
      </c>
      <c r="I45" s="1">
        <f t="shared" si="5"/>
        <v>124.89477894068281</v>
      </c>
      <c r="J45" s="1" t="str">
        <f t="shared" si="6"/>
        <v>1.40599150853306+1.37420699742778i</v>
      </c>
      <c r="K45" s="1">
        <f t="shared" si="7"/>
        <v>5.8717837465769405</v>
      </c>
      <c r="L45" s="1">
        <f t="shared" si="8"/>
        <v>44.344996768477827</v>
      </c>
    </row>
    <row r="46" spans="2:12">
      <c r="B46" s="1">
        <v>30000</v>
      </c>
      <c r="C46" s="1">
        <f t="shared" si="1"/>
        <v>188495.55921538759</v>
      </c>
      <c r="D46" s="81" t="str">
        <f>IMPRODUCT(COMPLEX(1/(Calculations!$B$136*(Rcs+(Calculations!$B$135/1000))),0),IMDIV(COMPLEX(1,0),COMPLEX(1,(C46*Lm)/(Rcs+(Calculations!$B$135/1000)))))</f>
        <v>2.30917499025238-20.8096843560387i</v>
      </c>
      <c r="E46" s="1">
        <f t="shared" si="2"/>
        <v>26.418460286761256</v>
      </c>
      <c r="F46" s="1">
        <f t="shared" si="3"/>
        <v>-83.668000694670894</v>
      </c>
      <c r="G46" s="1" t="str">
        <f t="shared" si="11"/>
        <v>-0.0202318293413228+0.0426435809580237i</v>
      </c>
      <c r="H46" s="1">
        <f t="shared" si="4"/>
        <v>-26.521234269922491</v>
      </c>
      <c r="I46" s="1">
        <f t="shared" si="5"/>
        <v>115.38154307014788</v>
      </c>
      <c r="J46" s="1" t="str">
        <f t="shared" si="6"/>
        <v>0.840680625225619+0.519489473181241i</v>
      </c>
      <c r="K46" s="1">
        <f t="shared" si="7"/>
        <v>-0.10277398316123142</v>
      </c>
      <c r="L46" s="1">
        <f t="shared" si="8"/>
        <v>31.713542375477001</v>
      </c>
    </row>
    <row r="47" spans="2:12">
      <c r="B47" s="1">
        <v>40000</v>
      </c>
      <c r="C47" s="1">
        <f t="shared" si="1"/>
        <v>251327.41228718346</v>
      </c>
      <c r="D47" s="81" t="str">
        <f>IMPRODUCT(COMPLEX(1/(Calculations!$B$136*(Rcs+(Calculations!$B$135/1000))),0),IMDIV(COMPLEX(1,0),COMPLEX(1,(C47*Lm)/(Rcs+(Calculations!$B$135/1000)))))</f>
        <v>1.30586025381247-15.6907639075397i</v>
      </c>
      <c r="E47" s="1">
        <f t="shared" si="2"/>
        <v>23.9428588704384</v>
      </c>
      <c r="F47" s="1">
        <f t="shared" si="3"/>
        <v>-85.24253555518203</v>
      </c>
      <c r="G47" s="1" t="str">
        <f t="shared" si="11"/>
        <v>-0.0125273331804531+0.034955312744057i</v>
      </c>
      <c r="H47" s="1">
        <f t="shared" si="4"/>
        <v>-28.604962162509079</v>
      </c>
      <c r="I47" s="1">
        <f t="shared" si="5"/>
        <v>109.71673403883844</v>
      </c>
      <c r="J47" s="1" t="str">
        <f t="shared" si="6"/>
        <v>0.532116613094592+0.242210180897627i</v>
      </c>
      <c r="K47" s="1">
        <f t="shared" si="7"/>
        <v>-4.6621032920706789</v>
      </c>
      <c r="L47" s="1">
        <f t="shared" si="8"/>
        <v>24.474198483656462</v>
      </c>
    </row>
    <row r="48" spans="2:12">
      <c r="B48" s="1">
        <v>50000</v>
      </c>
      <c r="C48" s="1">
        <f t="shared" si="1"/>
        <v>314159.26535897929</v>
      </c>
      <c r="D48" s="81" t="str">
        <f>IMPRODUCT(COMPLEX(1/(Calculations!$B$136*(Rcs+(Calculations!$B$135/1000))),0),IMDIV(COMPLEX(1,0),COMPLEX(1,(C48*Lm)/(Rcs+(Calculations!$B$135/1000)))))</f>
        <v>0.837825301543383-12.583772807906i</v>
      </c>
      <c r="E48" s="1">
        <f t="shared" si="2"/>
        <v>22.015426550052034</v>
      </c>
      <c r="F48" s="1">
        <f t="shared" si="3"/>
        <v>-86.190879246316413</v>
      </c>
      <c r="G48" s="1" t="str">
        <f t="shared" si="11"/>
        <v>-0.00840978650938625+0.0292351891646746i</v>
      </c>
      <c r="H48" s="1">
        <f t="shared" si="4"/>
        <v>-30.336607459311896</v>
      </c>
      <c r="I48" s="1">
        <f t="shared" si="5"/>
        <v>106.04839589356723</v>
      </c>
      <c r="J48" s="1" t="str">
        <f t="shared" si="6"/>
        <v>0.360843046526278+0.130320823974681i</v>
      </c>
      <c r="K48" s="1">
        <f t="shared" si="7"/>
        <v>-8.3211809092598656</v>
      </c>
      <c r="L48" s="1">
        <f t="shared" si="8"/>
        <v>19.857516647250883</v>
      </c>
    </row>
    <row r="49" spans="2:12">
      <c r="B49" s="1">
        <v>60000</v>
      </c>
      <c r="C49" s="1">
        <f t="shared" si="1"/>
        <v>376991.11843077518</v>
      </c>
      <c r="D49" s="81" t="str">
        <f>IMPRODUCT(COMPLEX(1/(Calculations!$B$136*(Rcs+(Calculations!$B$135/1000))),0),IMDIV(COMPLEX(1,0),COMPLEX(1,(C49*Lm)/(Rcs+(Calculations!$B$135/1000)))))</f>
        <v>0.582608780382854-10.5006375644998i</v>
      </c>
      <c r="E49" s="1">
        <f t="shared" si="2"/>
        <v>20.437662090013756</v>
      </c>
      <c r="F49" s="1">
        <f t="shared" si="3"/>
        <v>-86.824303862604779</v>
      </c>
      <c r="G49" s="1" t="str">
        <f t="shared" si="11"/>
        <v>-0.00599959317754512+0.0249826078312808i</v>
      </c>
      <c r="H49" s="1">
        <f t="shared" si="4"/>
        <v>-31.803732850624399</v>
      </c>
      <c r="I49" s="1">
        <f t="shared" si="5"/>
        <v>103.50390246209929</v>
      </c>
      <c r="J49" s="1" t="str">
        <f t="shared" si="6"/>
        <v>0.258837894588351+0.0775546401712126i</v>
      </c>
      <c r="K49" s="1">
        <f t="shared" si="7"/>
        <v>-11.366070760610647</v>
      </c>
      <c r="L49" s="1">
        <f t="shared" si="8"/>
        <v>16.679598599494511</v>
      </c>
    </row>
    <row r="50" spans="2:12">
      <c r="B50" s="1">
        <v>70000</v>
      </c>
      <c r="C50" s="1">
        <f t="shared" si="1"/>
        <v>439822.97150257102</v>
      </c>
      <c r="D50" s="81" t="str">
        <f>IMPRODUCT(COMPLEX(1/(Calculations!$B$136*(Rcs+(Calculations!$B$135/1000))),0),IMDIV(COMPLEX(1,0),COMPLEX(1,(C50*Lm)/(Rcs+(Calculations!$B$135/1000)))))</f>
        <v>0.428387900608994-9.00788076820379i</v>
      </c>
      <c r="E50" s="1">
        <f t="shared" si="2"/>
        <v>19.102263796098132</v>
      </c>
      <c r="F50" s="1">
        <f t="shared" si="3"/>
        <v>-87.277235310823144</v>
      </c>
      <c r="G50" s="1" t="str">
        <f t="shared" si="11"/>
        <v>-0.00448165000265246+0.0217483314358051i</v>
      </c>
      <c r="H50" s="1">
        <f t="shared" si="4"/>
        <v>-33.070869223739166</v>
      </c>
      <c r="I50" s="1">
        <f t="shared" si="5"/>
        <v>101.64387538829915</v>
      </c>
      <c r="J50" s="1" t="str">
        <f t="shared" si="6"/>
        <v>0.19398649184521+0.0496868909142467i</v>
      </c>
      <c r="K50" s="1">
        <f t="shared" si="7"/>
        <v>-13.968605427641039</v>
      </c>
      <c r="L50" s="1">
        <f t="shared" si="8"/>
        <v>14.366640077476024</v>
      </c>
    </row>
    <row r="51" spans="2:12">
      <c r="B51" s="1">
        <v>80000</v>
      </c>
      <c r="C51" s="1">
        <f t="shared" si="1"/>
        <v>502654.82457436691</v>
      </c>
      <c r="D51" s="81" t="str">
        <f>IMPRODUCT(COMPLEX(1/(Calculations!$B$136*(Rcs+(Calculations!$B$135/1000))),0),IMDIV(COMPLEX(1,0),COMPLEX(1,(C51*Lm)/(Rcs+(Calculations!$B$135/1000)))))</f>
        <v>0.32815804349042-7.88606647569776i</v>
      </c>
      <c r="E51" s="1">
        <f t="shared" si="2"/>
        <v>17.944722372201596</v>
      </c>
      <c r="F51" s="1">
        <f t="shared" si="3"/>
        <v>-87.617160630388526</v>
      </c>
      <c r="G51" s="1" t="str">
        <f t="shared" si="11"/>
        <v>-0.00346895208110743+0.0192251547094479i</v>
      </c>
      <c r="H51" s="1">
        <f t="shared" si="4"/>
        <v>-34.183458827904467</v>
      </c>
      <c r="I51" s="1">
        <f t="shared" si="5"/>
        <v>100.22829027297618</v>
      </c>
      <c r="J51" s="1" t="str">
        <f t="shared" si="6"/>
        <v>0.150472483516382+0.0336652758678763i</v>
      </c>
      <c r="K51" s="1">
        <f t="shared" si="7"/>
        <v>-16.238736455702856</v>
      </c>
      <c r="L51" s="1">
        <f t="shared" si="8"/>
        <v>12.611129642587628</v>
      </c>
    </row>
    <row r="52" spans="2:12">
      <c r="B52" s="1">
        <v>90000</v>
      </c>
      <c r="C52" s="1">
        <f t="shared" si="1"/>
        <v>565486.6776461628</v>
      </c>
      <c r="D52" s="81" t="str">
        <f>IMPRODUCT(COMPLEX(1/(Calculations!$B$136*(Rcs+(Calculations!$B$135/1000))),0),IMDIV(COMPLEX(1,0),COMPLEX(1,(C52*Lm)/(Rcs+(Calculations!$B$135/1000)))))</f>
        <v>0.259379468507649-7.01238090339525i</v>
      </c>
      <c r="E52" s="1">
        <f t="shared" si="2"/>
        <v>16.923247795022355</v>
      </c>
      <c r="F52" s="1">
        <f t="shared" si="3"/>
        <v>-87.881664304672569</v>
      </c>
      <c r="G52" s="1" t="str">
        <f t="shared" si="11"/>
        <v>-0.00276169752392544+0.0172103064717515i</v>
      </c>
      <c r="H52" s="1">
        <f t="shared" si="4"/>
        <v>-35.173813219495855</v>
      </c>
      <c r="I52" s="1">
        <f t="shared" si="5"/>
        <v>99.116400857791433</v>
      </c>
      <c r="J52" s="1" t="str">
        <f t="shared" si="6"/>
        <v>0.119968896808155+0.0238300751232254i</v>
      </c>
      <c r="K52" s="1">
        <f t="shared" si="7"/>
        <v>-18.250565424473521</v>
      </c>
      <c r="L52" s="1">
        <f t="shared" si="8"/>
        <v>11.234736553118918</v>
      </c>
    </row>
    <row r="53" spans="2:12">
      <c r="B53" s="1">
        <v>100000</v>
      </c>
      <c r="C53" s="1">
        <f t="shared" si="1"/>
        <v>628318.53071795858</v>
      </c>
      <c r="D53" s="81" t="str">
        <f>IMPRODUCT(COMPLEX(1/(Calculations!$B$136*(Rcs+(Calculations!$B$135/1000))),0),IMDIV(COMPLEX(1,0),COMPLEX(1,(C53*Lm)/(Rcs+(Calculations!$B$135/1000)))))</f>
        <v>0.210151924343534-6.31278159351781i</v>
      </c>
      <c r="E53" s="1">
        <f t="shared" si="2"/>
        <v>16.00922554651093</v>
      </c>
      <c r="F53" s="1">
        <f t="shared" si="3"/>
        <v>-88.093332844216064</v>
      </c>
      <c r="G53" s="1" t="str">
        <f t="shared" si="11"/>
        <v>-0.00224918228058621+0.0155683733609519i</v>
      </c>
      <c r="H53" s="1">
        <f t="shared" si="4"/>
        <v>-36.065422563038844</v>
      </c>
      <c r="I53" s="1">
        <f t="shared" si="5"/>
        <v>98.220713413115163</v>
      </c>
      <c r="J53" s="1" t="str">
        <f t="shared" si="6"/>
        <v>0.0978070708095656+0.0174703201220537i</v>
      </c>
      <c r="K53" s="1">
        <f t="shared" si="7"/>
        <v>-20.056197016527911</v>
      </c>
      <c r="L53" s="1">
        <f t="shared" si="8"/>
        <v>10.12738056889911</v>
      </c>
    </row>
    <row r="54" spans="2:12">
      <c r="B54" s="1">
        <v>200000</v>
      </c>
      <c r="C54" s="1">
        <f t="shared" si="1"/>
        <v>1256637.0614359172</v>
      </c>
      <c r="D54" s="81" t="str">
        <f>IMPRODUCT(COMPLEX(1/(Calculations!$B$136*(Rcs+(Calculations!$B$135/1000))),0),IMDIV(COMPLEX(1,0),COMPLEX(1,(C54*Lm)/(Rcs+(Calculations!$B$135/1000)))))</f>
        <v>0.0525816366445973-3.15901354702269i</v>
      </c>
      <c r="E54" s="1">
        <f t="shared" si="2"/>
        <v>9.9922328322971126</v>
      </c>
      <c r="F54" s="1">
        <f t="shared" si="3"/>
        <v>-89.046402418630947</v>
      </c>
      <c r="G54" s="1" t="str">
        <f t="shared" si="11"/>
        <v>-0.00057228084183804+0.00791358651226i</v>
      </c>
      <c r="H54" s="1">
        <f t="shared" si="4"/>
        <v>-42.00988005868485</v>
      </c>
      <c r="I54" s="1">
        <f t="shared" si="5"/>
        <v>94.136215213418126</v>
      </c>
      <c r="J54" s="1" t="str">
        <f t="shared" si="6"/>
        <v>0.0249690355344812+0.00222395226261116i</v>
      </c>
      <c r="K54" s="1">
        <f t="shared" si="7"/>
        <v>-32.01764722638773</v>
      </c>
      <c r="L54" s="1">
        <f t="shared" si="8"/>
        <v>5.0898127947871865</v>
      </c>
    </row>
    <row r="55" spans="2:12">
      <c r="B55" s="1">
        <v>300000</v>
      </c>
      <c r="C55" s="1">
        <f t="shared" si="1"/>
        <v>1884955.5921538759</v>
      </c>
      <c r="D55" s="81" t="str">
        <f>IMPRODUCT(COMPLEX(1/(Calculations!$B$136*(Rcs+(Calculations!$B$135/1000))),0),IMDIV(COMPLEX(1,0),COMPLEX(1,(C55*Lm)/(Rcs+(Calculations!$B$135/1000)))))</f>
        <v>0.0233732128756033-2.10633314660421i</v>
      </c>
      <c r="E55" s="1">
        <f t="shared" si="2"/>
        <v>6.4710759799250877</v>
      </c>
      <c r="F55" s="1">
        <f t="shared" si="3"/>
        <v>-89.364235666806096</v>
      </c>
      <c r="G55" s="1" t="str">
        <f t="shared" si="11"/>
        <v>-0.00025518622771795+0.00529203696381461i</v>
      </c>
      <c r="H55" s="1">
        <f t="shared" si="4"/>
        <v>-45.517455931871602</v>
      </c>
      <c r="I55" s="1">
        <f t="shared" si="5"/>
        <v>92.760709568052974</v>
      </c>
      <c r="J55" s="1" t="str">
        <f t="shared" si="6"/>
        <v>0.011140828347914+0.000661199116500008i</v>
      </c>
      <c r="K55" s="1">
        <f t="shared" si="7"/>
        <v>-39.046379951946548</v>
      </c>
      <c r="L55" s="1">
        <f t="shared" si="8"/>
        <v>3.3964739012469143</v>
      </c>
    </row>
    <row r="56" spans="2:12">
      <c r="B56" s="1">
        <v>400000</v>
      </c>
      <c r="C56" s="1">
        <f t="shared" si="1"/>
        <v>2513274.1228718343</v>
      </c>
      <c r="D56" s="81" t="str">
        <f>IMPRODUCT(COMPLEX(1/(Calculations!$B$136*(Rcs+(Calculations!$B$135/1000))),0),IMDIV(COMPLEX(1,0),COMPLEX(1,(C56*Lm)/(Rcs+(Calculations!$B$135/1000)))))</f>
        <v>0.0131481404681311-1.57983495788547i</v>
      </c>
      <c r="E56" s="1">
        <f t="shared" si="2"/>
        <v>3.9725351871186207</v>
      </c>
      <c r="F56" s="1">
        <f t="shared" si="3"/>
        <v>-89.523168188313548</v>
      </c>
      <c r="G56" s="1" t="str">
        <f t="shared" si="11"/>
        <v>-0.000143708204756896+0.00397332888126104i</v>
      </c>
      <c r="H56" s="1">
        <f t="shared" si="4"/>
        <v>-48.011232253206096</v>
      </c>
      <c r="I56" s="1">
        <f t="shared" si="5"/>
        <v>92.071383045098827</v>
      </c>
      <c r="J56" s="1" t="str">
        <f t="shared" si="6"/>
        <v>0.00627531437012959+0.00027927713186681i</v>
      </c>
      <c r="K56" s="1">
        <f t="shared" si="7"/>
        <v>-44.038697066087479</v>
      </c>
      <c r="L56" s="1">
        <f t="shared" si="8"/>
        <v>2.548214856785286</v>
      </c>
    </row>
    <row r="57" spans="2:12">
      <c r="B57" s="1">
        <v>500000</v>
      </c>
      <c r="C57" s="1">
        <f t="shared" si="1"/>
        <v>3141592.653589793</v>
      </c>
      <c r="D57" s="81" t="str">
        <f>IMPRODUCT(COMPLEX(1/(Calculations!$B$136*(Rcs+(Calculations!$B$135/1000))),0),IMDIV(COMPLEX(1,0),COMPLEX(1,(C57*Lm)/(Rcs+(Calculations!$B$135/1000)))))</f>
        <v>0.00841501971279553-1.26389947934016i</v>
      </c>
      <c r="E57" s="1">
        <f t="shared" si="2"/>
        <v>2.0344432117274218</v>
      </c>
      <c r="F57" s="1">
        <f t="shared" si="3"/>
        <v>-89.618531380192039</v>
      </c>
      <c r="G57" s="1" t="str">
        <f t="shared" si="11"/>
        <v>-0.0000920224938541819+0.00318025845751839i</v>
      </c>
      <c r="H57" s="1">
        <f t="shared" si="4"/>
        <v>-49.94711699885287</v>
      </c>
      <c r="I57" s="1">
        <f t="shared" si="5"/>
        <v>91.657421820630432</v>
      </c>
      <c r="J57" s="1" t="str">
        <f t="shared" si="6"/>
        <v>0.00401875263752483+0.000143069119681686i</v>
      </c>
      <c r="K57" s="1">
        <f t="shared" si="7"/>
        <v>-47.912673787125456</v>
      </c>
      <c r="L57" s="1">
        <f t="shared" si="8"/>
        <v>2.0388904404384212</v>
      </c>
    </row>
    <row r="58" spans="2:12">
      <c r="B58" s="1">
        <v>600000</v>
      </c>
      <c r="C58" s="1">
        <f t="shared" si="1"/>
        <v>3769911.1843077517</v>
      </c>
      <c r="D58" s="81" t="str">
        <f>IMPRODUCT(COMPLEX(1/(Calculations!$B$136*(Rcs+(Calculations!$B$135/1000))),0),IMDIV(COMPLEX(1,0),COMPLEX(1,(C58*Lm)/(Rcs+(Calculations!$B$135/1000)))))</f>
        <v>0.00584384284012429-1.05326383182412i</v>
      </c>
      <c r="E58" s="1">
        <f t="shared" si="2"/>
        <v>0.45087711326306845</v>
      </c>
      <c r="F58" s="1">
        <f t="shared" si="3"/>
        <v>-89.682108048273122</v>
      </c>
      <c r="G58" s="1" t="str">
        <f t="shared" si="11"/>
        <v>-0.0000639231007933844+0.00265093815416286i</v>
      </c>
      <c r="H58" s="1">
        <f t="shared" si="4"/>
        <v>-51.529483587738333</v>
      </c>
      <c r="I58" s="1">
        <f t="shared" si="5"/>
        <v>91.381327688001932</v>
      </c>
      <c r="J58" s="1" t="str">
        <f t="shared" si="6"/>
        <v>0.00279176372162744+0.0000828195560355364i</v>
      </c>
      <c r="K58" s="1">
        <f t="shared" si="7"/>
        <v>-51.078606474475279</v>
      </c>
      <c r="L58" s="1">
        <f t="shared" si="8"/>
        <v>1.6992196397288279</v>
      </c>
    </row>
    <row r="59" spans="2:12">
      <c r="B59" s="1">
        <v>700000</v>
      </c>
      <c r="C59" s="1">
        <f t="shared" si="1"/>
        <v>4398229.7150257099</v>
      </c>
      <c r="D59" s="81" t="str">
        <f>IMPRODUCT(COMPLEX(1/(Calculations!$B$136*(Rcs+(Calculations!$B$135/1000))),0),IMDIV(COMPLEX(1,0),COMPLEX(1,(C59*Lm)/(Rcs+(Calculations!$B$135/1000)))))</f>
        <v>0.0042934706203047-0.902804943242104i</v>
      </c>
      <c r="E59" s="1">
        <f t="shared" si="2"/>
        <v>-0.88802321085905445</v>
      </c>
      <c r="F59" s="1">
        <f t="shared" si="3"/>
        <v>-89.727520442459394</v>
      </c>
      <c r="G59" s="1" t="str">
        <f t="shared" si="11"/>
        <v>-0.0000469721504663276+0.00227260642859462i</v>
      </c>
      <c r="H59" s="1">
        <f t="shared" si="4"/>
        <v>-52.867660468184859</v>
      </c>
      <c r="I59" s="1">
        <f t="shared" si="5"/>
        <v>91.184069004516545</v>
      </c>
      <c r="J59" s="1" t="str">
        <f t="shared" si="6"/>
        <v>0.00205151864423101+0.0000521640585683991i</v>
      </c>
      <c r="K59" s="1">
        <f t="shared" si="7"/>
        <v>-53.755683679043898</v>
      </c>
      <c r="L59" s="1">
        <f t="shared" si="8"/>
        <v>1.4565485620571359</v>
      </c>
    </row>
    <row r="60" spans="2:12">
      <c r="B60" s="1">
        <v>800000</v>
      </c>
      <c r="C60" s="1">
        <f t="shared" si="1"/>
        <v>5026548.2457436686</v>
      </c>
      <c r="D60" s="81" t="str">
        <f>IMPRODUCT(COMPLEX(1/(Calculations!$B$136*(Rcs+(Calculations!$B$135/1000))),0),IMDIV(COMPLEX(1,0),COMPLEX(1,(C60*Lm)/(Rcs+(Calculations!$B$135/1000)))))</f>
        <v>0.00328720586805748-0.789958512644585i</v>
      </c>
      <c r="E60" s="1">
        <f t="shared" si="2"/>
        <v>-2.0478391298435135</v>
      </c>
      <c r="F60" s="1">
        <f t="shared" si="3"/>
        <v>-89.761579965888302</v>
      </c>
      <c r="G60" s="1" t="str">
        <f t="shared" si="11"/>
        <v>-0.0000359671483475795+0.00198874292810949i</v>
      </c>
      <c r="H60" s="1">
        <f t="shared" si="4"/>
        <v>-54.027006773018385</v>
      </c>
      <c r="I60" s="1">
        <f t="shared" si="5"/>
        <v>91.036102322524172</v>
      </c>
      <c r="J60" s="1" t="str">
        <f t="shared" si="6"/>
        <v>0.0015709061741007+0.0000349499624360604i</v>
      </c>
      <c r="K60" s="1">
        <f t="shared" si="7"/>
        <v>-56.074845902861924</v>
      </c>
      <c r="L60" s="1">
        <f t="shared" si="8"/>
        <v>1.2745223566358679</v>
      </c>
    </row>
    <row r="61" spans="2:12">
      <c r="B61" s="1">
        <v>900000</v>
      </c>
      <c r="C61" s="1">
        <f t="shared" si="1"/>
        <v>5654866.7764616273</v>
      </c>
      <c r="D61" s="81" t="str">
        <f>IMPRODUCT(COMPLEX(1/(Calculations!$B$136*(Rcs+(Calculations!$B$135/1000))),0),IMDIV(COMPLEX(1,0),COMPLEX(1,(C61*Lm)/(Rcs+(Calculations!$B$135/1000)))))</f>
        <v>0.00259730790263022-0.702187896421903i</v>
      </c>
      <c r="E61" s="1">
        <f t="shared" si="2"/>
        <v>-3.0708737958941064</v>
      </c>
      <c r="F61" s="1">
        <f t="shared" si="3"/>
        <v>-89.788070824062018</v>
      </c>
      <c r="G61" s="1" t="str">
        <f t="shared" si="11"/>
        <v>-0.0000284207066458152+0.00176790089809054i</v>
      </c>
      <c r="H61" s="1">
        <f t="shared" si="4"/>
        <v>-55.049719440678153</v>
      </c>
      <c r="I61" s="1">
        <f t="shared" si="5"/>
        <v>90.921005406410941</v>
      </c>
      <c r="J61" s="1" t="str">
        <f t="shared" si="6"/>
        <v>0.00124132479538662+0.0000245484591881266i</v>
      </c>
      <c r="K61" s="1">
        <f t="shared" si="7"/>
        <v>-58.120593236572262</v>
      </c>
      <c r="L61" s="1">
        <f t="shared" si="8"/>
        <v>1.1329345823489303</v>
      </c>
    </row>
    <row r="62" spans="2:12">
      <c r="B62" s="1">
        <v>1000000</v>
      </c>
      <c r="C62" s="1">
        <f t="shared" si="1"/>
        <v>6283185.307179586</v>
      </c>
      <c r="D62" s="81" t="str">
        <f>IMPRODUCT(COMPLEX(1/(Calculations!$B$136*(Rcs+(Calculations!$B$135/1000))),0),IMDIV(COMPLEX(1,0),COMPLEX(1,(C62*Lm)/(Rcs+(Calculations!$B$135/1000)))))</f>
        <v>0.00210382486999845-0.631970749580236i</v>
      </c>
      <c r="E62" s="1">
        <f t="shared" si="2"/>
        <v>-3.9860123176589966</v>
      </c>
      <c r="F62" s="1">
        <f t="shared" si="3"/>
        <v>-89.809263576383032</v>
      </c>
      <c r="G62" s="1" t="str">
        <f t="shared" si="11"/>
        <v>-0.0000230220582540556+0.00159119412673749i</v>
      </c>
      <c r="H62" s="1">
        <f t="shared" si="4"/>
        <v>-55.964627622679053</v>
      </c>
      <c r="I62" s="1">
        <f t="shared" si="5"/>
        <v>90.828921324401392</v>
      </c>
      <c r="J62" s="1" t="str">
        <f t="shared" si="6"/>
        <v>0.00100553971062325+0.0000178968611885212i</v>
      </c>
      <c r="K62" s="1">
        <f t="shared" si="7"/>
        <v>-59.950639940338029</v>
      </c>
      <c r="L62" s="1">
        <f t="shared" si="8"/>
        <v>1.0196577480183648</v>
      </c>
    </row>
    <row r="69" spans="2:97">
      <c r="Q69" t="s">
        <v>398</v>
      </c>
    </row>
    <row r="74" spans="2:97" ht="31.5">
      <c r="B74" s="32" t="s">
        <v>192</v>
      </c>
      <c r="C74" s="31"/>
      <c r="D74" s="31"/>
      <c r="E74" s="31"/>
    </row>
    <row r="75" spans="2:97" ht="31.5">
      <c r="B75" s="31"/>
      <c r="C75" s="31"/>
      <c r="D75" s="31"/>
      <c r="E75" s="31"/>
    </row>
    <row r="76" spans="2:97" ht="14.25" thickBot="1">
      <c r="B76" s="227" t="s">
        <v>33</v>
      </c>
      <c r="C76" s="227"/>
      <c r="D76" s="220" t="s">
        <v>31</v>
      </c>
      <c r="E76" s="216"/>
      <c r="F76" s="216"/>
      <c r="G76" s="216"/>
      <c r="H76" s="216"/>
      <c r="I76" s="216"/>
      <c r="J76" s="216"/>
      <c r="K76" s="216"/>
      <c r="L76" s="216"/>
      <c r="M76" s="216"/>
      <c r="N76" s="216"/>
      <c r="O76" s="216"/>
      <c r="P76" s="216"/>
      <c r="Q76" s="216"/>
      <c r="R76" s="216"/>
      <c r="S76" s="216"/>
      <c r="T76" s="216"/>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row>
    <row r="77" spans="2:97" ht="14.25" thickBot="1">
      <c r="B77" s="228"/>
      <c r="C77" s="228"/>
      <c r="D77" s="217" t="s">
        <v>0</v>
      </c>
      <c r="E77" s="218"/>
      <c r="F77" s="219"/>
      <c r="G77" s="217" t="s">
        <v>386</v>
      </c>
      <c r="H77" s="218"/>
      <c r="I77" s="219"/>
      <c r="J77" s="217" t="s">
        <v>387</v>
      </c>
      <c r="K77" s="218"/>
      <c r="L77" s="219"/>
      <c r="M77" s="217" t="s">
        <v>390</v>
      </c>
      <c r="N77" s="219"/>
      <c r="O77" s="221" t="s">
        <v>444</v>
      </c>
      <c r="P77" s="222"/>
      <c r="Q77" s="223"/>
      <c r="R77" s="224" t="s">
        <v>445</v>
      </c>
      <c r="S77" s="225"/>
      <c r="T77" s="225"/>
      <c r="U77" s="216" t="s">
        <v>393</v>
      </c>
      <c r="V77" s="216"/>
      <c r="W77" s="216"/>
      <c r="X77" s="91" t="s">
        <v>387</v>
      </c>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row>
    <row r="78" spans="2:97" ht="40.5">
      <c r="B78" s="79" t="s">
        <v>35</v>
      </c>
      <c r="C78" s="96" t="s">
        <v>34</v>
      </c>
      <c r="D78" s="98" t="s">
        <v>38</v>
      </c>
      <c r="E78" s="79" t="s">
        <v>36</v>
      </c>
      <c r="F78" s="99" t="s">
        <v>37</v>
      </c>
      <c r="G78" s="98" t="s">
        <v>38</v>
      </c>
      <c r="H78" s="79" t="s">
        <v>36</v>
      </c>
      <c r="I78" s="99" t="s">
        <v>37</v>
      </c>
      <c r="J78" s="98" t="s">
        <v>38</v>
      </c>
      <c r="K78" s="79" t="s">
        <v>36</v>
      </c>
      <c r="L78" s="99" t="s">
        <v>37</v>
      </c>
      <c r="M78" s="105" t="s">
        <v>388</v>
      </c>
      <c r="N78" s="106" t="s">
        <v>389</v>
      </c>
      <c r="O78" s="98" t="s">
        <v>38</v>
      </c>
      <c r="P78" s="79" t="s">
        <v>36</v>
      </c>
      <c r="Q78" s="99" t="s">
        <v>37</v>
      </c>
      <c r="R78" s="107" t="s">
        <v>38</v>
      </c>
      <c r="S78" s="108" t="s">
        <v>36</v>
      </c>
      <c r="T78" s="109" t="s">
        <v>37</v>
      </c>
      <c r="U78" s="107" t="s">
        <v>38</v>
      </c>
      <c r="V78" s="108" t="s">
        <v>36</v>
      </c>
      <c r="W78" s="109" t="s">
        <v>37</v>
      </c>
      <c r="X78" s="107" t="s">
        <v>38</v>
      </c>
      <c r="Y78" s="108" t="s">
        <v>36</v>
      </c>
      <c r="Z78" s="109" t="s">
        <v>37</v>
      </c>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row>
    <row r="79" spans="2:97">
      <c r="B79" s="1">
        <v>1</v>
      </c>
      <c r="C79" s="24">
        <f t="shared" ref="C79:C110" si="12">2*PI()*B79</f>
        <v>6.2831853071795862</v>
      </c>
      <c r="D79" s="28" t="str">
        <f t="shared" ref="D79:D110" si="13">IMDIV(COMPLEX((V12_Nom/(I_Channel_Design*np)),((Zo_Buck_Cout*Zo_Buck_Resr*V12_Nom)/(I_Channel_Design*np))*C79),COMPLEX(1,((Zo_Buck_Cout*Zo_Buck_Resr)+((Zo_Buck_Cout*V12_Nom)/(I_Channel_Design*np)))*C79))</f>
        <v>0.0348570814474246-0.0000438202126213993i</v>
      </c>
      <c r="E79" s="1">
        <f t="shared" ref="E79:E137" si="14">20*LOG(IMABS(D79))</f>
        <v>-29.154172712343733</v>
      </c>
      <c r="F79" s="7">
        <f t="shared" ref="F79" si="15">IMARGUMENT(D79)*(180/PI())</f>
        <v>-7.2028747493299253E-2</v>
      </c>
      <c r="G79" s="6" t="str">
        <f t="shared" ref="G79:G110" si="16">IMDIV(COMPLEX(V48_Max,0),IMSUM(COMPLEX(Rcs/np,(Lm*C79)/np),D79))</f>
        <v>1604.25690032592+1.84062859959687i</v>
      </c>
      <c r="H79" s="1">
        <f>20*LOG10(IMABS(G79))</f>
        <v>64.105484036618336</v>
      </c>
      <c r="I79" s="7">
        <f>IMARGUMENT(G79)*(180/PI())</f>
        <v>6.5737728234791265E-2</v>
      </c>
      <c r="J79" s="28" t="str">
        <f t="shared" ref="J79:J110" si="17">IMDIV(IMPRODUCT(COMPLEX(V48_Max,0),D79),IMSUM(COMPLEX(Rcs/np,(Lm*C79)/np),D79))</f>
        <v>55.9197940939901-0.00613993746102137i</v>
      </c>
      <c r="K79" s="1">
        <f>20*LOG10(IMABS(J79))</f>
        <v>34.951311324274592</v>
      </c>
      <c r="L79" s="7">
        <f>IMARGUMENT(J79)*(180/PI())</f>
        <v>-6.2910192585077422E-3</v>
      </c>
      <c r="M79" s="28">
        <f t="shared" ref="M79:M110" si="18">(Ramp_C*Ramp_R*Fsw)/(V48_Max)</f>
        <v>0.17017857142857146</v>
      </c>
      <c r="N79" s="7">
        <f t="shared" ref="N79:N110" si="19">(Rcs*Acs)/np</f>
        <v>2.5000000000000001E-3</v>
      </c>
      <c r="O79" s="6" t="str">
        <f t="shared" ref="O79:O110" si="20">IMPRODUCT(COMPLEX(gm/(IL_Comp_Ccomp+IL_Comp_Chf),0),IMDIV(COMPLEX(1,C79*IL_Comp_Rcomp*IL_Comp_Ccomp),IMPRODUCT(COMPLEX(0,C79),COMPLEX(1,C79*IL_Comp_Rcomp*IL_Comp_Chf))))</f>
        <v>9.62499995402244-9947.18460847569i</v>
      </c>
      <c r="P79" s="1">
        <f t="shared" ref="P79:P137" si="21">20*LOG(IMABS(O79))</f>
        <v>79.954007626767662</v>
      </c>
      <c r="Q79" s="7">
        <f t="shared" ref="Q79" si="22">IMARGUMENT(O79)*(180/PI())</f>
        <v>-89.944560021274725</v>
      </c>
      <c r="R79" s="6" t="str">
        <f>IMDIV(IMPRODUCT(J79,O79,COMPLEX(M79,0)),IMSUM(COMPLEX(1,0),IMPRODUCT(G79,O79,COMPLEX(N79,0),COMPLEX(M79,0))))</f>
        <v>13.9428253513197-0.0195817474903955i</v>
      </c>
      <c r="S79" s="94">
        <f>20*LOG10(IMABS(R79))</f>
        <v>22.88702431420262</v>
      </c>
      <c r="T79" s="101">
        <f>IMARGUMENT(R79)*(180/PI())</f>
        <v>-8.0467962609084023E-2</v>
      </c>
      <c r="U79" s="46" t="str">
        <f>IMPRODUCT(COMPLEX(-1,0),IMDIV(COMPLEX(1,C79*Calculations!$B$171*Calculations!$B$173),IMPRODUCT(COMPLEX(0,C79*Calculations!$B$160),COMPLEX((Calculations!$B$173+Calculations!$B$175),C79*Calculations!$B$171*Calculations!$B$173*Calculations!$B$175))))</f>
        <v>-0.738856095631994+917.848594101146i</v>
      </c>
      <c r="V79" s="46">
        <f>20*LOG10(IMABS(U79))</f>
        <v>59.25542375483851</v>
      </c>
      <c r="W79" s="46">
        <f>IMARGUMENT(U79)*(180/PI())</f>
        <v>90.046122342045564</v>
      </c>
      <c r="X79" s="46" t="str">
        <f>IMPRODUCT(U79,R79)</f>
        <v>7.6713379029483+12797.4171146001i</v>
      </c>
      <c r="Y79" s="46">
        <f>20*LOG10(IMABS(X79))</f>
        <v>82.142448069041123</v>
      </c>
      <c r="Z79" s="46">
        <f>IMARGUMENT(X79)*(180/PI())</f>
        <v>89.965654379436486</v>
      </c>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spans="2:97">
      <c r="B80" s="1">
        <v>2</v>
      </c>
      <c r="C80" s="24">
        <f t="shared" si="12"/>
        <v>12.566370614359172</v>
      </c>
      <c r="D80" s="28" t="str">
        <f t="shared" si="13"/>
        <v>0.0348568972197169-0.0000876399088887715i</v>
      </c>
      <c r="E80" s="1">
        <f t="shared" si="14"/>
        <v>-29.154198028742847</v>
      </c>
      <c r="F80" s="7">
        <f t="shared" ref="F80:F133" si="23">IMARGUMENT(D80)*(180/PI())</f>
        <v>-0.14405717994788245</v>
      </c>
      <c r="G80" s="6" t="str">
        <f t="shared" si="16"/>
        <v>1604.25903163062+3.68125778769508i</v>
      </c>
      <c r="H80" s="1">
        <f t="shared" ref="H80:H137" si="24">20*LOG10(IMABS(G80))</f>
        <v>64.105512726997091</v>
      </c>
      <c r="I80" s="7">
        <f t="shared" ref="I80:I133" si="25">IMARGUMENT(G80)*(180/PI())</f>
        <v>0.13147512974721876</v>
      </c>
      <c r="J80" s="28" t="str">
        <f t="shared" si="17"/>
        <v>55.9198148044484-0.0122798910211264i</v>
      </c>
      <c r="K80" s="1">
        <f t="shared" ref="K80:K137" si="26">20*LOG10(IMABS(J80))</f>
        <v>34.951314698254279</v>
      </c>
      <c r="L80" s="7">
        <f t="shared" ref="L80:L133" si="27">IMARGUMENT(J80)*(180/PI())</f>
        <v>-1.2582050200663502E-2</v>
      </c>
      <c r="M80" s="28">
        <f t="shared" si="18"/>
        <v>0.17017857142857146</v>
      </c>
      <c r="N80" s="7">
        <f t="shared" si="19"/>
        <v>2.5000000000000001E-3</v>
      </c>
      <c r="O80" s="6" t="str">
        <f t="shared" si="20"/>
        <v>9.62499981608975-4973.59330208618i</v>
      </c>
      <c r="P80" s="1">
        <f t="shared" si="21"/>
        <v>73.933421654603336</v>
      </c>
      <c r="Q80" s="7">
        <f t="shared" ref="Q80:Q133" si="28">IMARGUMENT(O80)*(180/PI())</f>
        <v>-89.889120170197415</v>
      </c>
      <c r="R80" s="6" t="str">
        <f t="shared" ref="R80:R133" si="29">IMDIV(IMPRODUCT(J80,O80,COMPLEX(M80,0)),IMSUM(COMPLEX(1,0),IMPRODUCT(G80,O80,COMPLEX(N80,0),COMPLEX(M80,0))))</f>
        <v>13.9427299777899-0.0391631760273392i</v>
      </c>
      <c r="S80" s="94">
        <f t="shared" ref="S80:S137" si="30">20*LOG10(IMABS(R80))</f>
        <v>22.886990597877087</v>
      </c>
      <c r="T80" s="101">
        <f t="shared" ref="T80:T133" si="31">IMARGUMENT(R80)*(180/PI())</f>
        <v>-0.16093539795353415</v>
      </c>
      <c r="U80" s="46" t="str">
        <f>IMPRODUCT(COMPLEX(-1,0),IMDIV(COMPLEX(1,C80*Calculations!$B$171*Calculations!$B$173),IMPRODUCT(COMPLEX(0,C80*Calculations!$B$160),COMPLEX((Calculations!$B$173+Calculations!$B$175),C80*Calculations!$B$171*Calculations!$B$173*Calculations!$B$175))))</f>
        <v>-0.738856094313036+458.92432408555i</v>
      </c>
      <c r="V80" s="46">
        <f t="shared" ref="V80:V137" si="32">20*LOG10(IMABS(U80))</f>
        <v>53.234832795960479</v>
      </c>
      <c r="W80" s="46">
        <f t="shared" ref="W80:W134" si="33">IMARGUMENT(U80)*(180/PI())</f>
        <v>90.092244618717572</v>
      </c>
      <c r="X80" s="46" t="str">
        <f t="shared" ref="X80:X134" si="34">IMPRODUCT(U80,R80)</f>
        <v>7.67126307193893+6398.68686691585i</v>
      </c>
      <c r="Y80" s="46">
        <f t="shared" ref="Y80:Y137" si="35">20*LOG10(IMABS(X80))</f>
        <v>76.121823393837573</v>
      </c>
      <c r="Z80" s="46">
        <f t="shared" ref="Z80:Z134" si="36">IMARGUMENT(X80)*(180/PI())</f>
        <v>89.931309220764049</v>
      </c>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2:69">
      <c r="B81" s="1">
        <v>3</v>
      </c>
      <c r="C81" s="24">
        <f t="shared" si="12"/>
        <v>18.849555921538759</v>
      </c>
      <c r="D81" s="28" t="str">
        <f t="shared" si="13"/>
        <v>0.0348565901783614-0.00013145857246837i</v>
      </c>
      <c r="E81" s="1">
        <f t="shared" si="14"/>
        <v>-29.154240222406408</v>
      </c>
      <c r="F81" s="7">
        <f t="shared" si="23"/>
        <v>-0.21608498233246493</v>
      </c>
      <c r="G81" s="6" t="str">
        <f t="shared" si="16"/>
        <v>1604.26258381043+5.52188815279368i</v>
      </c>
      <c r="H81" s="1">
        <f t="shared" si="24"/>
        <v>64.105560543961047</v>
      </c>
      <c r="I81" s="7">
        <f t="shared" si="25"/>
        <v>0.19721187782232422</v>
      </c>
      <c r="J81" s="28" t="str">
        <f t="shared" si="17"/>
        <v>55.9198493218932-0.0184198767794593i</v>
      </c>
      <c r="K81" s="1">
        <f t="shared" si="26"/>
        <v>34.95132032155464</v>
      </c>
      <c r="L81" s="7">
        <f t="shared" si="27"/>
        <v>-1.8873104510140459E-2</v>
      </c>
      <c r="M81" s="28">
        <f t="shared" si="18"/>
        <v>0.17017857142857146</v>
      </c>
      <c r="N81" s="7">
        <f t="shared" si="19"/>
        <v>2.5000000000000001E-3</v>
      </c>
      <c r="O81" s="6" t="str">
        <f t="shared" si="20"/>
        <v>9.62499958620206-3315.72997677779i</v>
      </c>
      <c r="P81" s="1">
        <f t="shared" si="21"/>
        <v>70.41161970858154</v>
      </c>
      <c r="Q81" s="7">
        <f t="shared" si="28"/>
        <v>-89.833680574414458</v>
      </c>
      <c r="R81" s="6" t="str">
        <f t="shared" si="29"/>
        <v>13.9425710255145-0.0587439666758826i</v>
      </c>
      <c r="S81" s="94">
        <f t="shared" si="30"/>
        <v>22.886934404709752</v>
      </c>
      <c r="T81" s="101">
        <f t="shared" si="31"/>
        <v>-0.24140177878851343</v>
      </c>
      <c r="U81" s="46" t="str">
        <f>IMPRODUCT(COMPLEX(-1,0),IMDIV(COMPLEX(1,C81*Calculations!$B$171*Calculations!$B$173),IMPRODUCT(COMPLEX(0,C81*Calculations!$B$160),COMPLEX((Calculations!$B$173+Calculations!$B$175),C81*Calculations!$B$171*Calculations!$B$173*Calculations!$B$175))))</f>
        <v>-0.738856092114775+305.949579429229i</v>
      </c>
      <c r="V81" s="46">
        <f t="shared" si="32"/>
        <v>49.713022538808389</v>
      </c>
      <c r="W81" s="46">
        <f t="shared" si="33"/>
        <v>90.138366764643038</v>
      </c>
      <c r="X81" s="46" t="str">
        <f t="shared" si="34"/>
        <v>7.67113835654659+4265.76714475597i</v>
      </c>
      <c r="Y81" s="46">
        <f t="shared" si="35"/>
        <v>72.599956943518137</v>
      </c>
      <c r="Z81" s="46">
        <f t="shared" si="36"/>
        <v>89.896964985854524</v>
      </c>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row>
    <row r="82" spans="2:69">
      <c r="B82" s="1">
        <v>4</v>
      </c>
      <c r="C82" s="24">
        <f t="shared" si="12"/>
        <v>25.132741228718345</v>
      </c>
      <c r="D82" s="28" t="str">
        <f t="shared" si="13"/>
        <v>0.034856160330594-0.00017527568706701i</v>
      </c>
      <c r="E82" s="1">
        <f t="shared" si="14"/>
        <v>-29.154299292831936</v>
      </c>
      <c r="F82" s="7">
        <f t="shared" si="23"/>
        <v>-0.28811183963062709</v>
      </c>
      <c r="G82" s="6" t="str">
        <f t="shared" si="16"/>
        <v>1604.26755687328+7.36252028338717i</v>
      </c>
      <c r="H82" s="1">
        <f t="shared" si="24"/>
        <v>64.105627487009002</v>
      </c>
      <c r="I82" s="7">
        <f t="shared" si="25"/>
        <v>0.2629476457599666</v>
      </c>
      <c r="J82" s="28" t="str">
        <f t="shared" si="17"/>
        <v>55.9198976463465-0.0245599108352845i</v>
      </c>
      <c r="K82" s="1">
        <f t="shared" si="26"/>
        <v>34.951328194177059</v>
      </c>
      <c r="L82" s="7">
        <f t="shared" si="27"/>
        <v>-2.5164193870660965E-2</v>
      </c>
      <c r="M82" s="28">
        <f t="shared" si="18"/>
        <v>0.17017857142857146</v>
      </c>
      <c r="N82" s="7">
        <f t="shared" si="19"/>
        <v>2.5000000000000001E-3</v>
      </c>
      <c r="O82" s="6" t="str">
        <f t="shared" si="20"/>
        <v>9.62499926435925-2486.79864673964i</v>
      </c>
      <c r="P82" s="1">
        <f t="shared" si="21"/>
        <v>67.912877505333455</v>
      </c>
      <c r="Q82" s="7">
        <f t="shared" si="28"/>
        <v>-89.77824136156886</v>
      </c>
      <c r="R82" s="6" t="str">
        <f t="shared" si="29"/>
        <v>13.9423484999057-0.0783238005380857i</v>
      </c>
      <c r="S82" s="94">
        <f t="shared" si="30"/>
        <v>22.886855735764104</v>
      </c>
      <c r="T82" s="101">
        <f t="shared" si="31"/>
        <v>-0.3218665779087676</v>
      </c>
      <c r="U82" s="46" t="str">
        <f>IMPRODUCT(COMPLEX(-1,0),IMDIV(COMPLEX(1,C82*Calculations!$B$171*Calculations!$B$173),IMPRODUCT(COMPLEX(0,C82*Calculations!$B$160),COMPLEX((Calculations!$B$173+Calculations!$B$175),C82*Calculations!$B$171*Calculations!$B$173*Calculations!$B$175))))</f>
        <v>-0.738856089037202+229.462216112727i</v>
      </c>
      <c r="V82" s="46">
        <f t="shared" si="32"/>
        <v>47.214268700102224</v>
      </c>
      <c r="W82" s="46">
        <f t="shared" si="33"/>
        <v>90.184488714449984</v>
      </c>
      <c r="X82" s="46" t="str">
        <f t="shared" si="34"/>
        <v>7.67096376120632+3199.30005462126i</v>
      </c>
      <c r="Y82" s="46">
        <f t="shared" si="35"/>
        <v>70.101124435866325</v>
      </c>
      <c r="Z82" s="46">
        <f t="shared" si="36"/>
        <v>89.862622136541219</v>
      </c>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2:69">
      <c r="B83" s="1">
        <v>5</v>
      </c>
      <c r="C83" s="24">
        <f t="shared" si="12"/>
        <v>31.415926535897931</v>
      </c>
      <c r="D83" s="28" t="str">
        <f t="shared" si="13"/>
        <v>0.0348556076865441-0.000219090736452342i</v>
      </c>
      <c r="E83" s="1">
        <f t="shared" si="14"/>
        <v>-29.154375239316064</v>
      </c>
      <c r="F83" s="7">
        <f t="shared" si="23"/>
        <v>-0.36013743684824306</v>
      </c>
      <c r="G83" s="6" t="str">
        <f t="shared" si="16"/>
        <v>1604.2739508303+9.20315476796331i</v>
      </c>
      <c r="H83" s="1">
        <f t="shared" si="24"/>
        <v>64.105713555439536</v>
      </c>
      <c r="I83" s="7">
        <f t="shared" si="25"/>
        <v>0.32868210688222699</v>
      </c>
      <c r="J83" s="28" t="str">
        <f t="shared" si="17"/>
        <v>55.919959777839-0.0307000092880436i</v>
      </c>
      <c r="K83" s="1">
        <f t="shared" si="26"/>
        <v>34.951338316123483</v>
      </c>
      <c r="L83" s="7">
        <f t="shared" si="27"/>
        <v>-3.1455329966017943E-2</v>
      </c>
      <c r="M83" s="28">
        <f t="shared" si="18"/>
        <v>0.17017857142857146</v>
      </c>
      <c r="N83" s="7">
        <f t="shared" si="19"/>
        <v>2.5000000000000001E-3</v>
      </c>
      <c r="O83" s="6" t="str">
        <f t="shared" si="20"/>
        <v>9.62499885056137-1989.44011480952i</v>
      </c>
      <c r="P83" s="1">
        <f t="shared" si="21"/>
        <v>65.974719067705536</v>
      </c>
      <c r="Q83" s="7">
        <f t="shared" si="28"/>
        <v>-89.722802659298736</v>
      </c>
      <c r="R83" s="6" t="str">
        <f t="shared" si="29"/>
        <v>13.9420624085389-0.0979023587715094i</v>
      </c>
      <c r="S83" s="94">
        <f t="shared" si="30"/>
        <v>22.886754592528298</v>
      </c>
      <c r="T83" s="101">
        <f t="shared" si="31"/>
        <v>-0.40232926816841669</v>
      </c>
      <c r="U83" s="46" t="str">
        <f>IMPRODUCT(COMPLEX(-1,0),IMDIV(COMPLEX(1,C83*Calculations!$B$171*Calculations!$B$173),IMPRODUCT(COMPLEX(0,C83*Calculations!$B$160),COMPLEX((Calculations!$B$173+Calculations!$B$175),C83*Calculations!$B$171*Calculations!$B$173*Calculations!$B$175))))</f>
        <v>-0.738856085080335+183.569805332154i</v>
      </c>
      <c r="V83" s="46">
        <f t="shared" si="32"/>
        <v>45.276095302813019</v>
      </c>
      <c r="W83" s="46">
        <f t="shared" si="33"/>
        <v>90.230610402768122</v>
      </c>
      <c r="X83" s="46" t="str">
        <f t="shared" si="34"/>
        <v>7.67073929212592+2559.41401801775i</v>
      </c>
      <c r="Y83" s="46">
        <f t="shared" si="35"/>
        <v>68.16284989534131</v>
      </c>
      <c r="Z83" s="46">
        <f t="shared" si="36"/>
        <v>89.82828113459972</v>
      </c>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2:69">
      <c r="B84" s="1">
        <v>6</v>
      </c>
      <c r="C84" s="24">
        <f t="shared" si="12"/>
        <v>37.699111843077517</v>
      </c>
      <c r="D84" s="28" t="str">
        <f t="shared" si="13"/>
        <v>0.0348549322592342-0.000262903204473128i</v>
      </c>
      <c r="E84" s="1">
        <f t="shared" si="14"/>
        <v>-29.154468060954493</v>
      </c>
      <c r="F84" s="7">
        <f t="shared" si="23"/>
        <v>-0.43216145902091851</v>
      </c>
      <c r="G84" s="6" t="str">
        <f t="shared" si="16"/>
        <v>1604.2817656958+11.043792195001i</v>
      </c>
      <c r="H84" s="1">
        <f t="shared" si="24"/>
        <v>64.105818748350771</v>
      </c>
      <c r="I84" s="7">
        <f t="shared" si="25"/>
        <v>0.39441493454081955</v>
      </c>
      <c r="J84" s="28" t="str">
        <f t="shared" si="17"/>
        <v>55.9200357164096-0.0368401882374164i</v>
      </c>
      <c r="K84" s="1">
        <f t="shared" si="26"/>
        <v>34.951350687396321</v>
      </c>
      <c r="L84" s="7">
        <f t="shared" si="27"/>
        <v>-3.7746524480100796E-2</v>
      </c>
      <c r="M84" s="28">
        <f t="shared" si="18"/>
        <v>0.17017857142857146</v>
      </c>
      <c r="N84" s="7">
        <f t="shared" si="19"/>
        <v>2.5000000000000001E-3</v>
      </c>
      <c r="O84" s="6" t="str">
        <f t="shared" si="20"/>
        <v>9.62499834480844-1657.86798193336i</v>
      </c>
      <c r="P84" s="1">
        <f t="shared" si="21"/>
        <v>64.391145262630701</v>
      </c>
      <c r="Q84" s="7">
        <f t="shared" si="28"/>
        <v>-89.667364595235597</v>
      </c>
      <c r="R84" s="6" t="str">
        <f t="shared" si="29"/>
        <v>13.941712761153-0.117479322607713i</v>
      </c>
      <c r="S84" s="94">
        <f t="shared" si="30"/>
        <v>22.886630976915679</v>
      </c>
      <c r="T84" s="101">
        <f t="shared" si="31"/>
        <v>-0.48278932250075568</v>
      </c>
      <c r="U84" s="46" t="str">
        <f>IMPRODUCT(COMPLEX(-1,0),IMDIV(COMPLEX(1,C84*Calculations!$B$171*Calculations!$B$173),IMPRODUCT(COMPLEX(0,C84*Calculations!$B$160),COMPLEX((Calculations!$B$173+Calculations!$B$175),C84*Calculations!$B$171*Calculations!$B$173*Calculations!$B$175))))</f>
        <v>-0.738856080244155+152.974870819543i</v>
      </c>
      <c r="V84" s="46">
        <f t="shared" si="32"/>
        <v>43.692503214033415</v>
      </c>
      <c r="W84" s="46">
        <f t="shared" si="33"/>
        <v>90.276731764229311</v>
      </c>
      <c r="X84" s="46" t="str">
        <f t="shared" si="34"/>
        <v>7.6704649572869+2132.81850895237i</v>
      </c>
      <c r="Y84" s="46">
        <f t="shared" si="35"/>
        <v>66.579134190949119</v>
      </c>
      <c r="Z84" s="46">
        <f t="shared" si="36"/>
        <v>89.793942441728547</v>
      </c>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row>
    <row r="85" spans="2:69">
      <c r="B85" s="1">
        <v>7</v>
      </c>
      <c r="C85" s="24">
        <f t="shared" si="12"/>
        <v>43.982297150257104</v>
      </c>
      <c r="D85" s="28" t="str">
        <f t="shared" si="13"/>
        <v>0.0348541340645794-0.0003067125750795i</v>
      </c>
      <c r="E85" s="1">
        <f t="shared" si="14"/>
        <v>-29.154577756641981</v>
      </c>
      <c r="F85" s="7">
        <f t="shared" si="23"/>
        <v>-0.50418359122140499</v>
      </c>
      <c r="G85" s="6" t="str">
        <f t="shared" si="16"/>
        <v>1604.29100148726+12.8844331529675i</v>
      </c>
      <c r="H85" s="1">
        <f t="shared" si="24"/>
        <v>64.105943064640527</v>
      </c>
      <c r="I85" s="7">
        <f t="shared" si="25"/>
        <v>0.46014580212447925</v>
      </c>
      <c r="J85" s="28" t="str">
        <f t="shared" si="17"/>
        <v>55.9201254621063-0.0429804637833849i</v>
      </c>
      <c r="K85" s="1">
        <f t="shared" si="26"/>
        <v>34.951365307998579</v>
      </c>
      <c r="L85" s="7">
        <f t="shared" si="27"/>
        <v>-4.4037789096923637E-2</v>
      </c>
      <c r="M85" s="28">
        <f t="shared" si="18"/>
        <v>0.17017857142857146</v>
      </c>
      <c r="N85" s="7">
        <f t="shared" si="19"/>
        <v>2.5000000000000001E-3</v>
      </c>
      <c r="O85" s="6" t="str">
        <f t="shared" si="20"/>
        <v>9.6249977471005-1421.03093423083i</v>
      </c>
      <c r="P85" s="1">
        <f t="shared" si="21"/>
        <v>63.052269878909463</v>
      </c>
      <c r="Q85" s="7">
        <f t="shared" si="28"/>
        <v>-89.611927297002751</v>
      </c>
      <c r="R85" s="6" t="str">
        <f t="shared" si="29"/>
        <v>13.9412995696495-0.137054373370729i</v>
      </c>
      <c r="S85" s="94">
        <f t="shared" si="30"/>
        <v>22.886484891264626</v>
      </c>
      <c r="T85" s="101">
        <f t="shared" si="31"/>
        <v>-0.56324621393800101</v>
      </c>
      <c r="U85" s="46" t="str">
        <f>IMPRODUCT(COMPLEX(-1,0),IMDIV(COMPLEX(1,C85*Calculations!$B$171*Calculations!$B$173),IMPRODUCT(COMPLEX(0,C85*Calculations!$B$160),COMPLEX((Calculations!$B$173+Calculations!$B$175),C85*Calculations!$B$171*Calculations!$B$173*Calculations!$B$175))))</f>
        <v>-0.738856074528672+131.121351317197i</v>
      </c>
      <c r="V85" s="46">
        <f t="shared" si="32"/>
        <v>42.353606222759495</v>
      </c>
      <c r="W85" s="46">
        <f t="shared" si="33"/>
        <v>90.322852733468054</v>
      </c>
      <c r="X85" s="46" t="str">
        <f t="shared" si="34"/>
        <v>7.67014076644215+1828.10330214661i</v>
      </c>
      <c r="Y85" s="46">
        <f t="shared" si="35"/>
        <v>65.240091114024153</v>
      </c>
      <c r="Z85" s="46">
        <f t="shared" si="36"/>
        <v>89.759606519530067</v>
      </c>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row>
    <row r="86" spans="2:69">
      <c r="B86" s="1">
        <v>8</v>
      </c>
      <c r="C86" s="24">
        <f t="shared" si="12"/>
        <v>50.26548245743669</v>
      </c>
      <c r="D86" s="28" t="str">
        <f t="shared" si="13"/>
        <v>0.0348532131213859-0.000350518332343221i</v>
      </c>
      <c r="E86" s="1">
        <f t="shared" si="14"/>
        <v>-29.154704325072522</v>
      </c>
      <c r="F86" s="7">
        <f t="shared" si="23"/>
        <v>-0.57620351856704044</v>
      </c>
      <c r="G86" s="6" t="str">
        <f t="shared" si="16"/>
        <v>1604.30165822534+14.725078230317i</v>
      </c>
      <c r="H86" s="1">
        <f t="shared" si="24"/>
        <v>64.106086503006296</v>
      </c>
      <c r="I86" s="7">
        <f t="shared" si="25"/>
        <v>0.52587438306639178</v>
      </c>
      <c r="J86" s="28" t="str">
        <f t="shared" si="17"/>
        <v>55.9202290149856-0.0491208520262942i</v>
      </c>
      <c r="K86" s="1">
        <f t="shared" si="26"/>
        <v>34.95138217793378</v>
      </c>
      <c r="L86" s="7">
        <f t="shared" si="27"/>
        <v>-5.0329135500651011E-2</v>
      </c>
      <c r="M86" s="28">
        <f t="shared" si="18"/>
        <v>0.17017857142857146</v>
      </c>
      <c r="N86" s="7">
        <f t="shared" si="19"/>
        <v>2.5000000000000001E-3</v>
      </c>
      <c r="O86" s="6" t="str">
        <f t="shared" si="20"/>
        <v>9.62499705743756-1243.40331476176i</v>
      </c>
      <c r="P86" s="1">
        <f t="shared" si="21"/>
        <v>61.89250064086886</v>
      </c>
      <c r="Q86" s="7">
        <f t="shared" si="28"/>
        <v>-89.556490892213574</v>
      </c>
      <c r="R86" s="6" t="str">
        <f t="shared" si="29"/>
        <v>13.9408228480912-0.156627192495538i</v>
      </c>
      <c r="S86" s="94">
        <f t="shared" si="30"/>
        <v>22.886316338338254</v>
      </c>
      <c r="T86" s="101">
        <f t="shared" si="31"/>
        <v>-0.64369941563108479</v>
      </c>
      <c r="U86" s="46" t="str">
        <f>IMPRODUCT(COMPLEX(-1,0),IMDIV(COMPLEX(1,C86*Calculations!$B$171*Calculations!$B$173),IMPRODUCT(COMPLEX(0,C86*Calculations!$B$160),COMPLEX((Calculations!$B$173+Calculations!$B$175),C86*Calculations!$B$171*Calculations!$B$173*Calculations!$B$175))))</f>
        <v>-0.738856067933882+114.731216196266i</v>
      </c>
      <c r="V86" s="46">
        <f t="shared" si="32"/>
        <v>41.193812053549259</v>
      </c>
      <c r="W86" s="46">
        <f t="shared" si="33"/>
        <v>90.368973245122163</v>
      </c>
      <c r="X86" s="46" t="str">
        <f t="shared" si="34"/>
        <v>7.66976673111626+1599.56328508978i</v>
      </c>
      <c r="Y86" s="46">
        <f t="shared" si="35"/>
        <v>64.080128391887541</v>
      </c>
      <c r="Z86" s="46">
        <f t="shared" si="36"/>
        <v>89.725273829491087</v>
      </c>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2:69">
      <c r="B87" s="1">
        <v>9</v>
      </c>
      <c r="C87" s="24">
        <f t="shared" si="12"/>
        <v>56.548667764616276</v>
      </c>
      <c r="D87" s="28" t="str">
        <f t="shared" si="13"/>
        <v>0.0348521694513505-0.000394319960477927i</v>
      </c>
      <c r="E87" s="1">
        <f t="shared" si="14"/>
        <v>-29.154847764739245</v>
      </c>
      <c r="F87" s="7">
        <f t="shared" si="23"/>
        <v>-0.64822092622715766</v>
      </c>
      <c r="G87" s="6" t="str">
        <f t="shared" si="16"/>
        <v>1604.31373593388+16.5657280154873i</v>
      </c>
      <c r="H87" s="1">
        <f t="shared" si="24"/>
        <v>64.106249061945306</v>
      </c>
      <c r="I87" s="7">
        <f t="shared" si="25"/>
        <v>0.59160035085155338</v>
      </c>
      <c r="J87" s="28" t="str">
        <f t="shared" si="17"/>
        <v>55.9203463751133-0.0552613690668951i</v>
      </c>
      <c r="K87" s="1">
        <f t="shared" si="26"/>
        <v>34.95140129720609</v>
      </c>
      <c r="L87" s="7">
        <f t="shared" si="27"/>
        <v>-5.6620575375603922E-2</v>
      </c>
      <c r="M87" s="28">
        <f t="shared" si="18"/>
        <v>0.17017857142857146</v>
      </c>
      <c r="N87" s="7">
        <f t="shared" si="19"/>
        <v>2.5000000000000001E-3</v>
      </c>
      <c r="O87" s="6" t="str">
        <f t="shared" si="20"/>
        <v>9.62499627581975-1105.24864744827i</v>
      </c>
      <c r="P87" s="1">
        <f t="shared" si="21"/>
        <v>60.869529185605096</v>
      </c>
      <c r="Q87" s="7">
        <f t="shared" si="28"/>
        <v>-89.501055508469975</v>
      </c>
      <c r="R87" s="6" t="str">
        <f t="shared" si="29"/>
        <v>13.9402826127013-0.176197461546523i</v>
      </c>
      <c r="S87" s="94">
        <f t="shared" si="30"/>
        <v>22.886125321324453</v>
      </c>
      <c r="T87" s="101">
        <f t="shared" si="31"/>
        <v>-0.72414840086939103</v>
      </c>
      <c r="U87" s="46" t="str">
        <f>IMPRODUCT(COMPLEX(-1,0),IMDIV(COMPLEX(1,C87*Calculations!$B$171*Calculations!$B$173),IMPRODUCT(COMPLEX(0,C87*Calculations!$B$160),COMPLEX((Calculations!$B$173+Calculations!$B$175),C87*Calculations!$B$171*Calculations!$B$173*Calculations!$B$175))))</f>
        <v>-0.73885606045979+101.983337329612i</v>
      </c>
      <c r="V87" s="46">
        <f t="shared" si="32"/>
        <v>40.170812343765398</v>
      </c>
      <c r="W87" s="46">
        <f t="shared" si="33"/>
        <v>90.41509323383319</v>
      </c>
      <c r="X87" s="46" t="str">
        <f t="shared" si="34"/>
        <v>7.6693428646038+1421.80672872354i</v>
      </c>
      <c r="Y87" s="46">
        <f t="shared" si="35"/>
        <v>63.056937665089833</v>
      </c>
      <c r="Z87" s="46">
        <f t="shared" si="36"/>
        <v>89.690944832963808</v>
      </c>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row>
    <row r="88" spans="2:69">
      <c r="B88" s="1">
        <v>10</v>
      </c>
      <c r="C88" s="24">
        <f t="shared" si="12"/>
        <v>62.831853071795862</v>
      </c>
      <c r="D88" s="28" t="str">
        <f t="shared" si="13"/>
        <v>0.0348510030790587-0.000438116943859365i</v>
      </c>
      <c r="E88" s="1">
        <f t="shared" si="14"/>
        <v>-29.155008073934606</v>
      </c>
      <c r="F88" s="7">
        <f t="shared" si="23"/>
        <v>-0.72023549943052023</v>
      </c>
      <c r="G88" s="6" t="str">
        <f t="shared" si="16"/>
        <v>1604.32723463991+18.4063830968987i</v>
      </c>
      <c r="H88" s="1">
        <f t="shared" si="24"/>
        <v>64.1064307397547</v>
      </c>
      <c r="I88" s="7">
        <f t="shared" si="25"/>
        <v>0.6573233790242049</v>
      </c>
      <c r="J88" s="28" t="str">
        <f t="shared" si="17"/>
        <v>55.9204775425631-0.0614020310064287i</v>
      </c>
      <c r="K88" s="1">
        <f t="shared" si="26"/>
        <v>34.951422665820083</v>
      </c>
      <c r="L88" s="7">
        <f t="shared" si="27"/>
        <v>-6.2912120406310792E-2</v>
      </c>
      <c r="M88" s="28">
        <f t="shared" si="18"/>
        <v>0.17017857142857146</v>
      </c>
      <c r="N88" s="7">
        <f t="shared" si="19"/>
        <v>2.5000000000000001E-3</v>
      </c>
      <c r="O88" s="6" t="str">
        <f t="shared" si="20"/>
        <v>9.62499540224694-994.725046643612i</v>
      </c>
      <c r="P88" s="1">
        <f t="shared" si="21"/>
        <v>59.954467659734519</v>
      </c>
      <c r="Q88" s="7">
        <f t="shared" si="28"/>
        <v>-89.445621273360658</v>
      </c>
      <c r="R88" s="6" t="str">
        <f t="shared" si="29"/>
        <v>13.9396788818614-0.19576486223591i</v>
      </c>
      <c r="S88" s="94">
        <f t="shared" si="30"/>
        <v>22.885911843835324</v>
      </c>
      <c r="T88" s="101">
        <f t="shared" si="31"/>
        <v>-0.80459264310052592</v>
      </c>
      <c r="U88" s="46" t="str">
        <f>IMPRODUCT(COMPLEX(-1,0),IMDIV(COMPLEX(1,C88*Calculations!$B$171*Calculations!$B$173),IMPRODUCT(COMPLEX(0,C88*Calculations!$B$160),COMPLEX((Calculations!$B$173+Calculations!$B$175),C88*Calculations!$B$171*Calculations!$B$173*Calculations!$B$175))))</f>
        <v>-0.738856052106391+91.7850378409513i</v>
      </c>
      <c r="V88" s="46">
        <f t="shared" si="32"/>
        <v>39.255719240326329</v>
      </c>
      <c r="W88" s="46">
        <f t="shared" si="33"/>
        <v>90.461212634246991</v>
      </c>
      <c r="X88" s="46" t="str">
        <f t="shared" si="34"/>
        <v>7.66886918196867+1279.59859571561i</v>
      </c>
      <c r="Y88" s="46">
        <f t="shared" si="35"/>
        <v>62.141631084161645</v>
      </c>
      <c r="Z88" s="46">
        <f t="shared" si="36"/>
        <v>89.656619991146485</v>
      </c>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2:69">
      <c r="B89" s="1">
        <v>20</v>
      </c>
      <c r="C89" s="24">
        <f t="shared" si="12"/>
        <v>125.66370614359172</v>
      </c>
      <c r="D89" s="28" t="str">
        <f t="shared" si="13"/>
        <v>0.0348325982031363-0.000875718035248682i</v>
      </c>
      <c r="E89" s="1">
        <f t="shared" si="14"/>
        <v>-29.157538470930902</v>
      </c>
      <c r="F89" s="7">
        <f t="shared" si="23"/>
        <v>-1.4401561439923936</v>
      </c>
      <c r="G89" s="6" t="str">
        <f t="shared" si="16"/>
        <v>1604.54038477902+36.8133546392582i</v>
      </c>
      <c r="H89" s="1">
        <f t="shared" si="24"/>
        <v>64.109298538094748</v>
      </c>
      <c r="I89" s="7">
        <f t="shared" si="25"/>
        <v>1.3143202189295482</v>
      </c>
      <c r="J89" s="28" t="str">
        <f t="shared" si="17"/>
        <v>55.9225486423087-0.122820162577002i</v>
      </c>
      <c r="K89" s="1">
        <f t="shared" si="26"/>
        <v>34.951760067163818</v>
      </c>
      <c r="L89" s="7">
        <f t="shared" si="27"/>
        <v>-0.12583592506284472</v>
      </c>
      <c r="M89" s="28">
        <f t="shared" si="18"/>
        <v>0.17017857142857146</v>
      </c>
      <c r="N89" s="7">
        <f t="shared" si="19"/>
        <v>2.5000000000000001E-3</v>
      </c>
      <c r="O89" s="6" t="str">
        <f t="shared" si="20"/>
        <v>9.62498160901425-497.372501781638i</v>
      </c>
      <c r="P89" s="1">
        <f t="shared" si="21"/>
        <v>53.935261485597735</v>
      </c>
      <c r="Q89" s="7">
        <f t="shared" si="28"/>
        <v>-88.891370153960935</v>
      </c>
      <c r="R89" s="6" t="str">
        <f t="shared" si="29"/>
        <v>13.9301549074234-0.391211228450533i</v>
      </c>
      <c r="S89" s="94">
        <f t="shared" si="30"/>
        <v>22.882542840447051</v>
      </c>
      <c r="T89" s="101">
        <f t="shared" si="31"/>
        <v>-1.6086585110487535</v>
      </c>
      <c r="U89" s="46" t="str">
        <f>IMPRODUCT(COMPLEX(-1,0),IMDIV(COMPLEX(1,C89*Calculations!$B$171*Calculations!$B$173),IMPRODUCT(COMPLEX(0,C89*Calculations!$B$160),COMPLEX((Calculations!$B$173+Calculations!$B$175),C89*Calculations!$B$171*Calculations!$B$173*Calculations!$B$175))))</f>
        <v>-0.738855920210656+45.892789270164i</v>
      </c>
      <c r="V89" s="46">
        <f t="shared" si="32"/>
        <v>33.236014614655936</v>
      </c>
      <c r="W89" s="46">
        <f t="shared" si="33"/>
        <v>90.922359908295519</v>
      </c>
      <c r="X89" s="46" t="str">
        <f t="shared" si="34"/>
        <v>7.661397044601+639.582712399317i</v>
      </c>
      <c r="Y89" s="46">
        <f t="shared" si="35"/>
        <v>56.118557455102987</v>
      </c>
      <c r="Z89" s="46">
        <f t="shared" si="36"/>
        <v>89.313701397246788</v>
      </c>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2:69">
      <c r="B90" s="1">
        <v>30</v>
      </c>
      <c r="C90" s="24">
        <f t="shared" si="12"/>
        <v>188.49555921538757</v>
      </c>
      <c r="D90" s="28" t="str">
        <f t="shared" si="13"/>
        <v>0.0348019715193307-0.00131228944431561i</v>
      </c>
      <c r="E90" s="1">
        <f t="shared" si="14"/>
        <v>-29.161752455611367</v>
      </c>
      <c r="F90" s="7">
        <f t="shared" si="23"/>
        <v>-2.1594478206216579</v>
      </c>
      <c r="G90" s="6" t="str">
        <f t="shared" si="16"/>
        <v>1604.8956879965+55.2215028467823i</v>
      </c>
      <c r="H90" s="1">
        <f t="shared" si="24"/>
        <v>64.114074867439712</v>
      </c>
      <c r="I90" s="7">
        <f t="shared" si="25"/>
        <v>1.9706647199697915</v>
      </c>
      <c r="J90" s="28" t="str">
        <f t="shared" si="17"/>
        <v>55.9260006204361-0.184270501257095i</v>
      </c>
      <c r="K90" s="1">
        <f t="shared" si="26"/>
        <v>34.952322411828369</v>
      </c>
      <c r="L90" s="7">
        <f t="shared" si="27"/>
        <v>-0.18878310065187151</v>
      </c>
      <c r="M90" s="28">
        <f t="shared" si="18"/>
        <v>0.17017857142857146</v>
      </c>
      <c r="N90" s="7">
        <f t="shared" si="19"/>
        <v>2.5000000000000001E-3</v>
      </c>
      <c r="O90" s="6" t="str">
        <f t="shared" si="20"/>
        <v>9.624958620381-331.592754989648i</v>
      </c>
      <c r="P90" s="1">
        <f t="shared" si="21"/>
        <v>50.415758200691542</v>
      </c>
      <c r="Q90" s="7">
        <f t="shared" si="28"/>
        <v>-88.337374084532954</v>
      </c>
      <c r="R90" s="6" t="str">
        <f t="shared" si="29"/>
        <v>13.9143175503205-0.586022445522072i</v>
      </c>
      <c r="S90" s="94">
        <f t="shared" si="30"/>
        <v>22.876934902532149</v>
      </c>
      <c r="T90" s="101">
        <f t="shared" si="31"/>
        <v>-2.4116728021942091</v>
      </c>
      <c r="U90" s="46" t="str">
        <f>IMPRODUCT(COMPLEX(-1,0),IMDIV(COMPLEX(1,C90*Calculations!$B$171*Calculations!$B$173),IMPRODUCT(COMPLEX(0,C90*Calculations!$B$160),COMPLEX((Calculations!$B$173+Calculations!$B$175),C90*Calculations!$B$171*Calculations!$B$173*Calculations!$B$175))))</f>
        <v>-0.738855700384538+30.5954932351756i</v>
      </c>
      <c r="V90" s="46">
        <f t="shared" si="32"/>
        <v>29.715681168833356</v>
      </c>
      <c r="W90" s="46">
        <f t="shared" si="33"/>
        <v>91.383376515873877</v>
      </c>
      <c r="X90" s="46" t="str">
        <f t="shared" si="34"/>
        <v>7.64897292861669+426.148394507343i</v>
      </c>
      <c r="Y90" s="46">
        <f t="shared" si="35"/>
        <v>52.592616071365505</v>
      </c>
      <c r="Z90" s="46">
        <f t="shared" si="36"/>
        <v>88.971703713679673</v>
      </c>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row>
    <row r="91" spans="2:69">
      <c r="B91" s="1">
        <v>40</v>
      </c>
      <c r="C91" s="24">
        <f t="shared" si="12"/>
        <v>251.32741228718345</v>
      </c>
      <c r="D91" s="28" t="str">
        <f t="shared" si="13"/>
        <v>0.0347591948950497-0.00174732136981196i</v>
      </c>
      <c r="E91" s="1">
        <f t="shared" si="14"/>
        <v>-29.167645026261848</v>
      </c>
      <c r="F91" s="7">
        <f t="shared" si="23"/>
        <v>-2.8777978955045382</v>
      </c>
      <c r="G91" s="6" t="str">
        <f t="shared" si="16"/>
        <v>1605.39322379005+73.6314154873213i</v>
      </c>
      <c r="H91" s="1">
        <f t="shared" si="24"/>
        <v>64.120754739707735</v>
      </c>
      <c r="I91" s="7">
        <f t="shared" si="25"/>
        <v>2.6260325567839109</v>
      </c>
      <c r="J91" s="28" t="str">
        <f t="shared" si="17"/>
        <v>55.9308336946809-0.245769165557491i</v>
      </c>
      <c r="K91" s="1">
        <f t="shared" si="26"/>
        <v>34.953109713445869</v>
      </c>
      <c r="L91" s="7">
        <f t="shared" si="27"/>
        <v>-0.25176533872063261</v>
      </c>
      <c r="M91" s="28">
        <f t="shared" si="18"/>
        <v>0.17017857142857146</v>
      </c>
      <c r="N91" s="7">
        <f t="shared" si="19"/>
        <v>2.5000000000000001E-3</v>
      </c>
      <c r="O91" s="6" t="str">
        <f t="shared" si="20"/>
        <v>9.62492643647894-248.706207667489i</v>
      </c>
      <c r="P91" s="1">
        <f t="shared" si="21"/>
        <v>47.920232020510845</v>
      </c>
      <c r="Q91" s="7">
        <f t="shared" si="28"/>
        <v>-87.783760179323494</v>
      </c>
      <c r="R91" s="6" t="str">
        <f t="shared" si="29"/>
        <v>13.8922203805078-0.779885523401392i</v>
      </c>
      <c r="S91" s="94">
        <f t="shared" si="30"/>
        <v>22.869098585976893</v>
      </c>
      <c r="T91" s="101">
        <f t="shared" si="31"/>
        <v>-3.2131146438727876</v>
      </c>
      <c r="U91" s="46" t="str">
        <f>IMPRODUCT(COMPLEX(-1,0),IMDIV(COMPLEX(1,C91*Calculations!$B$171*Calculations!$B$173),IMPRODUCT(COMPLEX(0,C91*Calculations!$B$160),COMPLEX((Calculations!$B$173+Calculations!$B$175),C91*Calculations!$B$171*Calculations!$B$173*Calculations!$B$175))))</f>
        <v>-0.738855392628185+22.946935333976i</v>
      </c>
      <c r="V91" s="46">
        <f t="shared" si="32"/>
        <v>27.218994004146499</v>
      </c>
      <c r="W91" s="46">
        <f t="shared" si="33"/>
        <v>91.844197258452596</v>
      </c>
      <c r="X91" s="46" t="str">
        <f t="shared" si="34"/>
        <v>7.6316407296784+319.360105341454i</v>
      </c>
      <c r="Y91" s="46">
        <f t="shared" si="35"/>
        <v>50.088092590123409</v>
      </c>
      <c r="Z91" s="46">
        <f t="shared" si="36"/>
        <v>88.63108261457981</v>
      </c>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row>
    <row r="92" spans="2:69">
      <c r="B92" s="1">
        <v>50</v>
      </c>
      <c r="C92" s="24">
        <f t="shared" si="12"/>
        <v>314.15926535897933</v>
      </c>
      <c r="D92" s="28" t="str">
        <f t="shared" si="13"/>
        <v>0.0347043683546233-0.00218031001205158i</v>
      </c>
      <c r="E92" s="1">
        <f t="shared" si="14"/>
        <v>-29.175209207878389</v>
      </c>
      <c r="F92" s="7">
        <f t="shared" si="23"/>
        <v>-3.5948959428523546</v>
      </c>
      <c r="G92" s="6" t="str">
        <f t="shared" si="16"/>
        <v>1606.0331034949+92.0436796500997i</v>
      </c>
      <c r="H92" s="1">
        <f t="shared" si="24"/>
        <v>64.129331198969425</v>
      </c>
      <c r="I92" s="7">
        <f t="shared" si="25"/>
        <v>3.2801016047366134</v>
      </c>
      <c r="J92" s="28" t="str">
        <f t="shared" si="17"/>
        <v>55.937048169693-0.307332291944199i</v>
      </c>
      <c r="K92" s="1">
        <f t="shared" si="26"/>
        <v>34.954121991091029</v>
      </c>
      <c r="L92" s="7">
        <f t="shared" si="27"/>
        <v>-0.31479433811574359</v>
      </c>
      <c r="M92" s="28">
        <f t="shared" si="18"/>
        <v>0.17017857142857146</v>
      </c>
      <c r="N92" s="7">
        <f t="shared" si="19"/>
        <v>2.5000000000000001E-3</v>
      </c>
      <c r="O92" s="6" t="str">
        <f t="shared" si="20"/>
        <v>9.62488505749244-198.976940079876i</v>
      </c>
      <c r="P92" s="1">
        <f t="shared" si="21"/>
        <v>45.986204870819442</v>
      </c>
      <c r="Q92" s="7">
        <f t="shared" si="28"/>
        <v>-87.230655061172314</v>
      </c>
      <c r="R92" s="6" t="str">
        <f t="shared" si="29"/>
        <v>13.8639377405445-0.972492910313718i</v>
      </c>
      <c r="S92" s="94">
        <f t="shared" si="30"/>
        <v>22.859048578193928</v>
      </c>
      <c r="T92" s="101">
        <f t="shared" si="31"/>
        <v>-4.0124690121571192</v>
      </c>
      <c r="U92" s="46" t="str">
        <f>IMPRODUCT(COMPLEX(-1,0),IMDIV(COMPLEX(1,C92*Calculations!$B$171*Calculations!$B$173),IMPRODUCT(COMPLEX(0,C92*Calculations!$B$160),COMPLEX((Calculations!$B$173+Calculations!$B$175),C92*Calculations!$B$171*Calculations!$B$173*Calculations!$B$175))))</f>
        <v>-0.738854996941834+18.3578726861119i</v>
      </c>
      <c r="V92" s="46">
        <f t="shared" si="32"/>
        <v>25.283476283145262</v>
      </c>
      <c r="W92" s="46">
        <f t="shared" si="33"/>
        <v>92.304757098838223</v>
      </c>
      <c r="X92" s="46" t="str">
        <f t="shared" si="34"/>
        <v>7.60946135879389+255.230935215374i</v>
      </c>
      <c r="Y92" s="46">
        <f t="shared" si="35"/>
        <v>48.142524861339204</v>
      </c>
      <c r="Z92" s="46">
        <f t="shared" si="36"/>
        <v>88.292288086681111</v>
      </c>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row>
    <row r="93" spans="2:69">
      <c r="B93" s="1">
        <v>60</v>
      </c>
      <c r="C93" s="24">
        <f t="shared" si="12"/>
        <v>376.99111843077515</v>
      </c>
      <c r="D93" s="28" t="str">
        <f t="shared" si="13"/>
        <v>0.0346376194969968-0.00261075949690544i</v>
      </c>
      <c r="E93" s="1">
        <f t="shared" si="14"/>
        <v>-29.184436079293356</v>
      </c>
      <c r="F93" s="7">
        <f t="shared" si="23"/>
        <v>-4.31043446078891</v>
      </c>
      <c r="G93" s="6" t="str">
        <f t="shared" si="16"/>
        <v>1606.81547032236+110.45888151792i</v>
      </c>
      <c r="H93" s="1">
        <f t="shared" si="24"/>
        <v>64.139795348563936</v>
      </c>
      <c r="I93" s="7">
        <f t="shared" si="25"/>
        <v>3.9325526533686848</v>
      </c>
      <c r="J93" s="28" t="str">
        <f t="shared" si="17"/>
        <v>55.9446444368543-0.368976040837136i</v>
      </c>
      <c r="K93" s="1">
        <f t="shared" si="26"/>
        <v>34.955359269270581</v>
      </c>
      <c r="L93" s="7">
        <f t="shared" si="27"/>
        <v>-0.37788180742024424</v>
      </c>
      <c r="M93" s="28">
        <f t="shared" si="18"/>
        <v>0.17017857142857146</v>
      </c>
      <c r="N93" s="7">
        <f t="shared" si="19"/>
        <v>2.5000000000000001E-3</v>
      </c>
      <c r="O93" s="6" t="str">
        <f t="shared" si="20"/>
        <v>9.62483448365881-165.826312302341i</v>
      </c>
      <c r="P93" s="1">
        <f t="shared" si="21"/>
        <v>44.407674930004887</v>
      </c>
      <c r="Q93" s="7">
        <f t="shared" si="28"/>
        <v>-86.678184700166838</v>
      </c>
      <c r="R93" s="6" t="str">
        <f t="shared" si="29"/>
        <v>13.8295641031058-1.16354420169041i</v>
      </c>
      <c r="S93" s="94">
        <f t="shared" si="30"/>
        <v>22.846803608664871</v>
      </c>
      <c r="T93" s="101">
        <f t="shared" si="31"/>
        <v>-4.8092285987519334</v>
      </c>
      <c r="U93" s="46" t="str">
        <f>IMPRODUCT(COMPLEX(-1,0),IMDIV(COMPLEX(1,C93*Calculations!$B$171*Calculations!$B$173),IMPRODUCT(COMPLEX(0,C93*Calculations!$B$160),COMPLEX((Calculations!$B$173+Calculations!$B$175),C93*Calculations!$B$171*Calculations!$B$173*Calculations!$B$175))))</f>
        <v>-0.73885451332575+15.2985576647224i</v>
      </c>
      <c r="V93" s="46">
        <f t="shared" si="32"/>
        <v>23.703127768691896</v>
      </c>
      <c r="W93" s="46">
        <f t="shared" si="33"/>
        <v>92.764991214434957</v>
      </c>
      <c r="X93" s="46" t="str">
        <f t="shared" si="34"/>
        <v>7.58251221010663+212.432073794212i</v>
      </c>
      <c r="Y93" s="46">
        <f t="shared" si="35"/>
        <v>46.549931377356771</v>
      </c>
      <c r="Z93" s="46">
        <f t="shared" si="36"/>
        <v>87.955762615683014</v>
      </c>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row>
    <row r="94" spans="2:69">
      <c r="B94" s="1">
        <v>70</v>
      </c>
      <c r="C94" s="24">
        <f t="shared" si="12"/>
        <v>439.82297150257102</v>
      </c>
      <c r="D94" s="28" t="str">
        <f t="shared" si="13"/>
        <v>0.0345591027579453-0.00303818373558183i</v>
      </c>
      <c r="E94" s="1">
        <f t="shared" si="14"/>
        <v>-29.195314807671306</v>
      </c>
      <c r="F94" s="7">
        <f t="shared" si="23"/>
        <v>-5.0241095702735477</v>
      </c>
      <c r="G94" s="6" t="str">
        <f t="shared" si="16"/>
        <v>1607.74049940927+128.877606138009i</v>
      </c>
      <c r="H94" s="1">
        <f t="shared" si="24"/>
        <v>64.152136385581088</v>
      </c>
      <c r="I94" s="7">
        <f t="shared" si="25"/>
        <v>4.5830701028800256</v>
      </c>
      <c r="J94" s="28" t="str">
        <f t="shared" si="17"/>
        <v>55.9536229740447-0.430716602620004i</v>
      </c>
      <c r="K94" s="1">
        <f t="shared" si="26"/>
        <v>34.956821577909821</v>
      </c>
      <c r="L94" s="7">
        <f t="shared" si="27"/>
        <v>-0.44103946739352723</v>
      </c>
      <c r="M94" s="28">
        <f t="shared" si="18"/>
        <v>0.17017857142857146</v>
      </c>
      <c r="N94" s="7">
        <f t="shared" si="19"/>
        <v>2.5000000000000001E-3</v>
      </c>
      <c r="O94" s="6" t="str">
        <f t="shared" si="20"/>
        <v>9.62477471526788-142.149192927789i</v>
      </c>
      <c r="P94" s="1">
        <f t="shared" si="21"/>
        <v>43.074752712589813</v>
      </c>
      <c r="Q94" s="7">
        <f t="shared" si="28"/>
        <v>-86.126474254383979</v>
      </c>
      <c r="R94" s="6" t="str">
        <f t="shared" si="29"/>
        <v>13.7892132629676-1.35274776291452i</v>
      </c>
      <c r="S94" s="94">
        <f t="shared" si="30"/>
        <v>22.832386335854022</v>
      </c>
      <c r="T94" s="101">
        <f t="shared" si="31"/>
        <v>-5.6028956087840172</v>
      </c>
      <c r="U94" s="46" t="str">
        <f>IMPRODUCT(COMPLEX(-1,0),IMDIV(COMPLEX(1,C94*Calculations!$B$171*Calculations!$B$173),IMPRODUCT(COMPLEX(0,C94*Calculations!$B$160),COMPLEX((Calculations!$B$173+Calculations!$B$175),C94*Calculations!$B$171*Calculations!$B$173*Calculations!$B$175))))</f>
        <v>-0.738853941780288+13.1133841439733i</v>
      </c>
      <c r="V94" s="46">
        <f t="shared" si="32"/>
        <v>22.368060903253443</v>
      </c>
      <c r="W94" s="46">
        <f t="shared" si="33"/>
        <v>93.224835050066034</v>
      </c>
      <c r="X94" s="46" t="str">
        <f t="shared" si="34"/>
        <v>7.55088649160598+181.82273357733i</v>
      </c>
      <c r="Y94" s="46">
        <f t="shared" si="35"/>
        <v>45.20044723910749</v>
      </c>
      <c r="Z94" s="46">
        <f t="shared" si="36"/>
        <v>87.621939441282038</v>
      </c>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row>
    <row r="95" spans="2:69">
      <c r="B95" s="1">
        <v>80</v>
      </c>
      <c r="C95" s="24">
        <f t="shared" si="12"/>
        <v>502.6548245743669</v>
      </c>
      <c r="D95" s="28" t="str">
        <f t="shared" si="13"/>
        <v>0.03446899852472-0.00346210820582641i</v>
      </c>
      <c r="E95" s="1">
        <f t="shared" si="14"/>
        <v>-29.207832690096186</v>
      </c>
      <c r="F95" s="7">
        <f t="shared" si="23"/>
        <v>-5.7356216931657418</v>
      </c>
      <c r="G95" s="6" t="str">
        <f t="shared" si="16"/>
        <v>1608.80839787859+147.30043719116i</v>
      </c>
      <c r="H95" s="1">
        <f t="shared" si="24"/>
        <v>64.166341642432371</v>
      </c>
      <c r="I95" s="7">
        <f t="shared" si="25"/>
        <v>5.2313426397498173</v>
      </c>
      <c r="J95" s="28" t="str">
        <f t="shared" si="17"/>
        <v>55.9639843453557-0.492570203665219i</v>
      </c>
      <c r="K95" s="1">
        <f t="shared" si="26"/>
        <v>34.958508952336203</v>
      </c>
      <c r="L95" s="7">
        <f t="shared" si="27"/>
        <v>-0.50427905341594137</v>
      </c>
      <c r="M95" s="28">
        <f t="shared" si="18"/>
        <v>0.17017857142857146</v>
      </c>
      <c r="N95" s="7">
        <f t="shared" si="19"/>
        <v>2.5000000000000001E-3</v>
      </c>
      <c r="O95" s="6" t="str">
        <f t="shared" si="20"/>
        <v>9.62470575266231-124.393016243142i</v>
      </c>
      <c r="P95" s="1">
        <f t="shared" si="21"/>
        <v>41.921842089842094</v>
      </c>
      <c r="Q95" s="7">
        <f t="shared" si="28"/>
        <v>-85.575647913217338</v>
      </c>
      <c r="R95" s="6" t="str">
        <f t="shared" si="29"/>
        <v>13.7430173763385-1.53982224773769i</v>
      </c>
      <c r="S95" s="94">
        <f t="shared" si="30"/>
        <v>22.815823211880677</v>
      </c>
      <c r="T95" s="101">
        <f t="shared" si="31"/>
        <v>-6.3929834743662859</v>
      </c>
      <c r="U95" s="46" t="str">
        <f>IMPRODUCT(COMPLEX(-1,0),IMDIV(COMPLEX(1,C95*Calculations!$B$171*Calculations!$B$173),IMPRODUCT(COMPLEX(0,C95*Calculations!$B$160),COMPLEX((Calculations!$B$173+Calculations!$B$175),C95*Calculations!$B$171*Calculations!$B$173*Calculations!$B$175))))</f>
        <v>-0.738853282305851+11.4745490609153i</v>
      </c>
      <c r="V95" s="46">
        <f t="shared" si="32"/>
        <v>21.212681824398281</v>
      </c>
      <c r="W95" s="46">
        <f t="shared" si="33"/>
        <v>93.684224370247676</v>
      </c>
      <c r="X95" s="46" t="str">
        <f t="shared" si="34"/>
        <v>7.51469242946095+158.832629851716i</v>
      </c>
      <c r="Y95" s="46">
        <f t="shared" si="35"/>
        <v>44.028505036278951</v>
      </c>
      <c r="Z95" s="46">
        <f t="shared" si="36"/>
        <v>87.291240895881401</v>
      </c>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row>
    <row r="96" spans="2:69">
      <c r="B96" s="1">
        <v>90</v>
      </c>
      <c r="C96" s="24">
        <f t="shared" si="12"/>
        <v>565.48667764616278</v>
      </c>
      <c r="D96" s="28" t="str">
        <f t="shared" si="13"/>
        <v>0.0343675121125119-0.00388207164124946i</v>
      </c>
      <c r="E96" s="1">
        <f t="shared" si="14"/>
        <v>-29.221975201917605</v>
      </c>
      <c r="F96" s="7">
        <f t="shared" si="23"/>
        <v>-6.4446762057589249</v>
      </c>
      <c r="G96" s="6" t="str">
        <f t="shared" si="16"/>
        <v>1610.01940491092+165.727956758823i</v>
      </c>
      <c r="H96" s="1">
        <f t="shared" si="24"/>
        <v>64.182396635177511</v>
      </c>
      <c r="I96" s="7">
        <f t="shared" si="25"/>
        <v>5.8770638878215538</v>
      </c>
      <c r="J96" s="28" t="str">
        <f t="shared" si="17"/>
        <v>55.9757292007509-0.554553112375297i</v>
      </c>
      <c r="K96" s="1">
        <f t="shared" si="26"/>
        <v>34.96042143325991</v>
      </c>
      <c r="L96" s="7">
        <f t="shared" si="27"/>
        <v>-0.5676123179373499</v>
      </c>
      <c r="M96" s="28">
        <f t="shared" si="18"/>
        <v>0.17017857142857146</v>
      </c>
      <c r="N96" s="7">
        <f t="shared" si="19"/>
        <v>2.5000000000000001E-3</v>
      </c>
      <c r="O96" s="6" t="str">
        <f t="shared" si="20"/>
        <v>9.62462759623731-110.584134621551i</v>
      </c>
      <c r="P96" s="1">
        <f t="shared" si="21"/>
        <v>40.906630275158527</v>
      </c>
      <c r="Q96" s="7">
        <f t="shared" si="28"/>
        <v>-85.025828743772792</v>
      </c>
      <c r="R96" s="6" t="str">
        <f t="shared" si="29"/>
        <v>13.6911258625887-1.72449799633483i</v>
      </c>
      <c r="S96" s="94">
        <f t="shared" si="30"/>
        <v>22.797144326589699</v>
      </c>
      <c r="T96" s="101">
        <f t="shared" si="31"/>
        <v>-7.1790184701637232</v>
      </c>
      <c r="U96" s="46" t="str">
        <f>IMPRODUCT(COMPLEX(-1,0),IMDIV(COMPLEX(1,C96*Calculations!$B$171*Calculations!$B$173),IMPRODUCT(COMPLEX(0,C96*Calculations!$B$160),COMPLEX((Calculations!$B$173+Calculations!$B$175),C96*Calculations!$B$171*Calculations!$B$173*Calculations!$B$175))))</f>
        <v>-0.738852534902914+10.1999396027703i</v>
      </c>
      <c r="V96" s="46">
        <f t="shared" si="32"/>
        <v>20.194680344198307</v>
      </c>
      <c r="W96" s="46">
        <f t="shared" si="33"/>
        <v>94.143095310810608</v>
      </c>
      <c r="X96" s="46" t="str">
        <f t="shared" si="34"/>
        <v>7.47405235846516+140.922806608358i</v>
      </c>
      <c r="Y96" s="46">
        <f t="shared" si="35"/>
        <v>42.991824670787999</v>
      </c>
      <c r="Z96" s="46">
        <f t="shared" si="36"/>
        <v>86.964076840646882</v>
      </c>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row>
    <row r="97" spans="2:69">
      <c r="B97" s="1">
        <v>100</v>
      </c>
      <c r="C97" s="24">
        <f t="shared" si="12"/>
        <v>628.31853071795865</v>
      </c>
      <c r="D97" s="28" t="str">
        <f t="shared" si="13"/>
        <v>0.034254872613434-0.00429762761672502i</v>
      </c>
      <c r="E97" s="1">
        <f t="shared" si="14"/>
        <v>-29.237726051474858</v>
      </c>
      <c r="F97" s="7">
        <f t="shared" si="23"/>
        <v>-7.1509840643707863</v>
      </c>
      <c r="G97" s="6" t="str">
        <f t="shared" si="16"/>
        <v>1611.37379182713+184.160745087805i</v>
      </c>
      <c r="H97" s="1">
        <f t="shared" si="24"/>
        <v>64.20028511822602</v>
      </c>
      <c r="I97" s="7">
        <f t="shared" si="25"/>
        <v>6.5199330314385273</v>
      </c>
      <c r="J97" s="28" t="str">
        <f t="shared" si="17"/>
        <v>55.9888582756702-0.616681645245338i</v>
      </c>
      <c r="K97" s="1">
        <f t="shared" si="26"/>
        <v>34.962559066751112</v>
      </c>
      <c r="L97" s="7">
        <f t="shared" si="27"/>
        <v>-0.63105103293226372</v>
      </c>
      <c r="M97" s="28">
        <f t="shared" si="18"/>
        <v>0.17017857142857146</v>
      </c>
      <c r="N97" s="7">
        <f t="shared" si="19"/>
        <v>2.5000000000000001E-3</v>
      </c>
      <c r="O97" s="6" t="str">
        <f t="shared" si="20"/>
        <v>9.62454024644087-99.5383594792856i</v>
      </c>
      <c r="P97" s="1">
        <f t="shared" si="21"/>
        <v>40.000224430111899</v>
      </c>
      <c r="Q97" s="7">
        <f t="shared" si="28"/>
        <v>-84.477138540797782</v>
      </c>
      <c r="R97" s="6" t="str">
        <f t="shared" si="29"/>
        <v>13.63370418522-1.90651829934603i</v>
      </c>
      <c r="S97" s="94">
        <f t="shared" si="30"/>
        <v>22.776383232874306</v>
      </c>
      <c r="T97" s="101">
        <f t="shared" si="31"/>
        <v>-7.9605412187396531</v>
      </c>
      <c r="U97" s="46" t="str">
        <f>IMPRODUCT(COMPLEX(-1,0),IMDIV(COMPLEX(1,C97*Calculations!$B$171*Calculations!$B$173),IMPRODUCT(COMPLEX(0,C97*Calculations!$B$160),COMPLEX((Calculations!$B$173+Calculations!$B$175),C97*Calculations!$B$171*Calculations!$B$173*Calculations!$B$175))))</f>
        <v>-0.73885169957201+9.18028808184554i</v>
      </c>
      <c r="V97" s="46">
        <f t="shared" si="32"/>
        <v>19.285166548454747</v>
      </c>
      <c r="W97" s="46">
        <f t="shared" si="33"/>
        <v>94.601384429767123</v>
      </c>
      <c r="X97" s="46" t="str">
        <f t="shared" si="34"/>
        <v>7.42910171259496+126.56996632872i</v>
      </c>
      <c r="Y97" s="46">
        <f t="shared" si="35"/>
        <v>42.06154978132907</v>
      </c>
      <c r="Z97" s="46">
        <f t="shared" si="36"/>
        <v>86.640843211027487</v>
      </c>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row>
    <row r="98" spans="2:69">
      <c r="B98" s="1">
        <v>200</v>
      </c>
      <c r="C98" s="24">
        <f t="shared" si="12"/>
        <v>1256.6370614359173</v>
      </c>
      <c r="D98" s="28" t="str">
        <f t="shared" si="13"/>
        <v>0.0325796615445965-0.00812572652195066i</v>
      </c>
      <c r="E98" s="1">
        <f t="shared" si="14"/>
        <v>-29.478981722362715</v>
      </c>
      <c r="F98" s="7">
        <f t="shared" si="23"/>
        <v>-14.004477906116183</v>
      </c>
      <c r="G98" s="6" t="str">
        <f t="shared" si="16"/>
        <v>1632.88644644083+368.90426562647i</v>
      </c>
      <c r="H98" s="1">
        <f t="shared" si="24"/>
        <v>64.475314422183729</v>
      </c>
      <c r="I98" s="7">
        <f t="shared" si="25"/>
        <v>12.730631200713983</v>
      </c>
      <c r="J98" s="28" t="str">
        <f t="shared" si="17"/>
        <v>56.1965029410627-1.24961258870971i</v>
      </c>
      <c r="K98" s="1">
        <f t="shared" si="26"/>
        <v>34.996332699820989</v>
      </c>
      <c r="L98" s="7">
        <f t="shared" si="27"/>
        <v>-1.273846705402214</v>
      </c>
      <c r="M98" s="28">
        <f t="shared" si="18"/>
        <v>0.17017857142857146</v>
      </c>
      <c r="N98" s="7">
        <f t="shared" si="19"/>
        <v>2.5000000000000001E-3</v>
      </c>
      <c r="O98" s="6" t="str">
        <f t="shared" si="20"/>
        <v>9.62316124925619-49.8689407480311i</v>
      </c>
      <c r="P98" s="1">
        <f t="shared" si="21"/>
        <v>34.115383074692843</v>
      </c>
      <c r="Q98" s="7">
        <f t="shared" si="28"/>
        <v>-79.077936783256888</v>
      </c>
      <c r="R98" s="6" t="str">
        <f t="shared" si="29"/>
        <v>12.8003732105426-3.53522351576538i</v>
      </c>
      <c r="S98" s="94">
        <f t="shared" si="30"/>
        <v>22.463689615692882</v>
      </c>
      <c r="T98" s="101">
        <f t="shared" si="31"/>
        <v>-15.439156216598199</v>
      </c>
      <c r="U98" s="46" t="str">
        <f>IMPRODUCT(COMPLEX(-1,0),IMDIV(COMPLEX(1,C98*Calculations!$B$171*Calculations!$B$173),IMPRODUCT(COMPLEX(0,C98*Calculations!$B$160),COMPLEX((Calculations!$B$173+Calculations!$B$175),C98*Calculations!$B$171*Calculations!$B$173*Calculations!$B$175))))</f>
        <v>-0.738838510387022+4.59284745817746i</v>
      </c>
      <c r="V98" s="46">
        <f t="shared" si="32"/>
        <v>13.352598677831686</v>
      </c>
      <c r="W98" s="46">
        <f t="shared" si="33"/>
        <v>99.138717018362954</v>
      </c>
      <c r="X98" s="46" t="str">
        <f t="shared" si="34"/>
        <v>6.77933366319697+61.4021208400367i</v>
      </c>
      <c r="Y98" s="46">
        <f t="shared" si="35"/>
        <v>35.816288293524565</v>
      </c>
      <c r="Z98" s="46">
        <f t="shared" si="36"/>
        <v>83.699560801764761</v>
      </c>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row>
    <row r="99" spans="2:69">
      <c r="B99" s="1">
        <v>300</v>
      </c>
      <c r="C99" s="24">
        <f t="shared" si="12"/>
        <v>1884.9555921538758</v>
      </c>
      <c r="D99" s="28" t="str">
        <f t="shared" si="13"/>
        <v>0.0301604191969737-0.0111714907169505i</v>
      </c>
      <c r="E99" s="1">
        <f t="shared" si="14"/>
        <v>-29.852891983690895</v>
      </c>
      <c r="F99" s="7">
        <f t="shared" si="23"/>
        <v>-20.324749036820467</v>
      </c>
      <c r="G99" s="6" t="str">
        <f t="shared" si="16"/>
        <v>1669.27922578733+554.789622040465i</v>
      </c>
      <c r="H99" s="1">
        <f t="shared" si="24"/>
        <v>64.905602640731829</v>
      </c>
      <c r="I99" s="7">
        <f t="shared" si="25"/>
        <v>18.384371497401304</v>
      </c>
      <c r="J99" s="28" t="str">
        <f t="shared" si="17"/>
        <v>56.5439883190312-1.91564980801042i</v>
      </c>
      <c r="K99" s="1">
        <f t="shared" si="26"/>
        <v>35.052710657040947</v>
      </c>
      <c r="L99" s="7">
        <f t="shared" si="27"/>
        <v>-1.9403775394191312</v>
      </c>
      <c r="M99" s="28">
        <f t="shared" si="18"/>
        <v>0.17017857142857146</v>
      </c>
      <c r="N99" s="7">
        <f t="shared" si="19"/>
        <v>2.5000000000000001E-3</v>
      </c>
      <c r="O99" s="6" t="str">
        <f t="shared" si="20"/>
        <v>9.62086379854637-33.3567637220141i</v>
      </c>
      <c r="P99" s="1">
        <f t="shared" si="21"/>
        <v>30.81071629232617</v>
      </c>
      <c r="Q99" s="7">
        <f t="shared" si="28"/>
        <v>-73.911212729748613</v>
      </c>
      <c r="R99" s="6" t="str">
        <f t="shared" si="29"/>
        <v>11.6598937942226-4.73540295850882i</v>
      </c>
      <c r="S99" s="94">
        <f t="shared" si="30"/>
        <v>21.996925632463483</v>
      </c>
      <c r="T99" s="101">
        <f t="shared" si="31"/>
        <v>-22.103421269464878</v>
      </c>
      <c r="U99" s="46" t="str">
        <f>IMPRODUCT(COMPLEX(-1,0),IMDIV(COMPLEX(1,C99*Calculations!$B$171*Calculations!$B$173),IMPRODUCT(COMPLEX(0,C99*Calculations!$B$160),COMPLEX((Calculations!$B$173+Calculations!$B$175),C99*Calculations!$B$171*Calculations!$B$173*Calculations!$B$175))))</f>
        <v>-0.73881652945841+3.06490195941743i</v>
      </c>
      <c r="V99" s="46">
        <f t="shared" si="32"/>
        <v>9.9736339698581737</v>
      </c>
      <c r="W99" s="46">
        <f t="shared" si="33"/>
        <v>103.55299089266582</v>
      </c>
      <c r="X99" s="46" t="str">
        <f t="shared" si="34"/>
        <v>5.89902353926358+39.2350253159046i</v>
      </c>
      <c r="Y99" s="46">
        <f t="shared" si="35"/>
        <v>31.970559602321668</v>
      </c>
      <c r="Z99" s="46">
        <f t="shared" si="36"/>
        <v>81.449569623200958</v>
      </c>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row>
    <row r="100" spans="2:69">
      <c r="B100" s="1">
        <v>400</v>
      </c>
      <c r="C100" s="24">
        <f t="shared" si="12"/>
        <v>2513.2741228718346</v>
      </c>
      <c r="D100" s="28" t="str">
        <f t="shared" si="13"/>
        <v>0.027380835604652-0.0133371957418816i</v>
      </c>
      <c r="E100" s="1">
        <f t="shared" si="14"/>
        <v>-30.326434978127082</v>
      </c>
      <c r="F100" s="7">
        <f t="shared" si="23"/>
        <v>-25.970697459707306</v>
      </c>
      <c r="G100" s="6" t="str">
        <f t="shared" si="16"/>
        <v>1721.37911018506+742.324874387081i</v>
      </c>
      <c r="H100" s="1">
        <f t="shared" si="24"/>
        <v>65.458255178943546</v>
      </c>
      <c r="I100" s="7">
        <f t="shared" si="25"/>
        <v>23.327563495370445</v>
      </c>
      <c r="J100" s="28" t="str">
        <f t="shared" si="17"/>
        <v>57.0333305830274-2.63289478768755i</v>
      </c>
      <c r="K100" s="1">
        <f t="shared" si="26"/>
        <v>35.131820200816463</v>
      </c>
      <c r="L100" s="7">
        <f t="shared" si="27"/>
        <v>-2.6431339643369056</v>
      </c>
      <c r="M100" s="28">
        <f t="shared" si="18"/>
        <v>0.17017857142857146</v>
      </c>
      <c r="N100" s="7">
        <f t="shared" si="19"/>
        <v>2.5000000000000001E-3</v>
      </c>
      <c r="O100" s="6" t="str">
        <f t="shared" si="20"/>
        <v>9.61764920988844-25.1338495358115i</v>
      </c>
      <c r="P100" s="1">
        <f t="shared" si="21"/>
        <v>28.598642587512934</v>
      </c>
      <c r="Q100" s="7">
        <f t="shared" si="28"/>
        <v>-69.060289115700655</v>
      </c>
      <c r="R100" s="6" t="str">
        <f t="shared" si="29"/>
        <v>10.4295203985777-5.50385607204032i</v>
      </c>
      <c r="S100" s="94">
        <f t="shared" si="30"/>
        <v>21.432251084682036</v>
      </c>
      <c r="T100" s="101">
        <f t="shared" si="31"/>
        <v>-27.821462291425256</v>
      </c>
      <c r="U100" s="46" t="str">
        <f>IMPRODUCT(COMPLEX(-1,0),IMDIV(COMPLEX(1,C100*Calculations!$B$171*Calculations!$B$173),IMPRODUCT(COMPLEX(0,C100*Calculations!$B$160),COMPLEX((Calculations!$B$173+Calculations!$B$175),C100*Calculations!$B$171*Calculations!$B$173*Calculations!$B$175))))</f>
        <v>-0.738785758355518+2.30183008104763i</v>
      </c>
      <c r="V100" s="46">
        <f t="shared" si="32"/>
        <v>7.6672701086115751</v>
      </c>
      <c r="W100" s="46">
        <f t="shared" si="33"/>
        <v>107.7943352482004</v>
      </c>
      <c r="X100" s="46" t="str">
        <f t="shared" si="34"/>
        <v>4.96376033143149+28.073154266408i</v>
      </c>
      <c r="Y100" s="46">
        <f t="shared" si="35"/>
        <v>29.099521193293626</v>
      </c>
      <c r="Z100" s="46">
        <f t="shared" si="36"/>
        <v>79.972872956775177</v>
      </c>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row>
    <row r="101" spans="2:69">
      <c r="B101" s="94">
        <v>500</v>
      </c>
      <c r="C101" s="97">
        <f t="shared" si="12"/>
        <v>3141.5926535897929</v>
      </c>
      <c r="D101" s="100" t="str">
        <f t="shared" si="13"/>
        <v>0.0245602624349123-0.0146951167290545i</v>
      </c>
      <c r="E101" s="94">
        <f t="shared" si="14"/>
        <v>-30.866350022173528</v>
      </c>
      <c r="F101" s="101">
        <f t="shared" si="23"/>
        <v>-30.89330573908487</v>
      </c>
      <c r="G101" s="6" t="str">
        <f t="shared" si="16"/>
        <v>1790.38311286201+931.932206460837i</v>
      </c>
      <c r="H101" s="94">
        <f t="shared" si="24"/>
        <v>66.1001775499861</v>
      </c>
      <c r="I101" s="101">
        <f t="shared" si="25"/>
        <v>27.497929008238867</v>
      </c>
      <c r="J101" s="28" t="str">
        <f t="shared" si="17"/>
        <v>57.6671316684336-3.42138927101018i</v>
      </c>
      <c r="K101" s="94">
        <f t="shared" si="26"/>
        <v>35.233827527812586</v>
      </c>
      <c r="L101" s="101">
        <f t="shared" si="27"/>
        <v>-3.3953767308460141</v>
      </c>
      <c r="M101" s="100">
        <f t="shared" si="18"/>
        <v>0.17017857142857146</v>
      </c>
      <c r="N101" s="101">
        <f t="shared" si="19"/>
        <v>2.5000000000000001E-3</v>
      </c>
      <c r="O101" s="104" t="str">
        <f t="shared" si="20"/>
        <v>9.61351932245362-20.2265872649511i</v>
      </c>
      <c r="P101" s="94">
        <f t="shared" si="21"/>
        <v>27.003008876178786</v>
      </c>
      <c r="Q101" s="101">
        <f t="shared" si="28"/>
        <v>-64.578669447843282</v>
      </c>
      <c r="R101" s="104" t="str">
        <f t="shared" si="29"/>
        <v>9.25450501191693-5.9225066047716i</v>
      </c>
      <c r="S101" s="94">
        <f t="shared" si="30"/>
        <v>20.817862329083216</v>
      </c>
      <c r="T101" s="101">
        <f t="shared" si="31"/>
        <v>-32.617588958177834</v>
      </c>
      <c r="U101" s="46" t="str">
        <f>IMPRODUCT(COMPLEX(-1,0),IMDIV(COMPLEX(1,C101*Calculations!$B$171*Calculations!$B$173),IMPRODUCT(COMPLEX(0,C101*Calculations!$B$160),COMPLEX((Calculations!$B$173+Calculations!$B$175),C101*Calculations!$B$171*Calculations!$B$173*Calculations!$B$175))))</f>
        <v>-0.738746199275061+1.84470747072893i</v>
      </c>
      <c r="V101" s="46">
        <f t="shared" si="32"/>
        <v>5.9645321581738129</v>
      </c>
      <c r="W101" s="46">
        <f t="shared" si="33"/>
        <v>111.82451863782913</v>
      </c>
      <c r="X101" s="46" t="str">
        <f t="shared" si="34"/>
        <v>4.08856177553796+21.447083777838i</v>
      </c>
      <c r="Y101" s="46">
        <f t="shared" si="35"/>
        <v>26.782394487257051</v>
      </c>
      <c r="Z101" s="46">
        <f t="shared" si="36"/>
        <v>79.206929679651353</v>
      </c>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row>
    <row r="102" spans="2:69">
      <c r="B102" s="94">
        <v>600</v>
      </c>
      <c r="C102" s="97">
        <f t="shared" si="12"/>
        <v>3769.9111843077517</v>
      </c>
      <c r="D102" s="100" t="str">
        <f t="shared" si="13"/>
        <v>0.0219061374404031-0.015402442985444i</v>
      </c>
      <c r="E102" s="94">
        <f t="shared" si="14"/>
        <v>-31.444117337255221</v>
      </c>
      <c r="F102" s="101">
        <f t="shared" si="23"/>
        <v>-35.111468781353139</v>
      </c>
      <c r="G102" s="6" t="str">
        <f t="shared" si="16"/>
        <v>1877.89814689043+1123.90048890703i</v>
      </c>
      <c r="H102" s="94">
        <f t="shared" si="24"/>
        <v>66.803041196849961</v>
      </c>
      <c r="I102" s="101">
        <f t="shared" si="25"/>
        <v>30.900036690430721</v>
      </c>
      <c r="J102" s="28" t="str">
        <f t="shared" si="17"/>
        <v>58.4483081065631-4.30390056061734i</v>
      </c>
      <c r="K102" s="94">
        <f t="shared" si="26"/>
        <v>35.358923859594725</v>
      </c>
      <c r="L102" s="101">
        <f t="shared" si="27"/>
        <v>-4.2114320909226066</v>
      </c>
      <c r="M102" s="100">
        <f t="shared" si="18"/>
        <v>0.17017857142857146</v>
      </c>
      <c r="N102" s="101">
        <f t="shared" si="19"/>
        <v>2.5000000000000001E-3</v>
      </c>
      <c r="O102" s="104" t="str">
        <f t="shared" si="20"/>
        <v>9.60847649637969-16.9770940384923i</v>
      </c>
      <c r="P102" s="94">
        <f t="shared" si="21"/>
        <v>25.804054980621977</v>
      </c>
      <c r="Q102" s="101">
        <f t="shared" si="28"/>
        <v>-60.491567089833318</v>
      </c>
      <c r="R102" s="104" t="str">
        <f t="shared" si="29"/>
        <v>8.20405672787215-6.09235372207566i</v>
      </c>
      <c r="S102" s="94">
        <f t="shared" si="30"/>
        <v>20.187974996897417</v>
      </c>
      <c r="T102" s="101">
        <f t="shared" si="31"/>
        <v>-36.597675016593449</v>
      </c>
      <c r="U102" s="46" t="str">
        <f>IMPRODUCT(COMPLEX(-1,0),IMDIV(COMPLEX(1,C102*Calculations!$B$171*Calculations!$B$173),IMPRODUCT(COMPLEX(0,C102*Calculations!$B$160),COMPLEX((Calculations!$B$173+Calculations!$B$175),C102*Calculations!$B$171*Calculations!$B$173*Calculations!$B$175))))</f>
        <v>-0.738697855040678+1.54055930151202i</v>
      </c>
      <c r="V102" s="46">
        <f t="shared" si="32"/>
        <v>4.6523372043183429</v>
      </c>
      <c r="W102" s="46">
        <f t="shared" si="33"/>
        <v>115.61770790772587</v>
      </c>
      <c r="X102" s="46" t="str">
        <f t="shared" si="34"/>
        <v>3.32531308713383+17.1392445289021i</v>
      </c>
      <c r="Y102" s="46">
        <f t="shared" si="35"/>
        <v>24.840312201215767</v>
      </c>
      <c r="Z102" s="46">
        <f t="shared" si="36"/>
        <v>79.020032891132473</v>
      </c>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row>
    <row r="103" spans="2:69">
      <c r="B103" s="94">
        <v>700</v>
      </c>
      <c r="C103" s="97">
        <f t="shared" si="12"/>
        <v>4398.22971502571</v>
      </c>
      <c r="D103" s="100" t="str">
        <f t="shared" si="13"/>
        <v>0.019522865417036-0.0156315718726657i</v>
      </c>
      <c r="E103" s="94">
        <f t="shared" si="14"/>
        <v>-32.037808003044731</v>
      </c>
      <c r="F103" s="101">
        <f t="shared" si="23"/>
        <v>-38.683564298086452</v>
      </c>
      <c r="G103" s="6" t="str">
        <f t="shared" si="16"/>
        <v>1985.9926467554+1318.318760329i</v>
      </c>
      <c r="H103" s="94">
        <f t="shared" si="24"/>
        <v>67.545112532649682</v>
      </c>
      <c r="I103" s="101">
        <f t="shared" si="25"/>
        <v>33.576544207275667</v>
      </c>
      <c r="J103" s="28" t="str">
        <f t="shared" si="17"/>
        <v>59.3796616149953-5.30682706168559i</v>
      </c>
      <c r="K103" s="94">
        <f t="shared" si="26"/>
        <v>35.50730452960498</v>
      </c>
      <c r="L103" s="101">
        <f t="shared" si="27"/>
        <v>-5.107020090810547</v>
      </c>
      <c r="M103" s="100">
        <f t="shared" si="18"/>
        <v>0.17017857142857146</v>
      </c>
      <c r="N103" s="101">
        <f t="shared" si="19"/>
        <v>2.5000000000000001E-3</v>
      </c>
      <c r="O103" s="104" t="str">
        <f t="shared" si="20"/>
        <v>9.60252360940387-14.6748379275214i</v>
      </c>
      <c r="P103" s="94">
        <f t="shared" si="21"/>
        <v>24.879289031375137</v>
      </c>
      <c r="Q103" s="101">
        <f t="shared" si="28"/>
        <v>-56.801151590287233</v>
      </c>
      <c r="R103" s="104" t="str">
        <f t="shared" si="29"/>
        <v>7.29688730306312-6.09926800902722i</v>
      </c>
      <c r="S103" s="94">
        <f t="shared" si="30"/>
        <v>19.563876100852458</v>
      </c>
      <c r="T103" s="101">
        <f t="shared" si="31"/>
        <v>-39.891325744342005</v>
      </c>
      <c r="U103" s="46" t="str">
        <f>IMPRODUCT(COMPLEX(-1,0),IMDIV(COMPLEX(1,C103*Calculations!$B$171*Calculations!$B$173),IMPRODUCT(COMPLEX(0,C103*Calculations!$B$160),COMPLEX((Calculations!$B$173+Calculations!$B$175),C103*Calculations!$B$171*Calculations!$B$173*Calculations!$B$175))))</f>
        <v>-0.738640729102487+1.32382489658851i</v>
      </c>
      <c r="V103" s="46">
        <f t="shared" si="32"/>
        <v>3.6136939207782381</v>
      </c>
      <c r="W103" s="46">
        <f t="shared" si="33"/>
        <v>119.15974937994852</v>
      </c>
      <c r="X103" s="46" t="str">
        <f t="shared" si="34"/>
        <v>2.68458468360284+14.1649688485749i</v>
      </c>
      <c r="Y103" s="46">
        <f t="shared" si="35"/>
        <v>23.1775700216307</v>
      </c>
      <c r="Z103" s="46">
        <f t="shared" si="36"/>
        <v>79.268423635606567</v>
      </c>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row>
    <row r="104" spans="2:69">
      <c r="B104" s="94">
        <v>800</v>
      </c>
      <c r="C104" s="97">
        <f t="shared" si="12"/>
        <v>5026.5482457436692</v>
      </c>
      <c r="D104" s="100" t="str">
        <f t="shared" si="13"/>
        <v>0.0174429595764288-0.015532826785744i</v>
      </c>
      <c r="E104" s="94">
        <f t="shared" si="14"/>
        <v>-32.631849067643699</v>
      </c>
      <c r="F104" s="101">
        <f t="shared" si="23"/>
        <v>-41.684828494238296</v>
      </c>
      <c r="G104" s="6" t="str">
        <f t="shared" si="16"/>
        <v>2117.25907732732+1514.98181038643i</v>
      </c>
      <c r="H104" s="94">
        <f t="shared" si="24"/>
        <v>68.310987379467349</v>
      </c>
      <c r="I104" s="101">
        <f t="shared" si="25"/>
        <v>35.585204717616918</v>
      </c>
      <c r="J104" s="28" t="str">
        <f t="shared" si="17"/>
        <v>60.4632145429325-6.461252031074i</v>
      </c>
      <c r="K104" s="94">
        <f t="shared" si="26"/>
        <v>35.679138311823628</v>
      </c>
      <c r="L104" s="101">
        <f t="shared" si="27"/>
        <v>-6.0996237766213888</v>
      </c>
      <c r="M104" s="100">
        <f t="shared" si="18"/>
        <v>0.17017857142857146</v>
      </c>
      <c r="N104" s="101">
        <f t="shared" si="19"/>
        <v>2.5000000000000001E-3</v>
      </c>
      <c r="O104" s="104" t="str">
        <f t="shared" si="20"/>
        <v>9.59566405276631-12.9645436804773i</v>
      </c>
      <c r="P104" s="94">
        <f t="shared" si="21"/>
        <v>24.152341160475267</v>
      </c>
      <c r="Q104" s="101">
        <f t="shared" si="28"/>
        <v>-53.493128566123396</v>
      </c>
      <c r="R104" s="104" t="str">
        <f t="shared" si="29"/>
        <v>6.52621677241937-6.00558414808693i</v>
      </c>
      <c r="S104" s="94">
        <f t="shared" si="30"/>
        <v>18.957459160010174</v>
      </c>
      <c r="T104" s="101">
        <f t="shared" si="31"/>
        <v>-42.62101967899801</v>
      </c>
      <c r="U104" s="46" t="str">
        <f>IMPRODUCT(COMPLEX(-1,0),IMDIV(COMPLEX(1,C104*Calculations!$B$171*Calculations!$B$173),IMPRODUCT(COMPLEX(0,C104*Calculations!$B$160),COMPLEX((Calculations!$B$173+Calculations!$B$175),C104*Calculations!$B$171*Calculations!$B$173*Calculations!$B$175))))</f>
        <v>-0.73857482553643+1.1617238854844i</v>
      </c>
      <c r="V104" s="46">
        <f t="shared" si="32"/>
        <v>2.7763102221975493</v>
      </c>
      <c r="W104" s="46">
        <f t="shared" si="33"/>
        <v>122.44647194130503</v>
      </c>
      <c r="X104" s="46" t="str">
        <f t="shared" si="34"/>
        <v>2.15673113701651+12.0172351707861i</v>
      </c>
      <c r="Y104" s="46">
        <f t="shared" si="35"/>
        <v>21.733769382207694</v>
      </c>
      <c r="Z104" s="46">
        <f t="shared" si="36"/>
        <v>79.825452262306982</v>
      </c>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row>
    <row r="105" spans="2:69">
      <c r="B105" s="94">
        <v>900</v>
      </c>
      <c r="C105" s="97">
        <f t="shared" si="12"/>
        <v>5654.8667764616275</v>
      </c>
      <c r="D105" s="100" t="str">
        <f t="shared" si="13"/>
        <v>0.0156575353112908-0.0152225432724913i</v>
      </c>
      <c r="E105" s="94">
        <f t="shared" si="14"/>
        <v>-33.215870337383649</v>
      </c>
      <c r="F105" s="101">
        <f t="shared" si="23"/>
        <v>-44.192956728549071</v>
      </c>
      <c r="G105" s="6" t="str">
        <f t="shared" si="16"/>
        <v>2274.88451794308+1713.25584520463i</v>
      </c>
      <c r="H105" s="94">
        <f t="shared" si="24"/>
        <v>69.090393373644773</v>
      </c>
      <c r="I105" s="101">
        <f t="shared" si="25"/>
        <v>36.984051330444686</v>
      </c>
      <c r="J105" s="28" t="str">
        <f t="shared" si="17"/>
        <v>61.6991959092787-7.80416412074225i</v>
      </c>
      <c r="K105" s="94">
        <f t="shared" si="26"/>
        <v>35.874523036261138</v>
      </c>
      <c r="L105" s="101">
        <f t="shared" si="27"/>
        <v>-7.2089053981044371</v>
      </c>
      <c r="M105" s="100">
        <f t="shared" si="18"/>
        <v>0.17017857142857146</v>
      </c>
      <c r="N105" s="101">
        <f t="shared" si="19"/>
        <v>2.5000000000000001E-3</v>
      </c>
      <c r="O105" s="104" t="str">
        <f t="shared" si="20"/>
        <v>9.58790172639431-11.6488279798181i</v>
      </c>
      <c r="P105" s="94">
        <f t="shared" si="21"/>
        <v>23.572162436844863</v>
      </c>
      <c r="Q105" s="101">
        <f t="shared" si="28"/>
        <v>-50.54293275414679</v>
      </c>
      <c r="R105" s="104" t="str">
        <f t="shared" si="29"/>
        <v>5.8754857801566-5.8531019599034i</v>
      </c>
      <c r="S105" s="94">
        <f t="shared" si="30"/>
        <v>18.374630283665205</v>
      </c>
      <c r="T105" s="101">
        <f t="shared" si="31"/>
        <v>-44.890652063042097</v>
      </c>
      <c r="U105" s="46" t="str">
        <f>IMPRODUCT(COMPLEX(-1,0),IMDIV(COMPLEX(1,C105*Calculations!$B$171*Calculations!$B$173),IMPRODUCT(COMPLEX(0,C105*Calculations!$B$160),COMPLEX((Calculations!$B$173+Calculations!$B$175),C105*Calculations!$B$171*Calculations!$B$173*Calculations!$B$175))))</f>
        <v>-0.738500149043567+1.03604492279628i</v>
      </c>
      <c r="V105" s="46">
        <f t="shared" si="32"/>
        <v>2.0918556362429865</v>
      </c>
      <c r="W105" s="46">
        <f t="shared" si="33"/>
        <v>125.48154023889883</v>
      </c>
      <c r="X105" s="46" t="str">
        <f t="shared" si="34"/>
        <v>1.72502944381787+10.4097838812488i</v>
      </c>
      <c r="Y105" s="46">
        <f t="shared" si="35"/>
        <v>20.466485919908159</v>
      </c>
      <c r="Z105" s="46">
        <f t="shared" si="36"/>
        <v>80.590888175856676</v>
      </c>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row>
    <row r="106" spans="2:69">
      <c r="B106" s="94">
        <v>1000</v>
      </c>
      <c r="C106" s="97">
        <f t="shared" si="12"/>
        <v>6283.1853071795858</v>
      </c>
      <c r="D106" s="100" t="str">
        <f t="shared" si="13"/>
        <v>0.0141380605489828-0.0147845425290151i</v>
      </c>
      <c r="E106" s="94">
        <f t="shared" si="14"/>
        <v>-33.783383134184319</v>
      </c>
      <c r="F106" s="101">
        <f t="shared" si="23"/>
        <v>-46.280469880387443</v>
      </c>
      <c r="G106" s="6" t="str">
        <f t="shared" si="16"/>
        <v>2462.72269001324+1911.88798786783i</v>
      </c>
      <c r="H106" s="94">
        <f t="shared" si="24"/>
        <v>69.876805055332085</v>
      </c>
      <c r="I106" s="101">
        <f t="shared" si="25"/>
        <v>37.823298204663544</v>
      </c>
      <c r="J106" s="28" t="str">
        <f t="shared" si="17"/>
        <v>63.084511774106-9.3798402123229i</v>
      </c>
      <c r="K106" s="94">
        <f t="shared" si="26"/>
        <v>36.093421921147765</v>
      </c>
      <c r="L106" s="101">
        <f t="shared" si="27"/>
        <v>-8.4571716757238633</v>
      </c>
      <c r="M106" s="100">
        <f t="shared" si="18"/>
        <v>0.17017857142857146</v>
      </c>
      <c r="N106" s="101">
        <f t="shared" si="19"/>
        <v>2.5000000000000001E-3</v>
      </c>
      <c r="O106" s="104" t="str">
        <f t="shared" si="20"/>
        <v>9.57924103338031-10.609253554907i</v>
      </c>
      <c r="P106" s="94">
        <f t="shared" si="21"/>
        <v>23.103068833542398</v>
      </c>
      <c r="Q106" s="101">
        <f t="shared" si="28"/>
        <v>-47.920685535875108</v>
      </c>
      <c r="R106" s="104" t="str">
        <f t="shared" si="29"/>
        <v>5.32623758026504-5.66871646477891i</v>
      </c>
      <c r="S106" s="94">
        <f t="shared" si="30"/>
        <v>17.817780084823699</v>
      </c>
      <c r="T106" s="101">
        <f t="shared" si="31"/>
        <v>-46.784114061282132</v>
      </c>
      <c r="U106" s="46" t="str">
        <f>IMPRODUCT(COMPLEX(-1,0),IMDIV(COMPLEX(1,C106*Calculations!$B$171*Calculations!$B$173),IMPRODUCT(COMPLEX(0,C106*Calculations!$B$160),COMPLEX((Calculations!$B$173+Calculations!$B$175),C106*Calculations!$B$171*Calculations!$B$173*Calculations!$B$175))))</f>
        <v>-0.738416704949225+0.935861175690384i</v>
      </c>
      <c r="V106" s="46">
        <f t="shared" si="32"/>
        <v>1.5262322459226729</v>
      </c>
      <c r="W106" s="46">
        <f t="shared" si="33"/>
        <v>128.27427899376835</v>
      </c>
      <c r="X106" s="46" t="str">
        <f t="shared" si="34"/>
        <v>1.37214885158738+9.17049389708661i</v>
      </c>
      <c r="Y106" s="46">
        <f t="shared" si="35"/>
        <v>19.344012330746374</v>
      </c>
      <c r="Z106" s="46">
        <f t="shared" si="36"/>
        <v>81.490164932486238</v>
      </c>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row>
    <row r="107" spans="2:69">
      <c r="B107" s="94">
        <v>2000</v>
      </c>
      <c r="C107" s="97">
        <f t="shared" si="12"/>
        <v>12566.370614359172</v>
      </c>
      <c r="D107" s="100" t="str">
        <f t="shared" si="13"/>
        <v>0.00711916849489025-0.00989651123365489i</v>
      </c>
      <c r="E107" s="94">
        <f t="shared" si="14"/>
        <v>-38.279125311331391</v>
      </c>
      <c r="F107" s="101">
        <f t="shared" si="23"/>
        <v>-54.270215958975278</v>
      </c>
      <c r="G107" s="6" t="str">
        <f t="shared" si="16"/>
        <v>7049.45870174363+2317.33719730472i</v>
      </c>
      <c r="H107" s="94">
        <f t="shared" si="24"/>
        <v>77.408750100295265</v>
      </c>
      <c r="I107" s="101">
        <f t="shared" si="25"/>
        <v>18.197015462359882</v>
      </c>
      <c r="J107" s="28" t="str">
        <f t="shared" si="17"/>
        <v>73.1198379007757-53.2675332659031i</v>
      </c>
      <c r="K107" s="94">
        <f t="shared" si="26"/>
        <v>39.129624788963881</v>
      </c>
      <c r="L107" s="101">
        <f t="shared" si="27"/>
        <v>-36.073200496615414</v>
      </c>
      <c r="M107" s="100">
        <f t="shared" si="18"/>
        <v>0.17017857142857146</v>
      </c>
      <c r="N107" s="101">
        <f t="shared" si="19"/>
        <v>2.5000000000000001E-3</v>
      </c>
      <c r="O107" s="104" t="str">
        <f t="shared" si="20"/>
        <v>9.44453797941506-6.27911118145963i</v>
      </c>
      <c r="P107" s="94">
        <f t="shared" si="21"/>
        <v>21.093305701473266</v>
      </c>
      <c r="Q107" s="101">
        <f t="shared" si="28"/>
        <v>-33.61756844900475</v>
      </c>
      <c r="R107" s="104" t="str">
        <f t="shared" si="29"/>
        <v>2.74498850606382-3.87467048253491i</v>
      </c>
      <c r="S107" s="94">
        <f t="shared" si="30"/>
        <v>13.531086665076458</v>
      </c>
      <c r="T107" s="101">
        <f t="shared" si="31"/>
        <v>-54.684550228783529</v>
      </c>
      <c r="U107" s="46" t="str">
        <f>IMPRODUCT(COMPLEX(-1,0),IMDIV(COMPLEX(1,C107*Calculations!$B$171*Calculations!$B$173),IMPRODUCT(COMPLEX(0,C107*Calculations!$B$160),COMPLEX((Calculations!$B$173+Calculations!$B$175),C107*Calculations!$B$171*Calculations!$B$173*Calculations!$B$175))))</f>
        <v>-0.737101661621463+0.494885330132213i</v>
      </c>
      <c r="V107" s="46">
        <f t="shared" si="32"/>
        <v>-1.0334684733612007</v>
      </c>
      <c r="W107" s="46">
        <f t="shared" si="33"/>
        <v>146.12284174253332</v>
      </c>
      <c r="X107" s="46" t="str">
        <f t="shared" si="34"/>
        <v>-0.105818008048629+4.21448059394464i</v>
      </c>
      <c r="Y107" s="46">
        <f t="shared" si="35"/>
        <v>12.497618191715254</v>
      </c>
      <c r="Z107" s="46">
        <f t="shared" si="36"/>
        <v>91.438291513749789</v>
      </c>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row>
    <row r="108" spans="2:69">
      <c r="B108" s="94">
        <v>3000</v>
      </c>
      <c r="C108" s="97">
        <f t="shared" si="12"/>
        <v>18849.555921538758</v>
      </c>
      <c r="D108" s="100" t="str">
        <f t="shared" si="13"/>
        <v>0.00526257743518586-0.00703927752206025i</v>
      </c>
      <c r="E108" s="94">
        <f t="shared" si="14"/>
        <v>-41.121231608622026</v>
      </c>
      <c r="F108" s="101">
        <f t="shared" si="23"/>
        <v>-53.218139303726581</v>
      </c>
      <c r="G108" s="6" t="str">
        <f t="shared" si="16"/>
        <v>6403.41333730706-5147.31228636767i</v>
      </c>
      <c r="H108" s="94">
        <f t="shared" si="24"/>
        <v>78.292942899351075</v>
      </c>
      <c r="I108" s="101">
        <f t="shared" si="25"/>
        <v>-38.793672438965906</v>
      </c>
      <c r="J108" s="28" t="str">
        <f t="shared" si="17"/>
        <v>-2.53490113937219-72.1635330598599i</v>
      </c>
      <c r="K108" s="94">
        <f t="shared" si="26"/>
        <v>37.171711290729057</v>
      </c>
      <c r="L108" s="101">
        <f t="shared" si="27"/>
        <v>-92.011811742692501</v>
      </c>
      <c r="M108" s="100">
        <f t="shared" si="18"/>
        <v>0.17017857142857146</v>
      </c>
      <c r="N108" s="101">
        <f t="shared" si="19"/>
        <v>2.5000000000000001E-3</v>
      </c>
      <c r="O108" s="104" t="str">
        <f t="shared" si="20"/>
        <v>9.22825873045687-5.22916235006107i</v>
      </c>
      <c r="P108" s="94">
        <f t="shared" si="21"/>
        <v>20.511714305595056</v>
      </c>
      <c r="Q108" s="101">
        <f t="shared" si="28"/>
        <v>-29.537916280439944</v>
      </c>
      <c r="R108" s="104" t="str">
        <f t="shared" si="29"/>
        <v>2.01383761324928-2.83792754925827i</v>
      </c>
      <c r="S108" s="94">
        <f t="shared" si="30"/>
        <v>10.831217180276845</v>
      </c>
      <c r="T108" s="101">
        <f t="shared" si="31"/>
        <v>-54.639894423731022</v>
      </c>
      <c r="U108" s="46" t="str">
        <f>IMPRODUCT(COMPLEX(-1,0),IMDIV(COMPLEX(1,C108*Calculations!$B$171*Calculations!$B$173),IMPRODUCT(COMPLEX(0,C108*Calculations!$B$160),COMPLEX((Calculations!$B$173+Calculations!$B$175),C108*Calculations!$B$171*Calculations!$B$173*Calculations!$B$175))))</f>
        <v>-0.734920300629084+0.359731455130006i</v>
      </c>
      <c r="V108" s="46">
        <f t="shared" si="32"/>
        <v>-1.7423996865820159</v>
      </c>
      <c r="W108" s="46">
        <f t="shared" si="33"/>
        <v>153.91900855481197</v>
      </c>
      <c r="X108" s="46" t="str">
        <f t="shared" si="34"/>
        <v>-0.459118337299109+2.81009130267415i</v>
      </c>
      <c r="Y108" s="46">
        <f t="shared" si="35"/>
        <v>9.0888174936948314</v>
      </c>
      <c r="Z108" s="46">
        <f t="shared" si="36"/>
        <v>99.279114131080945</v>
      </c>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row>
    <row r="109" spans="2:69">
      <c r="B109" s="94">
        <v>4000</v>
      </c>
      <c r="C109" s="97">
        <f t="shared" si="12"/>
        <v>25132.741228718343</v>
      </c>
      <c r="D109" s="100" t="str">
        <f t="shared" si="13"/>
        <v>0.00455264561870098-0.00540610488411577i</v>
      </c>
      <c r="E109" s="94">
        <f t="shared" si="14"/>
        <v>-43.014423181431511</v>
      </c>
      <c r="F109" s="101">
        <f t="shared" si="23"/>
        <v>-49.898247626866791</v>
      </c>
      <c r="G109" s="6" t="str">
        <f t="shared" si="16"/>
        <v>2245.94189325132-4720.37393534537i</v>
      </c>
      <c r="H109" s="94">
        <f t="shared" si="24"/>
        <v>74.365790054394211</v>
      </c>
      <c r="I109" s="101">
        <f t="shared" si="25"/>
        <v>-64.555013934673127</v>
      </c>
      <c r="J109" s="28" t="str">
        <f t="shared" si="17"/>
        <v>-15.2938590665558-33.6319871539266i</v>
      </c>
      <c r="K109" s="94">
        <f t="shared" si="26"/>
        <v>31.351366872962711</v>
      </c>
      <c r="L109" s="101">
        <f t="shared" si="27"/>
        <v>-114.45326156153995</v>
      </c>
      <c r="M109" s="100">
        <f t="shared" si="18"/>
        <v>0.17017857142857146</v>
      </c>
      <c r="N109" s="101">
        <f t="shared" si="19"/>
        <v>2.5000000000000001E-3</v>
      </c>
      <c r="O109" s="104" t="str">
        <f t="shared" si="20"/>
        <v>8.94159217441538-4.95878993102633i</v>
      </c>
      <c r="P109" s="94">
        <f t="shared" si="21"/>
        <v>20.192894259463607</v>
      </c>
      <c r="Q109" s="101">
        <f t="shared" si="28"/>
        <v>-29.01168654655001</v>
      </c>
      <c r="R109" s="104" t="str">
        <f t="shared" si="29"/>
        <v>1.72727423089418-2.24439455644399i</v>
      </c>
      <c r="S109" s="94">
        <f t="shared" si="30"/>
        <v>9.0421677727394361</v>
      </c>
      <c r="T109" s="101">
        <f t="shared" si="31"/>
        <v>-52.41830892696283</v>
      </c>
      <c r="U109" s="46" t="str">
        <f>IMPRODUCT(COMPLEX(-1,0),IMDIV(COMPLEX(1,C109*Calculations!$B$171*Calculations!$B$173),IMPRODUCT(COMPLEX(0,C109*Calculations!$B$160),COMPLEX((Calculations!$B$173+Calculations!$B$175),C109*Calculations!$B$171*Calculations!$B$173*Calculations!$B$175))))</f>
        <v>-0.731887996115198+0.300875509112086i</v>
      </c>
      <c r="V109" s="46">
        <f t="shared" si="32"/>
        <v>-2.0329656950737878</v>
      </c>
      <c r="W109" s="46">
        <f t="shared" si="33"/>
        <v>157.65268040240443</v>
      </c>
      <c r="X109" s="46" t="str">
        <f t="shared" si="34"/>
        <v>-0.588887920772081+2.16233994800412i</v>
      </c>
      <c r="Y109" s="46">
        <f t="shared" si="35"/>
        <v>7.0092020776656341</v>
      </c>
      <c r="Z109" s="46">
        <f t="shared" si="36"/>
        <v>105.23437147544165</v>
      </c>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row>
    <row r="110" spans="2:69">
      <c r="B110" s="94">
        <v>5000</v>
      </c>
      <c r="C110" s="97">
        <f t="shared" si="12"/>
        <v>31415.926535897932</v>
      </c>
      <c r="D110" s="100" t="str">
        <f t="shared" si="13"/>
        <v>0.00421238805027199-0.00437344351448406i</v>
      </c>
      <c r="E110" s="94">
        <f t="shared" si="14"/>
        <v>-44.333124773140483</v>
      </c>
      <c r="F110" s="101">
        <f t="shared" si="23"/>
        <v>-46.074644452013445</v>
      </c>
      <c r="G110" s="6" t="str">
        <f t="shared" si="16"/>
        <v>1048.16296332833-3559.81780614374i</v>
      </c>
      <c r="H110" s="94">
        <f t="shared" si="24"/>
        <v>71.389638513186455</v>
      </c>
      <c r="I110" s="101">
        <f t="shared" si="25"/>
        <v>-73.593310986511</v>
      </c>
      <c r="J110" s="28" t="str">
        <f t="shared" si="17"/>
        <v>-11.1533929555622-19.579415501836i</v>
      </c>
      <c r="K110" s="94">
        <f t="shared" si="26"/>
        <v>27.056513740045943</v>
      </c>
      <c r="L110" s="101">
        <f t="shared" si="27"/>
        <v>-119.66795543852432</v>
      </c>
      <c r="M110" s="100">
        <f t="shared" si="18"/>
        <v>0.17017857142857146</v>
      </c>
      <c r="N110" s="101">
        <f t="shared" si="19"/>
        <v>2.5000000000000001E-3</v>
      </c>
      <c r="O110" s="104" t="str">
        <f t="shared" si="20"/>
        <v>8.59818564081244-4.96075644142024i</v>
      </c>
      <c r="P110" s="94">
        <f t="shared" si="21"/>
        <v>19.93603305988244</v>
      </c>
      <c r="Q110" s="101">
        <f t="shared" si="28"/>
        <v>-29.982962880653208</v>
      </c>
      <c r="R110" s="104" t="str">
        <f t="shared" si="29"/>
        <v>1.59243327814776-1.87625015339549i</v>
      </c>
      <c r="S110" s="94">
        <f t="shared" si="30"/>
        <v>7.8219722451169318</v>
      </c>
      <c r="T110" s="101">
        <f t="shared" si="31"/>
        <v>-49.677672244244604</v>
      </c>
      <c r="U110" s="46" t="str">
        <f>IMPRODUCT(COMPLEX(-1,0),IMDIV(COMPLEX(1,C110*Calculations!$B$171*Calculations!$B$173),IMPRODUCT(COMPLEX(0,C110*Calculations!$B$160),COMPLEX((Calculations!$B$173+Calculations!$B$175),C110*Calculations!$B$171*Calculations!$B$173*Calculations!$B$175))))</f>
        <v>-0.72802589301224+0.272365369691617i</v>
      </c>
      <c r="V110" s="46">
        <f t="shared" si="32"/>
        <v>-2.1881597586142978</v>
      </c>
      <c r="W110" s="46">
        <f t="shared" si="33"/>
        <v>159.48842552902804</v>
      </c>
      <c r="X110" s="46" t="str">
        <f t="shared" si="34"/>
        <v>-0.648307092722416+1.79968237195205i</v>
      </c>
      <c r="Y110" s="46">
        <f t="shared" si="35"/>
        <v>5.6338124865026264</v>
      </c>
      <c r="Z110" s="46">
        <f t="shared" si="36"/>
        <v>109.81075328478346</v>
      </c>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row>
    <row r="111" spans="2:69">
      <c r="B111" s="94">
        <v>6000</v>
      </c>
      <c r="C111" s="97">
        <f t="shared" ref="C111:C137" si="37">2*PI()*B111</f>
        <v>37699.111843077517</v>
      </c>
      <c r="D111" s="100" t="str">
        <f t="shared" ref="D111:D137" si="38">IMDIV(COMPLEX((V12_Nom/(I_Channel_Design*np)),((Zo_Buck_Cout*Zo_Buck_Resr*V12_Nom)/(I_Channel_Design*np))*C111),COMPLEX(1,((Zo_Buck_Cout*Zo_Buck_Resr)+((Zo_Buck_Cout*V12_Nom)/(I_Channel_Design*np)))*C111))</f>
        <v>0.00402433453701751-0.00366690119377157i</v>
      </c>
      <c r="E111" s="94">
        <f t="shared" si="14"/>
        <v>-45.281008069196659</v>
      </c>
      <c r="F111" s="101">
        <f t="shared" si="23"/>
        <v>-42.339218491037144</v>
      </c>
      <c r="G111" s="6" t="str">
        <f t="shared" ref="G111:G137" si="39">IMDIV(COMPLEX(V48_Max,0),IMSUM(COMPLEX(Rcs/np,(Lm*C111)/np),D111))</f>
        <v>607.138798404376-2824.22515627794i</v>
      </c>
      <c r="H111" s="94">
        <f t="shared" si="24"/>
        <v>69.214193284366715</v>
      </c>
      <c r="I111" s="101">
        <f t="shared" si="25"/>
        <v>-77.867469641333955</v>
      </c>
      <c r="J111" s="28" t="str">
        <f t="shared" ref="J111:J137" si="40">IMDIV(IMPRODUCT(COMPLEX(V48_Max,0),D111),IMSUM(COMPLEX(Rcs/np,(Lm*C111)/np),D111))</f>
        <v>-7.91282496185324-13.5919448213771i</v>
      </c>
      <c r="K111" s="94">
        <f t="shared" si="26"/>
        <v>23.933185215170084</v>
      </c>
      <c r="L111" s="101">
        <f t="shared" si="27"/>
        <v>-120.20668813237099</v>
      </c>
      <c r="M111" s="100">
        <f t="shared" ref="M111:M137" si="41">(Ramp_C*Ramp_R*Fsw)/(V48_Max)</f>
        <v>0.17017857142857146</v>
      </c>
      <c r="N111" s="101">
        <f t="shared" ref="N111:N137" si="42">(Rcs*Acs)/np</f>
        <v>2.5000000000000001E-3</v>
      </c>
      <c r="O111" s="104" t="str">
        <f t="shared" ref="O111:O137" si="43">IMPRODUCT(COMPLEX(gm/(IL_Comp_Ccomp+IL_Comp_Chf),0),IMDIV(COMPLEX(1,C111*IL_Comp_Rcomp*IL_Comp_Ccomp),IMPRODUCT(COMPLEX(0,C111),COMPLEX(1,C111*IL_Comp_Rcomp*IL_Comp_Chf))))</f>
        <v>8.21268166542963-5.06358284154343i</v>
      </c>
      <c r="P111" s="94">
        <f t="shared" si="21"/>
        <v>19.688937524301526</v>
      </c>
      <c r="Q111" s="101">
        <f t="shared" si="28"/>
        <v>-31.65618074060345</v>
      </c>
      <c r="R111" s="104" t="str">
        <f t="shared" si="29"/>
        <v>1.52278654932764-1.63384618456156i</v>
      </c>
      <c r="S111" s="94">
        <f t="shared" si="30"/>
        <v>6.9795537036496214</v>
      </c>
      <c r="T111" s="101">
        <f t="shared" si="31"/>
        <v>-47.015003105329995</v>
      </c>
      <c r="U111" s="46" t="str">
        <f>IMPRODUCT(COMPLEX(-1,0),IMDIV(COMPLEX(1,C111*Calculations!$B$171*Calculations!$B$173),IMPRODUCT(COMPLEX(0,C111*Calculations!$B$160),COMPLEX((Calculations!$B$173+Calculations!$B$175),C111*Calculations!$B$171*Calculations!$B$173*Calculations!$B$175))))</f>
        <v>-0.723360543010589+0.258846721556843i</v>
      </c>
      <c r="V111" s="46">
        <f t="shared" si="32"/>
        <v>-2.2896245878514354</v>
      </c>
      <c r="W111" s="46">
        <f t="shared" si="33"/>
        <v>160.31080209541221</v>
      </c>
      <c r="X111" s="46" t="str">
        <f t="shared" si="34"/>
        <v>-0.678607976808946+1.57602816918455i</v>
      </c>
      <c r="Y111" s="46">
        <f t="shared" si="35"/>
        <v>4.6899291157982024</v>
      </c>
      <c r="Z111" s="46">
        <f t="shared" si="36"/>
        <v>113.29579899008216</v>
      </c>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row>
    <row r="112" spans="2:69">
      <c r="B112" s="94">
        <v>7000</v>
      </c>
      <c r="C112" s="97">
        <f t="shared" si="37"/>
        <v>43982.297150257102</v>
      </c>
      <c r="D112" s="100" t="str">
        <f t="shared" si="38"/>
        <v>0.00390982466835501-0.0031547311598069i</v>
      </c>
      <c r="E112" s="94">
        <f t="shared" si="14"/>
        <v>-45.979268647459961</v>
      </c>
      <c r="F112" s="101">
        <f t="shared" si="23"/>
        <v>-38.899115640279568</v>
      </c>
      <c r="G112" s="6" t="str">
        <f t="shared" si="39"/>
        <v>399.169379077701-2342.16422313544i</v>
      </c>
      <c r="H112" s="94">
        <f t="shared" si="24"/>
        <v>67.516692886525675</v>
      </c>
      <c r="I112" s="101">
        <f t="shared" si="25"/>
        <v>-80.328145992775191</v>
      </c>
      <c r="J112" s="28" t="str">
        <f t="shared" si="40"/>
        <v>-5.82821617094032-10.4167235351707i</v>
      </c>
      <c r="K112" s="94">
        <f t="shared" si="26"/>
        <v>21.537424239065711</v>
      </c>
      <c r="L112" s="101">
        <f t="shared" si="27"/>
        <v>-119.22726163305462</v>
      </c>
      <c r="M112" s="100">
        <f t="shared" si="41"/>
        <v>0.17017857142857146</v>
      </c>
      <c r="N112" s="101">
        <f t="shared" si="42"/>
        <v>2.5000000000000001E-3</v>
      </c>
      <c r="O112" s="104" t="str">
        <f t="shared" si="43"/>
        <v>7.79941105637069-5.19442243906746i</v>
      </c>
      <c r="P112" s="94">
        <f t="shared" si="21"/>
        <v>19.435580097758816</v>
      </c>
      <c r="Q112" s="101">
        <f t="shared" si="28"/>
        <v>-33.663689865521448</v>
      </c>
      <c r="R112" s="104" t="str">
        <f t="shared" si="29"/>
        <v>1.48611000208908-1.46825228534705i</v>
      </c>
      <c r="S112" s="94">
        <f t="shared" si="30"/>
        <v>6.3991337333257148</v>
      </c>
      <c r="T112" s="101">
        <f t="shared" si="31"/>
        <v>-44.653678445355865</v>
      </c>
      <c r="U112" s="46" t="str">
        <f>IMPRODUCT(COMPLEX(-1,0),IMDIV(COMPLEX(1,C112*Calculations!$B$171*Calculations!$B$173),IMPRODUCT(COMPLEX(0,C112*Calculations!$B$160),COMPLEX((Calculations!$B$173+Calculations!$B$175),C112*Calculations!$B$171*Calculations!$B$173*Calculations!$B$175))))</f>
        <v>-0.717923456846795+0.253710101946422i</v>
      </c>
      <c r="V112" s="46">
        <f t="shared" si="32"/>
        <v>-2.3673459350101895</v>
      </c>
      <c r="W112" s="46">
        <f t="shared" si="33"/>
        <v>160.53687903361038</v>
      </c>
      <c r="X112" s="46" t="str">
        <f t="shared" si="34"/>
        <v>-0.694402792955923+1.43113387635318i</v>
      </c>
      <c r="Y112" s="46">
        <f t="shared" si="35"/>
        <v>4.031787798315527</v>
      </c>
      <c r="Z112" s="46">
        <f t="shared" si="36"/>
        <v>115.88320058825451</v>
      </c>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row>
    <row r="113" spans="2:69">
      <c r="B113" s="94">
        <v>8000</v>
      </c>
      <c r="C113" s="97">
        <f t="shared" si="37"/>
        <v>50265.482457436687</v>
      </c>
      <c r="D113" s="100" t="str">
        <f t="shared" si="38"/>
        <v>0.0038350470891907-0.00276705965664217i</v>
      </c>
      <c r="E113" s="94">
        <f t="shared" si="14"/>
        <v>-46.504465292547607</v>
      </c>
      <c r="F113" s="101">
        <f t="shared" si="23"/>
        <v>-35.811167503337245</v>
      </c>
      <c r="G113" s="6" t="str">
        <f t="shared" si="39"/>
        <v>284.236637505404-2004.06201480926i</v>
      </c>
      <c r="H113" s="94">
        <f t="shared" si="24"/>
        <v>66.124717967635974</v>
      </c>
      <c r="I113" s="101">
        <f t="shared" si="25"/>
        <v>-81.927565224657656</v>
      </c>
      <c r="J113" s="28" t="str">
        <f t="shared" si="40"/>
        <v>-4.4552982612813-8.47217192903273i</v>
      </c>
      <c r="K113" s="94">
        <f t="shared" si="26"/>
        <v>19.62025267508837</v>
      </c>
      <c r="L113" s="101">
        <f t="shared" si="27"/>
        <v>-117.73873272799506</v>
      </c>
      <c r="M113" s="100">
        <f t="shared" si="41"/>
        <v>0.17017857142857146</v>
      </c>
      <c r="N113" s="101">
        <f t="shared" si="42"/>
        <v>2.5000000000000001E-3</v>
      </c>
      <c r="O113" s="104" t="str">
        <f t="shared" si="43"/>
        <v>7.37140705273044-5.31919864375754i</v>
      </c>
      <c r="P113" s="94">
        <f t="shared" si="21"/>
        <v>19.171457213999766</v>
      </c>
      <c r="Q113" s="101">
        <f t="shared" si="28"/>
        <v>-35.814171966495465</v>
      </c>
      <c r="R113" s="104" t="str">
        <f t="shared" si="29"/>
        <v>1.46832345210289-1.35330846707401i</v>
      </c>
      <c r="S113" s="94">
        <f t="shared" si="30"/>
        <v>6.0069171787199469</v>
      </c>
      <c r="T113" s="101">
        <f t="shared" si="31"/>
        <v>-42.665809259020897</v>
      </c>
      <c r="U113" s="46" t="str">
        <f>IMPRODUCT(COMPLEX(-1,0),IMDIV(COMPLEX(1,C113*Calculations!$B$171*Calculations!$B$173),IMPRODUCT(COMPLEX(0,C113*Calculations!$B$160),COMPLEX((Calculations!$B$173+Calculations!$B$175),C113*Calculations!$B$171*Calculations!$B$173*Calculations!$B$175))))</f>
        <v>-0.711750586711791+0.253628020104346i</v>
      </c>
      <c r="V113" s="46">
        <f t="shared" si="32"/>
        <v>-2.4342773220807885</v>
      </c>
      <c r="W113" s="46">
        <f t="shared" si="33"/>
        <v>160.38678183276255</v>
      </c>
      <c r="X113" s="46" t="str">
        <f t="shared" si="34"/>
        <v>-0.701843131422486+1.3356260654716i</v>
      </c>
      <c r="Y113" s="46">
        <f t="shared" si="35"/>
        <v>3.5726398566391797</v>
      </c>
      <c r="Z113" s="46">
        <f t="shared" si="36"/>
        <v>117.72097257374156</v>
      </c>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row>
    <row r="114" spans="2:69">
      <c r="B114" s="94">
        <v>9000</v>
      </c>
      <c r="C114" s="97">
        <f t="shared" si="37"/>
        <v>56548.667764616279</v>
      </c>
      <c r="D114" s="100" t="str">
        <f t="shared" si="38"/>
        <v>0.00378357067499767-0.00246368992722343i</v>
      </c>
      <c r="E114" s="94">
        <f t="shared" si="14"/>
        <v>-46.906855535731736</v>
      </c>
      <c r="F114" s="101">
        <f t="shared" si="23"/>
        <v>-33.070353346057232</v>
      </c>
      <c r="G114" s="6" t="str">
        <f t="shared" si="39"/>
        <v>213.659811315378-1753.69535500954i</v>
      </c>
      <c r="H114" s="94">
        <f t="shared" si="24"/>
        <v>64.943073932969241</v>
      </c>
      <c r="I114" s="101">
        <f t="shared" si="25"/>
        <v>-83.053657444740267</v>
      </c>
      <c r="J114" s="28" t="str">
        <f t="shared" si="40"/>
        <v>-3.51216458503712-7.1616218430839i</v>
      </c>
      <c r="K114" s="94">
        <f t="shared" si="26"/>
        <v>18.036218397237533</v>
      </c>
      <c r="L114" s="101">
        <f t="shared" si="27"/>
        <v>-116.12401079079743</v>
      </c>
      <c r="M114" s="100">
        <f t="shared" si="41"/>
        <v>0.17017857142857146</v>
      </c>
      <c r="N114" s="101">
        <f t="shared" si="42"/>
        <v>2.5000000000000001E-3</v>
      </c>
      <c r="O114" s="104" t="str">
        <f t="shared" si="43"/>
        <v>6.93979802965144-5.42204232481566i</v>
      </c>
      <c r="P114" s="94">
        <f t="shared" si="21"/>
        <v>18.896341028653069</v>
      </c>
      <c r="Q114" s="101">
        <f t="shared" si="28"/>
        <v>-38.000399233340289</v>
      </c>
      <c r="R114" s="104" t="str">
        <f t="shared" si="29"/>
        <v>1.46251483638226-1.27404167988737i</v>
      </c>
      <c r="S114" s="94">
        <f t="shared" si="30"/>
        <v>5.7543401188735546</v>
      </c>
      <c r="T114" s="101">
        <f t="shared" si="31"/>
        <v>-41.060124993695382</v>
      </c>
      <c r="U114" s="46" t="str">
        <f>IMPRODUCT(COMPLEX(-1,0),IMDIV(COMPLEX(1,C114*Calculations!$B$171*Calculations!$B$173),IMPRODUCT(COMPLEX(0,C114*Calculations!$B$160),COMPLEX((Calculations!$B$173+Calculations!$B$175),C114*Calculations!$B$171*Calculations!$B$173*Calculations!$B$175))))</f>
        <v>-0.704881754174614+0.256734245272145i</v>
      </c>
      <c r="V114" s="46">
        <f t="shared" si="32"/>
        <v>-2.496684753326341</v>
      </c>
      <c r="W114" s="46">
        <f t="shared" si="33"/>
        <v>159.98720570778494</v>
      </c>
      <c r="X114" s="46" t="str">
        <f t="shared" si="34"/>
        <v>-0.703809894244386+1.2735263769285i</v>
      </c>
      <c r="Y114" s="46">
        <f t="shared" si="35"/>
        <v>3.2576553655472349</v>
      </c>
      <c r="Z114" s="46">
        <f t="shared" si="36"/>
        <v>118.92708071408944</v>
      </c>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row>
    <row r="115" spans="2:69">
      <c r="B115" s="94">
        <v>10000</v>
      </c>
      <c r="C115" s="97">
        <f t="shared" si="37"/>
        <v>62831.853071795864</v>
      </c>
      <c r="D115" s="100" t="str">
        <f t="shared" si="38"/>
        <v>0.00374664497240086-0.00221995584666726i</v>
      </c>
      <c r="E115" s="94">
        <f t="shared" si="14"/>
        <v>-47.220345007751028</v>
      </c>
      <c r="F115" s="101">
        <f t="shared" si="23"/>
        <v>-30.647519049504247</v>
      </c>
      <c r="G115" s="6" t="str">
        <f t="shared" si="39"/>
        <v>166.992318138784-1560.52160486881i</v>
      </c>
      <c r="H115" s="94">
        <f t="shared" si="24"/>
        <v>63.914845327282407</v>
      </c>
      <c r="I115" s="101">
        <f t="shared" si="25"/>
        <v>-83.891989586763088</v>
      </c>
      <c r="J115" s="28" t="str">
        <f t="shared" si="40"/>
        <v>-2.83862813139486-6.21743599820535i</v>
      </c>
      <c r="K115" s="94">
        <f t="shared" si="26"/>
        <v>16.694500319531365</v>
      </c>
      <c r="L115" s="101">
        <f t="shared" si="27"/>
        <v>-114.53950863626743</v>
      </c>
      <c r="M115" s="100">
        <f t="shared" si="41"/>
        <v>0.17017857142857146</v>
      </c>
      <c r="N115" s="101">
        <f t="shared" si="42"/>
        <v>2.5000000000000001E-3</v>
      </c>
      <c r="O115" s="104" t="str">
        <f t="shared" si="43"/>
        <v>6.51354984533887-5.49656086976399i</v>
      </c>
      <c r="P115" s="94">
        <f t="shared" si="21"/>
        <v>18.611669449568193</v>
      </c>
      <c r="Q115" s="101">
        <f t="shared" si="28"/>
        <v>-40.159869539988009</v>
      </c>
      <c r="R115" s="104" t="str">
        <f t="shared" si="29"/>
        <v>1.46496925437992-1.22145566401472i</v>
      </c>
      <c r="S115" s="94">
        <f t="shared" si="30"/>
        <v>5.6087330191619404</v>
      </c>
      <c r="T115" s="101">
        <f t="shared" si="31"/>
        <v>-39.820523639226082</v>
      </c>
      <c r="U115" s="46" t="str">
        <f>IMPRODUCT(COMPLEX(-1,0),IMDIV(COMPLEX(1,C115*Calculations!$B$171*Calculations!$B$173),IMPRODUCT(COMPLEX(0,C115*Calculations!$B$160),COMPLEX((Calculations!$B$173+Calculations!$B$175),C115*Calculations!$B$171*Calculations!$B$173*Calculations!$B$175))))</f>
        <v>-0.697360039900402+0.261895678507831i</v>
      </c>
      <c r="V115" s="46">
        <f t="shared" si="32"/>
        <v>-2.5578498429631145</v>
      </c>
      <c r="W115" s="46">
        <f t="shared" si="33"/>
        <v>159.41617989425262</v>
      </c>
      <c r="X115" s="46" t="str">
        <f t="shared" si="34"/>
        <v>-0.701717057792875+1.23546348746282i</v>
      </c>
      <c r="Y115" s="46">
        <f t="shared" si="35"/>
        <v>3.0508831761988384</v>
      </c>
      <c r="Z115" s="46">
        <f t="shared" si="36"/>
        <v>119.59565625502651</v>
      </c>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row>
    <row r="116" spans="2:69">
      <c r="B116" s="94">
        <v>20000</v>
      </c>
      <c r="C116" s="97">
        <f t="shared" si="37"/>
        <v>125663.70614359173</v>
      </c>
      <c r="D116" s="100" t="str">
        <f t="shared" si="38"/>
        <v>0.00362798875830343-0.00111421140679i</v>
      </c>
      <c r="E116" s="94">
        <f t="shared" si="14"/>
        <v>-48.415238374732006</v>
      </c>
      <c r="F116" s="101">
        <f t="shared" si="23"/>
        <v>-17.072531169898664</v>
      </c>
      <c r="G116" s="6" t="str">
        <f t="shared" si="39"/>
        <v>37.2343993746626-752.01985708028i</v>
      </c>
      <c r="H116" s="94">
        <f t="shared" si="24"/>
        <v>57.53521982177999</v>
      </c>
      <c r="I116" s="101">
        <f t="shared" si="25"/>
        <v>-87.165456255250476</v>
      </c>
      <c r="J116" s="28" t="str">
        <f t="shared" si="40"/>
        <v>-0.702823120537977-2.76980658001643i</v>
      </c>
      <c r="K116" s="94">
        <f t="shared" si="26"/>
        <v>9.1199814470479765</v>
      </c>
      <c r="L116" s="101">
        <f t="shared" si="27"/>
        <v>-104.23798742514913</v>
      </c>
      <c r="M116" s="100">
        <f t="shared" si="41"/>
        <v>0.17017857142857146</v>
      </c>
      <c r="N116" s="101">
        <f t="shared" si="42"/>
        <v>2.5000000000000001E-3</v>
      </c>
      <c r="O116" s="104" t="str">
        <f t="shared" si="43"/>
        <v>3.30670174489799-5.06821555729116i</v>
      </c>
      <c r="P116" s="94">
        <f t="shared" si="21"/>
        <v>15.637312116476231</v>
      </c>
      <c r="Q116" s="101">
        <f t="shared" si="28"/>
        <v>-56.87800128361765</v>
      </c>
      <c r="R116" s="104" t="str">
        <f t="shared" si="29"/>
        <v>1.64795894514447-1.6222351574539i</v>
      </c>
      <c r="S116" s="94">
        <f t="shared" si="30"/>
        <v>7.2814393795247279</v>
      </c>
      <c r="T116" s="101">
        <f t="shared" si="31"/>
        <v>-44.549312969302349</v>
      </c>
      <c r="U116" s="46" t="str">
        <f>IMPRODUCT(COMPLEX(-1,0),IMDIV(COMPLEX(1,C116*Calculations!$B$171*Calculations!$B$173),IMPRODUCT(COMPLEX(0,C116*Calculations!$B$160),COMPLEX((Calculations!$B$173+Calculations!$B$175),C116*Calculations!$B$171*Calculations!$B$173*Calculations!$B$175))))</f>
        <v>-0.596805628730998+0.33705650363588i</v>
      </c>
      <c r="V116" s="46">
        <f t="shared" si="32"/>
        <v>-3.2810173687817623</v>
      </c>
      <c r="W116" s="46">
        <f t="shared" si="33"/>
        <v>150.54364465445752</v>
      </c>
      <c r="X116" s="46" t="str">
        <f t="shared" si="34"/>
        <v>-0.436726264133205+1.52361435327967i</v>
      </c>
      <c r="Y116" s="46">
        <f t="shared" si="35"/>
        <v>4.0004220107429536</v>
      </c>
      <c r="Z116" s="46">
        <f t="shared" si="36"/>
        <v>105.99433168515522</v>
      </c>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row>
    <row r="117" spans="2:69">
      <c r="B117" s="94">
        <v>30000</v>
      </c>
      <c r="C117" s="97">
        <f t="shared" si="37"/>
        <v>188495.55921538759</v>
      </c>
      <c r="D117" s="100" t="str">
        <f t="shared" si="38"/>
        <v>0.00360591598831286-0.00074333262103368i</v>
      </c>
      <c r="E117" s="94">
        <f t="shared" si="14"/>
        <v>-48.678949192694311</v>
      </c>
      <c r="F117" s="101">
        <f t="shared" si="23"/>
        <v>-11.64793377028643</v>
      </c>
      <c r="G117" s="6" t="str">
        <f t="shared" si="39"/>
        <v>16.2012135004802-497.897433794513i</v>
      </c>
      <c r="H117" s="94">
        <f t="shared" si="24"/>
        <v>53.947393649778022</v>
      </c>
      <c r="I117" s="101">
        <f t="shared" si="25"/>
        <v>-88.136295376900875</v>
      </c>
      <c r="J117" s="28" t="str">
        <f t="shared" si="40"/>
        <v>-0.311683189676967-1.80741920755481i</v>
      </c>
      <c r="K117" s="94">
        <f t="shared" si="26"/>
        <v>5.2684444570836844</v>
      </c>
      <c r="L117" s="101">
        <f t="shared" si="27"/>
        <v>-99.784229147187332</v>
      </c>
      <c r="M117" s="100">
        <f t="shared" si="41"/>
        <v>0.17017857142857146</v>
      </c>
      <c r="N117" s="101">
        <f t="shared" si="42"/>
        <v>2.5000000000000001E-3</v>
      </c>
      <c r="O117" s="104" t="str">
        <f t="shared" si="43"/>
        <v>1.81631200680495-4.09760701986365i</v>
      </c>
      <c r="P117" s="94">
        <f t="shared" si="21"/>
        <v>13.029663736494904</v>
      </c>
      <c r="Q117" s="101">
        <f t="shared" si="28"/>
        <v>-66.094127065714076</v>
      </c>
      <c r="R117" s="104" t="str">
        <f t="shared" si="29"/>
        <v>-0.287898795058862-3.18430675421148i</v>
      </c>
      <c r="S117" s="94">
        <f t="shared" si="30"/>
        <v>10.095654129551736</v>
      </c>
      <c r="T117" s="101">
        <f t="shared" si="31"/>
        <v>-95.166166549795079</v>
      </c>
      <c r="U117" s="46" t="str">
        <f>IMPRODUCT(COMPLEX(-1,0),IMDIV(COMPLEX(1,C117*Calculations!$B$171*Calculations!$B$173),IMPRODUCT(COMPLEX(0,C117*Calculations!$B$160),COMPLEX((Calculations!$B$173+Calculations!$B$175),C117*Calculations!$B$171*Calculations!$B$173*Calculations!$B$175))))</f>
        <v>-0.481170065470152+0.382718232390108i</v>
      </c>
      <c r="V117" s="46">
        <f t="shared" si="32"/>
        <v>-4.2251063898778742</v>
      </c>
      <c r="W117" s="46">
        <f t="shared" si="33"/>
        <v>141.50158407722353</v>
      </c>
      <c r="X117" s="46" t="str">
        <f t="shared" si="34"/>
        <v>1.35722053442695+1.42200897144882i</v>
      </c>
      <c r="Y117" s="46">
        <f t="shared" si="35"/>
        <v>5.8705477396738743</v>
      </c>
      <c r="Z117" s="46">
        <f t="shared" si="36"/>
        <v>46.335417527428554</v>
      </c>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row>
    <row r="118" spans="2:69">
      <c r="B118" s="94">
        <v>40000</v>
      </c>
      <c r="C118" s="97">
        <f t="shared" si="37"/>
        <v>251327.41228718346</v>
      </c>
      <c r="D118" s="100" t="str">
        <f t="shared" si="38"/>
        <v>0.00359818314550236-0.000557637414142979i</v>
      </c>
      <c r="E118" s="94">
        <f t="shared" si="14"/>
        <v>-48.775258692142643</v>
      </c>
      <c r="F118" s="101">
        <f t="shared" si="23"/>
        <v>-8.8094738497685281</v>
      </c>
      <c r="G118" s="6" t="str">
        <f t="shared" si="39"/>
        <v>9.0457459554322-372.520252773904i</v>
      </c>
      <c r="H118" s="94">
        <f t="shared" si="24"/>
        <v>51.425557810916047</v>
      </c>
      <c r="I118" s="101">
        <f t="shared" si="25"/>
        <v>-88.608985066804792</v>
      </c>
      <c r="J118" s="28" t="str">
        <f t="shared" si="40"/>
        <v>-0.175182979837396-1.34544034127292i</v>
      </c>
      <c r="K118" s="94">
        <f t="shared" si="26"/>
        <v>2.650299118773388</v>
      </c>
      <c r="L118" s="101">
        <f t="shared" si="27"/>
        <v>-97.418458916573314</v>
      </c>
      <c r="M118" s="100">
        <f t="shared" si="41"/>
        <v>0.17017857142857146</v>
      </c>
      <c r="N118" s="101">
        <f t="shared" si="42"/>
        <v>2.5000000000000001E-3</v>
      </c>
      <c r="O118" s="104" t="str">
        <f t="shared" si="43"/>
        <v>1.11361516744558-3.3273818000775i</v>
      </c>
      <c r="P118" s="94">
        <f t="shared" si="21"/>
        <v>10.903147927323197</v>
      </c>
      <c r="Q118" s="101">
        <f t="shared" si="28"/>
        <v>-71.495527962984625</v>
      </c>
      <c r="R118" s="104" t="str">
        <f t="shared" si="29"/>
        <v>-1.3281304892765-0.853772193124338i</v>
      </c>
      <c r="S118" s="94">
        <f t="shared" si="30"/>
        <v>3.9669746296036266</v>
      </c>
      <c r="T118" s="101">
        <f t="shared" si="31"/>
        <v>-147.26556673488392</v>
      </c>
      <c r="U118" s="46" t="str">
        <f>IMPRODUCT(COMPLEX(-1,0),IMDIV(COMPLEX(1,C118*Calculations!$B$171*Calculations!$B$173),IMPRODUCT(COMPLEX(0,C118*Calculations!$B$160),COMPLEX((Calculations!$B$173+Calculations!$B$175),C118*Calculations!$B$171*Calculations!$B$173*Calculations!$B$175))))</f>
        <v>-0.378498402524742+0.392262896051993i</v>
      </c>
      <c r="V118" s="46">
        <f t="shared" si="32"/>
        <v>-5.270517133732544</v>
      </c>
      <c r="W118" s="46">
        <f t="shared" si="33"/>
        <v>133.97690301072981</v>
      </c>
      <c r="X118" s="46" t="str">
        <f t="shared" si="34"/>
        <v>0.837598421579174-0.197824900840943i</v>
      </c>
      <c r="Y118" s="46">
        <f t="shared" si="35"/>
        <v>-1.3035425041289121</v>
      </c>
      <c r="Z118" s="46">
        <f t="shared" si="36"/>
        <v>-13.288663724154105</v>
      </c>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row>
    <row r="119" spans="2:69">
      <c r="B119" s="94">
        <v>50000</v>
      </c>
      <c r="C119" s="97">
        <f t="shared" si="37"/>
        <v>314159.26535897929</v>
      </c>
      <c r="D119" s="100" t="str">
        <f t="shared" si="38"/>
        <v>0.00359460264825663-0.000446161030115978i</v>
      </c>
      <c r="E119" s="94">
        <f t="shared" si="14"/>
        <v>-48.820586223486593</v>
      </c>
      <c r="F119" s="101">
        <f t="shared" si="23"/>
        <v>-7.0753499029617188</v>
      </c>
      <c r="G119" s="6" t="str">
        <f t="shared" si="39"/>
        <v>5.76940751178795-297.682275733483i</v>
      </c>
      <c r="H119" s="94">
        <f t="shared" si="24"/>
        <v>49.476690562569026</v>
      </c>
      <c r="I119" s="101">
        <f t="shared" si="25"/>
        <v>-88.889684245279469</v>
      </c>
      <c r="J119" s="28" t="str">
        <f t="shared" si="40"/>
        <v>-0.112075503267775-1.07262358148925i</v>
      </c>
      <c r="K119" s="94">
        <f t="shared" si="26"/>
        <v>0.6561043390823853</v>
      </c>
      <c r="L119" s="101">
        <f t="shared" si="27"/>
        <v>-95.96503414824123</v>
      </c>
      <c r="M119" s="100">
        <f t="shared" si="41"/>
        <v>0.17017857142857146</v>
      </c>
      <c r="N119" s="101">
        <f t="shared" si="42"/>
        <v>2.5000000000000001E-3</v>
      </c>
      <c r="O119" s="104" t="str">
        <f t="shared" si="43"/>
        <v>0.743689955384331-2.76895166928721i</v>
      </c>
      <c r="P119" s="94">
        <f t="shared" si="21"/>
        <v>9.1488069864396113</v>
      </c>
      <c r="Q119" s="101">
        <f t="shared" si="28"/>
        <v>-74.966188925748853</v>
      </c>
      <c r="R119" s="104" t="str">
        <f t="shared" si="29"/>
        <v>-0.759981336529994-0.245237744935263i</v>
      </c>
      <c r="S119" s="94">
        <f t="shared" si="30"/>
        <v>-1.9537460477040538</v>
      </c>
      <c r="T119" s="101">
        <f t="shared" si="31"/>
        <v>-162.11567174037489</v>
      </c>
      <c r="U119" s="46" t="str">
        <f>IMPRODUCT(COMPLEX(-1,0),IMDIV(COMPLEX(1,C119*Calculations!$B$171*Calculations!$B$173),IMPRODUCT(COMPLEX(0,C119*Calculations!$B$160),COMPLEX((Calculations!$B$173+Calculations!$B$175),C119*Calculations!$B$171*Calculations!$B$173*Calculations!$B$175))))</f>
        <v>-0.297014162013663+0.380618357521678i</v>
      </c>
      <c r="V119" s="46">
        <f t="shared" si="32"/>
        <v>-6.3248055684828604</v>
      </c>
      <c r="W119" s="46">
        <f t="shared" si="33"/>
        <v>127.96656826934833</v>
      </c>
      <c r="X119" s="46" t="str">
        <f t="shared" si="34"/>
        <v>0.31906720749506-0.216423764751108i</v>
      </c>
      <c r="Y119" s="46">
        <f t="shared" si="35"/>
        <v>-8.2785516161869168</v>
      </c>
      <c r="Z119" s="46">
        <f t="shared" si="36"/>
        <v>-34.149103471026486</v>
      </c>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row>
    <row r="120" spans="2:69">
      <c r="B120" s="94">
        <v>60000</v>
      </c>
      <c r="C120" s="97">
        <f t="shared" si="37"/>
        <v>376991.11843077518</v>
      </c>
      <c r="D120" s="100" t="str">
        <f t="shared" si="38"/>
        <v>0.00359265734296925-0.000371823993663744i</v>
      </c>
      <c r="E120" s="94">
        <f t="shared" si="14"/>
        <v>-48.845412727717594</v>
      </c>
      <c r="F120" s="101">
        <f t="shared" si="23"/>
        <v>-5.9088201778010001</v>
      </c>
      <c r="G120" s="6" t="str">
        <f t="shared" si="39"/>
        <v>3.99905707982189-247.917487238561i</v>
      </c>
      <c r="H120" s="94">
        <f t="shared" si="24"/>
        <v>47.887273100033084</v>
      </c>
      <c r="I120" s="101">
        <f t="shared" si="25"/>
        <v>-89.075865016530798</v>
      </c>
      <c r="J120" s="28" t="str">
        <f t="shared" si="40"/>
        <v>-0.0778144284213468-0.892169526352409i</v>
      </c>
      <c r="K120" s="94">
        <f t="shared" si="26"/>
        <v>-0.95813962768452499</v>
      </c>
      <c r="L120" s="101">
        <f t="shared" si="27"/>
        <v>-94.984685194331803</v>
      </c>
      <c r="M120" s="100">
        <f t="shared" si="41"/>
        <v>0.17017857142857146</v>
      </c>
      <c r="N120" s="101">
        <f t="shared" si="42"/>
        <v>2.5000000000000001E-3</v>
      </c>
      <c r="O120" s="104" t="str">
        <f t="shared" si="43"/>
        <v>0.528939191679151-2.35924555103698i</v>
      </c>
      <c r="P120" s="94">
        <f t="shared" si="21"/>
        <v>7.6684515932381805</v>
      </c>
      <c r="Q120" s="101">
        <f t="shared" si="28"/>
        <v>-77.363336585249357</v>
      </c>
      <c r="R120" s="104" t="str">
        <f t="shared" si="29"/>
        <v>-0.477400117382229-0.103205488124204i</v>
      </c>
      <c r="S120" s="94">
        <f t="shared" si="30"/>
        <v>-6.2239828718845445</v>
      </c>
      <c r="T120" s="101">
        <f t="shared" si="31"/>
        <v>-167.80138400029821</v>
      </c>
      <c r="U120" s="46" t="str">
        <f>IMPRODUCT(COMPLEX(-1,0),IMDIV(COMPLEX(1,C120*Calculations!$B$171*Calculations!$B$173),IMPRODUCT(COMPLEX(0,C120*Calculations!$B$160),COMPLEX((Calculations!$B$173+Calculations!$B$175),C120*Calculations!$B$171*Calculations!$B$173*Calculations!$B$175))))</f>
        <v>-0.235142601988031+0.359455146028939i</v>
      </c>
      <c r="V120" s="46">
        <f t="shared" si="32"/>
        <v>-7.3400352292886222</v>
      </c>
      <c r="W120" s="46">
        <f t="shared" si="33"/>
        <v>123.19126552776721</v>
      </c>
      <c r="X120" s="46" t="str">
        <f t="shared" si="34"/>
        <v>0.149354849595322-0.147335921890892i</v>
      </c>
      <c r="Y120" s="46">
        <f t="shared" si="35"/>
        <v>-13.564018101173168</v>
      </c>
      <c r="Z120" s="46">
        <f t="shared" si="36"/>
        <v>-44.61011847253117</v>
      </c>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row>
    <row r="121" spans="2:69">
      <c r="B121" s="94">
        <v>70000</v>
      </c>
      <c r="C121" s="97">
        <f t="shared" si="37"/>
        <v>439822.97150257102</v>
      </c>
      <c r="D121" s="100" t="str">
        <f t="shared" si="38"/>
        <v>0.00359148426823534-0.000318718238461276i</v>
      </c>
      <c r="E121" s="94">
        <f t="shared" si="14"/>
        <v>-48.860452705123933</v>
      </c>
      <c r="F121" s="101">
        <f t="shared" si="23"/>
        <v>-5.0713010094154756</v>
      </c>
      <c r="G121" s="6" t="str">
        <f t="shared" si="39"/>
        <v>2.93477583019841-212.422647535163i</v>
      </c>
      <c r="H121" s="94">
        <f t="shared" si="24"/>
        <v>46.544845226478202</v>
      </c>
      <c r="I121" s="101">
        <f t="shared" si="25"/>
        <v>-89.208466830054476</v>
      </c>
      <c r="J121" s="28" t="str">
        <f t="shared" si="40"/>
        <v>-0.0571627708067328-0.763847963422316i</v>
      </c>
      <c r="K121" s="94">
        <f t="shared" si="26"/>
        <v>-2.3156074786457523</v>
      </c>
      <c r="L121" s="101">
        <f t="shared" si="27"/>
        <v>-94.279767839469955</v>
      </c>
      <c r="M121" s="100">
        <f t="shared" si="41"/>
        <v>0.17017857142857146</v>
      </c>
      <c r="N121" s="101">
        <f t="shared" si="42"/>
        <v>2.5000000000000001E-3</v>
      </c>
      <c r="O121" s="104" t="str">
        <f t="shared" si="43"/>
        <v>0.394358056782514-2.05002768383133i</v>
      </c>
      <c r="P121" s="94">
        <f t="shared" si="21"/>
        <v>6.3930035832878112</v>
      </c>
      <c r="Q121" s="101">
        <f t="shared" si="28"/>
        <v>-79.111185810505162</v>
      </c>
      <c r="R121" s="104" t="str">
        <f t="shared" si="29"/>
        <v>-0.329068400899978-0.0538388926443877i</v>
      </c>
      <c r="S121" s="94">
        <f t="shared" si="30"/>
        <v>-9.539552103376538</v>
      </c>
      <c r="T121" s="101">
        <f t="shared" si="31"/>
        <v>-170.70816057703854</v>
      </c>
      <c r="U121" s="46" t="str">
        <f>IMPRODUCT(COMPLEX(-1,0),IMDIV(COMPLEX(1,C121*Calculations!$B$171*Calculations!$B$173),IMPRODUCT(COMPLEX(0,C121*Calculations!$B$160),COMPLEX((Calculations!$B$173+Calculations!$B$175),C121*Calculations!$B$171*Calculations!$B$173*Calculations!$B$175))))</f>
        <v>-0.188689706884677+0.335308855449626i</v>
      </c>
      <c r="V121" s="46">
        <f t="shared" si="32"/>
        <v>-8.2963314516887525</v>
      </c>
      <c r="W121" s="46">
        <f t="shared" si="33"/>
        <v>119.36793897367357</v>
      </c>
      <c r="X121" s="46" t="str">
        <f t="shared" si="34"/>
        <v>0.0801444775820912-0.100180703998345i</v>
      </c>
      <c r="Y121" s="46">
        <f t="shared" si="35"/>
        <v>-17.835883555065298</v>
      </c>
      <c r="Z121" s="46">
        <f t="shared" si="36"/>
        <v>-51.340221603364895</v>
      </c>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row>
    <row r="122" spans="2:69">
      <c r="B122" s="94">
        <v>80000</v>
      </c>
      <c r="C122" s="97">
        <f t="shared" si="37"/>
        <v>502654.82457436691</v>
      </c>
      <c r="D122" s="100" t="str">
        <f t="shared" si="38"/>
        <v>0.00359072285050489-0.000278885250226628i</v>
      </c>
      <c r="E122" s="94">
        <f t="shared" si="14"/>
        <v>-48.87024278232127</v>
      </c>
      <c r="F122" s="101">
        <f t="shared" si="23"/>
        <v>-4.4411484829397967</v>
      </c>
      <c r="G122" s="6" t="str">
        <f t="shared" si="39"/>
        <v>2.2452959736302-185.825496775266i</v>
      </c>
      <c r="H122" s="94">
        <f t="shared" si="24"/>
        <v>45.382740049808916</v>
      </c>
      <c r="I122" s="101">
        <f t="shared" si="25"/>
        <v>-89.30773911389592</v>
      </c>
      <c r="J122" s="28" t="str">
        <f t="shared" si="40"/>
        <v>-0.0437617546079969-0.667874037406808i</v>
      </c>
      <c r="K122" s="94">
        <f t="shared" si="26"/>
        <v>-3.4875027325123735</v>
      </c>
      <c r="L122" s="101">
        <f t="shared" si="27"/>
        <v>-93.748887596835715</v>
      </c>
      <c r="M122" s="100">
        <f t="shared" si="41"/>
        <v>0.17017857142857146</v>
      </c>
      <c r="N122" s="101">
        <f t="shared" si="42"/>
        <v>2.5000000000000001E-3</v>
      </c>
      <c r="O122" s="104" t="str">
        <f t="shared" si="43"/>
        <v>0.304857899451934-1.80996103295089i</v>
      </c>
      <c r="P122" s="94">
        <f t="shared" si="21"/>
        <v>5.2748776920094098</v>
      </c>
      <c r="Q122" s="101">
        <f t="shared" si="28"/>
        <v>-80.43921531119868</v>
      </c>
      <c r="R122" s="104" t="str">
        <f t="shared" si="29"/>
        <v>-0.241671854227926-0.0319794220580771i</v>
      </c>
      <c r="S122" s="94">
        <f t="shared" si="30"/>
        <v>-12.260091150685486</v>
      </c>
      <c r="T122" s="101">
        <f t="shared" si="31"/>
        <v>-172.46208302689936</v>
      </c>
      <c r="U122" s="46" t="str">
        <f>IMPRODUCT(COMPLEX(-1,0),IMDIV(COMPLEX(1,C122*Calculations!$B$171*Calculations!$B$173),IMPRODUCT(COMPLEX(0,C122*Calculations!$B$160),COMPLEX((Calculations!$B$173+Calculations!$B$175),C122*Calculations!$B$171*Calculations!$B$173*Calculations!$B$175))))</f>
        <v>-0.153663041198106+0.311343986914022i</v>
      </c>
      <c r="V122" s="46">
        <f t="shared" si="32"/>
        <v>-9.1884212184364387</v>
      </c>
      <c r="W122" s="46">
        <f t="shared" si="33"/>
        <v>116.26852690958415</v>
      </c>
      <c r="X122" s="46" t="str">
        <f t="shared" si="34"/>
        <v>0.0470926328554164-0.0703290233710249i</v>
      </c>
      <c r="Y122" s="46">
        <f t="shared" si="35"/>
        <v>-21.448512369121925</v>
      </c>
      <c r="Z122" s="46">
        <f t="shared" si="36"/>
        <v>-56.193556117315225</v>
      </c>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row>
    <row r="123" spans="2:69">
      <c r="B123" s="94">
        <v>90000</v>
      </c>
      <c r="C123" s="97">
        <f t="shared" si="37"/>
        <v>565486.6776461628</v>
      </c>
      <c r="D123" s="100" t="str">
        <f t="shared" si="38"/>
        <v>0.00359020080358634-0.000247902139286993i</v>
      </c>
      <c r="E123" s="94">
        <f t="shared" si="14"/>
        <v>-48.876967878109959</v>
      </c>
      <c r="F123" s="101">
        <f t="shared" si="23"/>
        <v>-3.9499843169684956</v>
      </c>
      <c r="G123" s="6" t="str">
        <f t="shared" si="39"/>
        <v>1.77317219911989-165.151213551498i</v>
      </c>
      <c r="H123" s="94">
        <f t="shared" si="24"/>
        <v>44.358135993522659</v>
      </c>
      <c r="I123" s="101">
        <f t="shared" si="25"/>
        <v>-89.384858411769017</v>
      </c>
      <c r="J123" s="28" t="str">
        <f t="shared" si="40"/>
        <v>-0.0345752948910822-0.593365592787333i</v>
      </c>
      <c r="K123" s="94">
        <f t="shared" si="26"/>
        <v>-4.5188318845873034</v>
      </c>
      <c r="L123" s="101">
        <f t="shared" si="27"/>
        <v>-93.334842728737513</v>
      </c>
      <c r="M123" s="100">
        <f t="shared" si="41"/>
        <v>0.17017857142857146</v>
      </c>
      <c r="N123" s="101">
        <f t="shared" si="42"/>
        <v>2.5000000000000001E-3</v>
      </c>
      <c r="O123" s="104" t="str">
        <f t="shared" si="43"/>
        <v>0.242487320235929-1.61888110604294i</v>
      </c>
      <c r="P123" s="94">
        <f t="shared" si="21"/>
        <v>4.2806610135551058</v>
      </c>
      <c r="Q123" s="101">
        <f t="shared" si="28"/>
        <v>-81.481171046771507</v>
      </c>
      <c r="R123" s="104" t="str">
        <f t="shared" si="29"/>
        <v>-0.185597684178713-0.0207001103994783i</v>
      </c>
      <c r="S123" s="94">
        <f t="shared" si="30"/>
        <v>-14.57485846691961</v>
      </c>
      <c r="T123" s="101">
        <f t="shared" si="31"/>
        <v>-173.63597929485587</v>
      </c>
      <c r="U123" s="46" t="str">
        <f>IMPRODUCT(COMPLEX(-1,0),IMDIV(COMPLEX(1,C123*Calculations!$B$171*Calculations!$B$173),IMPRODUCT(COMPLEX(0,C123*Calculations!$B$160),COMPLEX((Calculations!$B$173+Calculations!$B$175),C123*Calculations!$B$171*Calculations!$B$173*Calculations!$B$175))))</f>
        <v>-0.126954185929733+0.28891593243955i</v>
      </c>
      <c r="V123" s="46">
        <f t="shared" si="32"/>
        <v>-10.017852211570236</v>
      </c>
      <c r="W123" s="46">
        <f t="shared" si="33"/>
        <v>113.72143880473355</v>
      </c>
      <c r="X123" s="46" t="str">
        <f t="shared" si="34"/>
        <v>0.0295429946030191-0.0509941623186926i</v>
      </c>
      <c r="Y123" s="46">
        <f t="shared" si="35"/>
        <v>-24.592710678489848</v>
      </c>
      <c r="Z123" s="46">
        <f t="shared" si="36"/>
        <v>-59.91454049012232</v>
      </c>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row>
    <row r="124" spans="2:69">
      <c r="B124" s="94">
        <v>100000</v>
      </c>
      <c r="C124" s="97">
        <f t="shared" si="37"/>
        <v>628318.53071795858</v>
      </c>
      <c r="D124" s="100" t="str">
        <f t="shared" si="38"/>
        <v>0.00358982737580164-0.000223114590031798i</v>
      </c>
      <c r="E124" s="94">
        <f t="shared" si="14"/>
        <v>-48.881784834227837</v>
      </c>
      <c r="F124" s="101">
        <f t="shared" si="23"/>
        <v>-3.5564668575349478</v>
      </c>
      <c r="G124" s="6" t="str">
        <f t="shared" si="39"/>
        <v>1.43575472945904-148.618708408953i</v>
      </c>
      <c r="H124" s="94">
        <f t="shared" si="24"/>
        <v>43.4418749547375</v>
      </c>
      <c r="I124" s="101">
        <f t="shared" si="25"/>
        <v>-89.446502204929615</v>
      </c>
      <c r="J124" s="28" t="str">
        <f t="shared" si="40"/>
        <v>-0.0280048905649702-0.533835845830592i</v>
      </c>
      <c r="K124" s="94">
        <f t="shared" si="26"/>
        <v>-5.4399098794903082</v>
      </c>
      <c r="L124" s="101">
        <f t="shared" si="27"/>
        <v>-93.002969062464558</v>
      </c>
      <c r="M124" s="100">
        <f t="shared" si="41"/>
        <v>0.17017857142857146</v>
      </c>
      <c r="N124" s="101">
        <f t="shared" si="42"/>
        <v>2.5000000000000001E-3</v>
      </c>
      <c r="O124" s="104" t="str">
        <f t="shared" si="43"/>
        <v>0.197359442204615-1.46352238167495i</v>
      </c>
      <c r="P124" s="94">
        <f t="shared" si="21"/>
        <v>3.3862549910355595</v>
      </c>
      <c r="Q124" s="101">
        <f t="shared" si="28"/>
        <v>-82.319860320506706</v>
      </c>
      <c r="R124" s="104" t="str">
        <f t="shared" si="29"/>
        <v>-0.147322466283075-0.014240921144632i</v>
      </c>
      <c r="S124" s="94">
        <f t="shared" si="30"/>
        <v>-16.59422783258394</v>
      </c>
      <c r="T124" s="101">
        <f t="shared" si="31"/>
        <v>-174.47866014342131</v>
      </c>
      <c r="U124" s="46" t="str">
        <f>IMPRODUCT(COMPLEX(-1,0),IMDIV(COMPLEX(1,C124*Calculations!$B$171*Calculations!$B$173),IMPRODUCT(COMPLEX(0,C124*Calculations!$B$160),COMPLEX((Calculations!$B$173+Calculations!$B$175),C124*Calculations!$B$171*Calculations!$B$173*Calculations!$B$175))))</f>
        <v>-0.106303356181288+0.268490034311965i</v>
      </c>
      <c r="V124" s="46">
        <f t="shared" si="32"/>
        <v>-10.789000772402144</v>
      </c>
      <c r="W124" s="46">
        <f t="shared" si="33"/>
        <v>111.60011650224517</v>
      </c>
      <c r="X124" s="46" t="str">
        <f t="shared" si="34"/>
        <v>0.0194844180135517-0.0380407563144787i</v>
      </c>
      <c r="Y124" s="46">
        <f t="shared" si="35"/>
        <v>-27.38322860498608</v>
      </c>
      <c r="Z124" s="46">
        <f t="shared" si="36"/>
        <v>-62.878543641176236</v>
      </c>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row>
    <row r="125" spans="2:69">
      <c r="B125" s="94">
        <v>200000</v>
      </c>
      <c r="C125" s="97">
        <f t="shared" si="37"/>
        <v>1256637.0614359172</v>
      </c>
      <c r="D125" s="100" t="str">
        <f t="shared" si="38"/>
        <v>0.00358863332973836-0.000111561555200916i</v>
      </c>
      <c r="E125" s="94">
        <f t="shared" si="14"/>
        <v>-48.897223142175918</v>
      </c>
      <c r="F125" s="101">
        <f t="shared" si="23"/>
        <v>-1.7806077495796755</v>
      </c>
      <c r="G125" s="6" t="str">
        <f t="shared" si="39"/>
        <v>0.358527524844241-74.2815674943748i</v>
      </c>
      <c r="H125" s="94">
        <f t="shared" si="24"/>
        <v>37.417722365906101</v>
      </c>
      <c r="I125" s="101">
        <f t="shared" si="25"/>
        <v>-89.723458252281659</v>
      </c>
      <c r="J125" s="28" t="str">
        <f t="shared" si="40"/>
        <v>-0.00700034336714963-0.266609306783777i</v>
      </c>
      <c r="K125" s="94">
        <f t="shared" si="26"/>
        <v>-11.479500776269809</v>
      </c>
      <c r="L125" s="101">
        <f t="shared" si="27"/>
        <v>-91.504066001861332</v>
      </c>
      <c r="M125" s="100">
        <f t="shared" si="41"/>
        <v>0.17017857142857146</v>
      </c>
      <c r="N125" s="101">
        <f t="shared" si="42"/>
        <v>2.5000000000000001E-3</v>
      </c>
      <c r="O125" s="104" t="str">
        <f t="shared" si="43"/>
        <v>0.0501104926718536-0.742413644557125i</v>
      </c>
      <c r="P125" s="94">
        <f t="shared" si="21"/>
        <v>-2.567340408091745</v>
      </c>
      <c r="Q125" s="101">
        <f t="shared" si="28"/>
        <v>-86.138579147199295</v>
      </c>
      <c r="R125" s="104" t="str">
        <f t="shared" si="29"/>
        <v>-0.034551775062447-0.00148253157361123i</v>
      </c>
      <c r="S125" s="94">
        <f t="shared" si="30"/>
        <v>-29.222604468847774</v>
      </c>
      <c r="T125" s="101">
        <f t="shared" si="31"/>
        <v>-177.54308624250751</v>
      </c>
      <c r="U125" s="46" t="str">
        <f>IMPRODUCT(COMPLEX(-1,0),IMDIV(COMPLEX(1,C125*Calculations!$B$171*Calculations!$B$173),IMPRODUCT(COMPLEX(0,C125*Calculations!$B$160),COMPLEX((Calculations!$B$173+Calculations!$B$175),C125*Calculations!$B$171*Calculations!$B$173*Calculations!$B$175))))</f>
        <v>-0.0297904252893441+0.149928046682673i</v>
      </c>
      <c r="V125" s="46">
        <f t="shared" si="32"/>
        <v>-16.314176978042724</v>
      </c>
      <c r="W125" s="46">
        <f t="shared" si="33"/>
        <v>101.23819282557737</v>
      </c>
      <c r="X125" s="46" t="str">
        <f t="shared" si="34"/>
        <v>0.00125158513658897-0.00513611489844901i</v>
      </c>
      <c r="Y125" s="46">
        <f t="shared" si="35"/>
        <v>-45.536781446890508</v>
      </c>
      <c r="Z125" s="46">
        <f t="shared" si="36"/>
        <v>-76.304893416930156</v>
      </c>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row>
    <row r="126" spans="2:69">
      <c r="B126" s="94">
        <v>300000</v>
      </c>
      <c r="C126" s="97">
        <f t="shared" si="37"/>
        <v>1884955.5921538759</v>
      </c>
      <c r="D126" s="100" t="str">
        <f t="shared" si="38"/>
        <v>0.00358841220008904-0.0000743748961065163i</v>
      </c>
      <c r="E126" s="94">
        <f t="shared" si="14"/>
        <v>-48.900088250109704</v>
      </c>
      <c r="F126" s="101">
        <f t="shared" si="23"/>
        <v>-1.1873657102819777</v>
      </c>
      <c r="G126" s="6" t="str">
        <f t="shared" si="39"/>
        <v>0.159311749145487-49.5176150380544i</v>
      </c>
      <c r="H126" s="94">
        <f t="shared" si="24"/>
        <v>33.895239336864336</v>
      </c>
      <c r="I126" s="101">
        <f t="shared" si="25"/>
        <v>-89.815664398371311</v>
      </c>
      <c r="J126" s="28" t="str">
        <f t="shared" si="40"/>
        <v>-0.00311119124964658-0.177701462716658i</v>
      </c>
      <c r="K126" s="94">
        <f t="shared" si="26"/>
        <v>-15.004848913245382</v>
      </c>
      <c r="L126" s="101">
        <f t="shared" si="27"/>
        <v>-91.003030108653277</v>
      </c>
      <c r="M126" s="100">
        <f t="shared" si="41"/>
        <v>0.17017857142857146</v>
      </c>
      <c r="N126" s="101">
        <f t="shared" si="42"/>
        <v>2.5000000000000001E-3</v>
      </c>
      <c r="O126" s="104" t="str">
        <f t="shared" si="43"/>
        <v>0.0223359340972684-0.496281962519702i</v>
      </c>
      <c r="P126" s="94">
        <f t="shared" si="21"/>
        <v>-6.07664205872066</v>
      </c>
      <c r="Q126" s="101">
        <f t="shared" si="28"/>
        <v>-87.423054201202163</v>
      </c>
      <c r="R126" s="104" t="str">
        <f t="shared" si="29"/>
        <v>-0.0151783350188548-0.000424793501750299i</v>
      </c>
      <c r="S126" s="94">
        <f t="shared" si="30"/>
        <v>-36.3721169763094</v>
      </c>
      <c r="T126" s="101">
        <f t="shared" si="31"/>
        <v>-178.3968911483675</v>
      </c>
      <c r="U126" s="46" t="str">
        <f>IMPRODUCT(COMPLEX(-1,0),IMDIV(COMPLEX(1,C126*Calculations!$B$171*Calculations!$B$173),IMPRODUCT(COMPLEX(0,C126*Calculations!$B$160),COMPLEX((Calculations!$B$173+Calculations!$B$175),C126*Calculations!$B$171*Calculations!$B$173*Calculations!$B$175))))</f>
        <v>-0.0135435622402707+0.102172135444406i</v>
      </c>
      <c r="V126" s="46">
        <f t="shared" si="32"/>
        <v>-19.737702618107594</v>
      </c>
      <c r="W126" s="46">
        <f t="shared" si="33"/>
        <v>97.550896951618526</v>
      </c>
      <c r="X126" s="46" t="str">
        <f t="shared" si="34"/>
        <v>0.000248970784228275-0.00154504968413679i</v>
      </c>
      <c r="Y126" s="46">
        <f t="shared" si="35"/>
        <v>-56.109819594416976</v>
      </c>
      <c r="Z126" s="46">
        <f t="shared" si="36"/>
        <v>-80.845994196749032</v>
      </c>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row>
    <row r="127" spans="2:69">
      <c r="B127" s="94">
        <v>400000</v>
      </c>
      <c r="C127" s="97">
        <f t="shared" si="37"/>
        <v>2513274.1228718343</v>
      </c>
      <c r="D127" s="100" t="str">
        <f t="shared" si="38"/>
        <v>0.00358833480397286-0.0000557813101490055i</v>
      </c>
      <c r="E127" s="94">
        <f t="shared" si="14"/>
        <v>-48.90109149418209</v>
      </c>
      <c r="F127" s="101">
        <f t="shared" si="23"/>
        <v>-0.89060146721272671</v>
      </c>
      <c r="G127" s="6" t="str">
        <f t="shared" si="39"/>
        <v>0.0896062020246565-37.1373109422335i</v>
      </c>
      <c r="H127" s="94">
        <f t="shared" si="24"/>
        <v>31.396234361983439</v>
      </c>
      <c r="I127" s="101">
        <f t="shared" si="25"/>
        <v>-89.861755008618545</v>
      </c>
      <c r="J127" s="28" t="str">
        <f t="shared" si="40"/>
        <v>-0.00175003080639189-0.133266103731325i</v>
      </c>
      <c r="K127" s="94">
        <f t="shared" si="26"/>
        <v>-17.504857132198651</v>
      </c>
      <c r="L127" s="101">
        <f t="shared" si="27"/>
        <v>-90.752356475831263</v>
      </c>
      <c r="M127" s="100">
        <f t="shared" si="41"/>
        <v>0.17017857142857146</v>
      </c>
      <c r="N127" s="101">
        <f t="shared" si="42"/>
        <v>2.5000000000000001E-3</v>
      </c>
      <c r="O127" s="104" t="str">
        <f t="shared" si="43"/>
        <v>0.0125767317047369-0.372564477640096i</v>
      </c>
      <c r="P127" s="94">
        <f t="shared" si="21"/>
        <v>-8.5710249327915999</v>
      </c>
      <c r="Q127" s="101">
        <f t="shared" si="28"/>
        <v>-88.066589382751971</v>
      </c>
      <c r="R127" s="104" t="str">
        <f t="shared" si="29"/>
        <v>-0.00850316048135871-0.000177124836151984i</v>
      </c>
      <c r="S127" s="94">
        <f t="shared" si="30"/>
        <v>-41.406508454876629</v>
      </c>
      <c r="T127" s="101">
        <f t="shared" si="31"/>
        <v>-178.80667451570056</v>
      </c>
      <c r="U127" s="46" t="str">
        <f>IMPRODUCT(COMPLEX(-1,0),IMDIV(COMPLEX(1,C127*Calculations!$B$171*Calculations!$B$173),IMPRODUCT(COMPLEX(0,C127*Calculations!$B$160),COMPLEX((Calculations!$B$173+Calculations!$B$175),C127*Calculations!$B$171*Calculations!$B$173*Calculations!$B$175))))</f>
        <v>-0.00767984280017204+0.0772300515406729i</v>
      </c>
      <c r="V127" s="46">
        <f t="shared" si="32"/>
        <v>-22.201539083060101</v>
      </c>
      <c r="W127" s="46">
        <f t="shared" si="33"/>
        <v>95.678886948573307</v>
      </c>
      <c r="X127" s="46" t="str">
        <f t="shared" si="34"/>
        <v>0.0000789822960266211-0.000655339231336293i</v>
      </c>
      <c r="Y127" s="46">
        <f t="shared" si="35"/>
        <v>-63.608047537936727</v>
      </c>
      <c r="Z127" s="46">
        <f t="shared" si="36"/>
        <v>-83.127787567127243</v>
      </c>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row>
    <row r="128" spans="2:69">
      <c r="B128" s="94">
        <v>500000</v>
      </c>
      <c r="C128" s="97">
        <f t="shared" si="37"/>
        <v>3141592.653589793</v>
      </c>
      <c r="D128" s="100" t="str">
        <f t="shared" si="38"/>
        <v>0.00358829898049794-0.0000446250992444117i</v>
      </c>
      <c r="E128" s="94">
        <f t="shared" si="14"/>
        <v>-48.901555933020333</v>
      </c>
      <c r="F128" s="101">
        <f t="shared" si="23"/>
        <v>-0.71250975995271681</v>
      </c>
      <c r="G128" s="6" t="str">
        <f t="shared" si="39"/>
        <v>0.057345997446512-29.709515376008i</v>
      </c>
      <c r="H128" s="94">
        <f t="shared" si="24"/>
        <v>29.457927533049894</v>
      </c>
      <c r="I128" s="101">
        <f t="shared" si="25"/>
        <v>-89.889406491370863</v>
      </c>
      <c r="J128" s="28" t="str">
        <f t="shared" si="40"/>
        <v>-0.00112001548798478-0.106609182805645i</v>
      </c>
      <c r="K128" s="94">
        <f t="shared" si="26"/>
        <v>-19.443628399970411</v>
      </c>
      <c r="L128" s="101">
        <f t="shared" si="27"/>
        <v>-90.601916251323573</v>
      </c>
      <c r="M128" s="100">
        <f t="shared" si="41"/>
        <v>0.17017857142857146</v>
      </c>
      <c r="N128" s="101">
        <f t="shared" si="42"/>
        <v>2.5000000000000001E-3</v>
      </c>
      <c r="O128" s="104" t="str">
        <f t="shared" si="43"/>
        <v>0.00805289639308431-0.298182489521455i</v>
      </c>
      <c r="P128" s="94">
        <f t="shared" si="21"/>
        <v>-10.507190872027765</v>
      </c>
      <c r="Q128" s="101">
        <f t="shared" si="28"/>
        <v>-88.453011604856016</v>
      </c>
      <c r="R128" s="104" t="str">
        <f t="shared" si="29"/>
        <v>-0.00543180145770574-0.0000901984376314891i</v>
      </c>
      <c r="S128" s="94">
        <f t="shared" si="30"/>
        <v>-45.299924866494123</v>
      </c>
      <c r="T128" s="101">
        <f t="shared" si="31"/>
        <v>-179.04865542396306</v>
      </c>
      <c r="U128" s="46" t="str">
        <f>IMPRODUCT(COMPLEX(-1,0),IMDIV(COMPLEX(1,C128*Calculations!$B$171*Calculations!$B$173),IMPRODUCT(COMPLEX(0,C128*Calculations!$B$160),COMPLEX((Calculations!$B$173+Calculations!$B$175),C128*Calculations!$B$171*Calculations!$B$173*Calculations!$B$175))))</f>
        <v>-0.00493356040050961+0.0620092059332525i</v>
      </c>
      <c r="V128" s="46">
        <f t="shared" si="32"/>
        <v>-24.123472097953563</v>
      </c>
      <c r="W128" s="46">
        <f t="shared" si="33"/>
        <v>94.54896970263357</v>
      </c>
      <c r="X128" s="46" t="str">
        <f t="shared" si="34"/>
        <v>0.000032391254069116-0.00033637669573933i</v>
      </c>
      <c r="Y128" s="46">
        <f t="shared" si="35"/>
        <v>-69.423396964447676</v>
      </c>
      <c r="Z128" s="46">
        <f t="shared" si="36"/>
        <v>-84.499685721329485</v>
      </c>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row>
    <row r="129" spans="1:69">
      <c r="B129" s="94">
        <v>600000</v>
      </c>
      <c r="C129" s="97">
        <f t="shared" si="37"/>
        <v>3769911.1843077517</v>
      </c>
      <c r="D129" s="100" t="str">
        <f t="shared" si="38"/>
        <v>0.00358827952079816-0.0000371876058468152i</v>
      </c>
      <c r="E129" s="94">
        <f t="shared" si="14"/>
        <v>-48.901808242049746</v>
      </c>
      <c r="F129" s="101">
        <f t="shared" si="23"/>
        <v>-0.59377107483775082</v>
      </c>
      <c r="G129" s="6" t="str">
        <f t="shared" si="39"/>
        <v>0.039822865518443-24.757778569116i</v>
      </c>
      <c r="H129" s="94">
        <f t="shared" si="24"/>
        <v>27.874244723076846</v>
      </c>
      <c r="I129" s="101">
        <f t="shared" si="25"/>
        <v>-89.907839867450889</v>
      </c>
      <c r="J129" s="28" t="str">
        <f t="shared" si="40"/>
        <v>-0.000777786938271685-0.0888393107370411i</v>
      </c>
      <c r="K129" s="94">
        <f t="shared" si="26"/>
        <v>-21.027563518972897</v>
      </c>
      <c r="L129" s="101">
        <f t="shared" si="27"/>
        <v>-90.501610942288636</v>
      </c>
      <c r="M129" s="100">
        <f t="shared" si="41"/>
        <v>0.17017857142857146</v>
      </c>
      <c r="N129" s="101">
        <f t="shared" si="42"/>
        <v>2.5000000000000001E-3</v>
      </c>
      <c r="O129" s="104" t="str">
        <f t="shared" si="43"/>
        <v>0.00559371918221419-0.248544709481372i</v>
      </c>
      <c r="P129" s="94">
        <f t="shared" si="21"/>
        <v>-12.089710326651367</v>
      </c>
      <c r="Q129" s="101">
        <f t="shared" si="28"/>
        <v>-88.710725301939746</v>
      </c>
      <c r="R129" s="104" t="str">
        <f t="shared" si="29"/>
        <v>-0.00376823667488492-0.0000520450007229179i</v>
      </c>
      <c r="S129" s="94">
        <f t="shared" si="30"/>
        <v>-48.476408187875755</v>
      </c>
      <c r="T129" s="101">
        <f t="shared" si="31"/>
        <v>-179.20870965526697</v>
      </c>
      <c r="U129" s="46" t="str">
        <f>IMPRODUCT(COMPLEX(-1,0),IMDIV(COMPLEX(1,C129*Calculations!$B$171*Calculations!$B$173),IMPRODUCT(COMPLEX(0,C129*Calculations!$B$160),COMPLEX((Calculations!$B$173+Calculations!$B$175),C129*Calculations!$B$171*Calculations!$B$173*Calculations!$B$175))))</f>
        <v>-0.00343308808856925+0.0517768566855917i</v>
      </c>
      <c r="V129" s="46">
        <f t="shared" si="32"/>
        <v>-25.698234839976415</v>
      </c>
      <c r="W129" s="46">
        <f t="shared" si="33"/>
        <v>93.79347006438006</v>
      </c>
      <c r="X129" s="46" t="str">
        <f t="shared" si="34"/>
        <v>0.0000156314149870893-0.000194928775200856i</v>
      </c>
      <c r="Y129" s="46">
        <f t="shared" si="35"/>
        <v>-74.17464302785217</v>
      </c>
      <c r="Z129" s="46">
        <f t="shared" si="36"/>
        <v>-85.415239590886898</v>
      </c>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row>
    <row r="130" spans="1:69">
      <c r="B130" s="94">
        <v>700000</v>
      </c>
      <c r="C130" s="97">
        <f t="shared" si="37"/>
        <v>4398229.7150257099</v>
      </c>
      <c r="D130" s="100" t="str">
        <f t="shared" si="38"/>
        <v>0.00358826778720124-0.0000318751026869245i</v>
      </c>
      <c r="E130" s="94">
        <f t="shared" si="14"/>
        <v>-48.901960383672652</v>
      </c>
      <c r="F130" s="101">
        <f t="shared" si="23"/>
        <v>-0.50895332453287823</v>
      </c>
      <c r="G130" s="6" t="str">
        <f t="shared" si="39"/>
        <v>0.029257285977861-21.2208750642012i</v>
      </c>
      <c r="H130" s="94">
        <f t="shared" si="24"/>
        <v>26.535274025275292</v>
      </c>
      <c r="I130" s="101">
        <f t="shared" si="25"/>
        <v>-89.921006181915672</v>
      </c>
      <c r="J130" s="28" t="str">
        <f t="shared" si="40"/>
        <v>-0.000571434594962514-0.0761471149880898i</v>
      </c>
      <c r="K130" s="94">
        <f t="shared" si="26"/>
        <v>-22.366686358397395</v>
      </c>
      <c r="L130" s="101">
        <f t="shared" si="27"/>
        <v>-90.42995950644854</v>
      </c>
      <c r="M130" s="100">
        <f t="shared" si="41"/>
        <v>0.17017857142857146</v>
      </c>
      <c r="N130" s="101">
        <f t="shared" si="42"/>
        <v>2.5000000000000001E-3</v>
      </c>
      <c r="O130" s="104" t="str">
        <f t="shared" si="43"/>
        <v>0.00411030499068442-0.213068983802376i</v>
      </c>
      <c r="P130" s="94">
        <f t="shared" si="21"/>
        <v>-13.427979420706091</v>
      </c>
      <c r="Q130" s="101">
        <f t="shared" si="28"/>
        <v>-88.894846554702795</v>
      </c>
      <c r="R130" s="104" t="str">
        <f t="shared" si="29"/>
        <v>-0.00276679792522495-0.0000327166839424711i</v>
      </c>
      <c r="S130" s="94">
        <f t="shared" si="30"/>
        <v>-51.159843965070699</v>
      </c>
      <c r="T130" s="101">
        <f t="shared" si="31"/>
        <v>-179.32252350942684</v>
      </c>
      <c r="U130" s="46" t="str">
        <f>IMPRODUCT(COMPLEX(-1,0),IMDIV(COMPLEX(1,C130*Calculations!$B$171*Calculations!$B$173),IMPRODUCT(COMPLEX(0,C130*Calculations!$B$160),COMPLEX((Calculations!$B$173+Calculations!$B$175),C130*Calculations!$B$171*Calculations!$B$173*Calculations!$B$175))))</f>
        <v>-0.002525381945342+0.044433321328617i</v>
      </c>
      <c r="V130" s="46">
        <f t="shared" si="32"/>
        <v>-27.031818250324243</v>
      </c>
      <c r="W130" s="46">
        <f t="shared" si="33"/>
        <v>93.252924268074239</v>
      </c>
      <c r="X130" s="46" t="str">
        <f t="shared" si="34"/>
        <v>8.44093245719542E-06-0.000122855399139931i</v>
      </c>
      <c r="Y130" s="46">
        <f t="shared" si="35"/>
        <v>-78.19166221539497</v>
      </c>
      <c r="Z130" s="46">
        <f t="shared" si="36"/>
        <v>-86.069599241352591</v>
      </c>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row>
    <row r="131" spans="1:69">
      <c r="B131" s="94">
        <v>800000</v>
      </c>
      <c r="C131" s="97">
        <f t="shared" si="37"/>
        <v>5026548.2457436686</v>
      </c>
      <c r="D131" s="100" t="str">
        <f t="shared" si="38"/>
        <v>0.00358826017164082-0.0000278907216438656i</v>
      </c>
      <c r="E131" s="94">
        <f t="shared" si="14"/>
        <v>-48.902059132350956</v>
      </c>
      <c r="F131" s="101">
        <f t="shared" si="23"/>
        <v>-0.44533795781643953</v>
      </c>
      <c r="G131" s="6" t="str">
        <f t="shared" si="39"/>
        <v>0.0223999458406137-18.5682213872057i</v>
      </c>
      <c r="H131" s="94">
        <f t="shared" si="24"/>
        <v>25.375412430937097</v>
      </c>
      <c r="I131" s="101">
        <f t="shared" si="25"/>
        <v>-89.93088073926755</v>
      </c>
      <c r="J131" s="28" t="str">
        <f t="shared" si="40"/>
        <v>-0.000437504260625439-0.0666282340125737i</v>
      </c>
      <c r="K131" s="94">
        <f t="shared" si="26"/>
        <v>-23.526646701413867</v>
      </c>
      <c r="L131" s="101">
        <f t="shared" si="27"/>
        <v>-90.376218697083985</v>
      </c>
      <c r="M131" s="100">
        <f t="shared" si="41"/>
        <v>0.17017857142857146</v>
      </c>
      <c r="N131" s="101">
        <f t="shared" si="42"/>
        <v>2.5000000000000001E-3</v>
      </c>
      <c r="O131" s="104" t="str">
        <f t="shared" si="43"/>
        <v>0.00314726726405302-0.186452778124189i</v>
      </c>
      <c r="P131" s="94">
        <f t="shared" si="21"/>
        <v>-14.587385591987598</v>
      </c>
      <c r="Q131" s="101">
        <f t="shared" si="28"/>
        <v>-89.03295617457546</v>
      </c>
      <c r="R131" s="104" t="str">
        <f t="shared" si="29"/>
        <v>-0.00211748428244098-0.0000218924393374648i</v>
      </c>
      <c r="S131" s="94">
        <f t="shared" si="30"/>
        <v>-53.483131888752162</v>
      </c>
      <c r="T131" s="101">
        <f t="shared" si="31"/>
        <v>-179.40764628236235</v>
      </c>
      <c r="U131" s="46" t="str">
        <f>IMPRODUCT(COMPLEX(-1,0),IMDIV(COMPLEX(1,C131*Calculations!$B$171*Calculations!$B$173),IMPRODUCT(COMPLEX(0,C131*Calculations!$B$160),COMPLEX((Calculations!$B$173+Calculations!$B$175),C131*Calculations!$B$171*Calculations!$B$173*Calculations!$B$175))))</f>
        <v>-0.00193504568760449+0.0389094068040094i</v>
      </c>
      <c r="V131" s="46">
        <f t="shared" si="32"/>
        <v>-28.188179748392983</v>
      </c>
      <c r="W131" s="46">
        <f t="shared" si="33"/>
        <v>92.847092552514084</v>
      </c>
      <c r="X131" s="46" t="str">
        <f t="shared" si="34"/>
        <v>4.94925065742122E-06-0.0000823476944762609i</v>
      </c>
      <c r="Y131" s="46">
        <f t="shared" si="35"/>
        <v>-81.671311637145152</v>
      </c>
      <c r="Z131" s="46">
        <f t="shared" si="36"/>
        <v>-86.560553729848266</v>
      </c>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row>
    <row r="132" spans="1:69">
      <c r="B132" s="94">
        <v>900000</v>
      </c>
      <c r="C132" s="97">
        <f t="shared" si="37"/>
        <v>5654866.7764616273</v>
      </c>
      <c r="D132" s="100" t="str">
        <f t="shared" si="38"/>
        <v>0.00358825495043554-0.0000247917567119942i</v>
      </c>
      <c r="E132" s="94">
        <f t="shared" si="14"/>
        <v>-48.902126835444868</v>
      </c>
      <c r="F132" s="101">
        <f t="shared" si="23"/>
        <v>-0.39585827764996501</v>
      </c>
      <c r="G132" s="6" t="str">
        <f t="shared" si="39"/>
        <v>0.0176986339431553-16.5050586839517i</v>
      </c>
      <c r="H132" s="94">
        <f t="shared" si="24"/>
        <v>24.352346449955601</v>
      </c>
      <c r="I132" s="101">
        <f t="shared" si="25"/>
        <v>-89.938560858290003</v>
      </c>
      <c r="J132" s="28" t="str">
        <f t="shared" si="40"/>
        <v>-0.000345682188547246-0.0592247973101456i</v>
      </c>
      <c r="K132" s="94">
        <f t="shared" si="26"/>
        <v>-24.549780385489278</v>
      </c>
      <c r="L132" s="101">
        <f t="shared" si="27"/>
        <v>-90.334419135939953</v>
      </c>
      <c r="M132" s="100">
        <f t="shared" si="41"/>
        <v>0.17017857142857146</v>
      </c>
      <c r="N132" s="101">
        <f t="shared" si="42"/>
        <v>2.5000000000000001E-3</v>
      </c>
      <c r="O132" s="104" t="str">
        <f t="shared" si="43"/>
        <v>0.00248690035932429-0.165746419005051i</v>
      </c>
      <c r="P132" s="94">
        <f t="shared" si="21"/>
        <v>-15.610139311289617</v>
      </c>
      <c r="Q132" s="101">
        <f t="shared" si="28"/>
        <v>-89.140384424366559</v>
      </c>
      <c r="R132" s="104" t="str">
        <f t="shared" si="29"/>
        <v>-0.0016726162774232-0.0000153636467296277i</v>
      </c>
      <c r="S132" s="94">
        <f t="shared" si="30"/>
        <v>-55.531707216524808</v>
      </c>
      <c r="T132" s="101">
        <f t="shared" si="31"/>
        <v>-179.47373024402924</v>
      </c>
      <c r="U132" s="46" t="str">
        <f>IMPRODUCT(COMPLEX(-1,0),IMDIV(COMPLEX(1,C132*Calculations!$B$171*Calculations!$B$173),IMPRODUCT(COMPLEX(0,C132*Calculations!$B$160),COMPLEX((Calculations!$B$173+Calculations!$B$175),C132*Calculations!$B$171*Calculations!$B$173*Calculations!$B$175))))</f>
        <v>-0.0015297658410198+0.0346045996329517i</v>
      </c>
      <c r="V132" s="46">
        <f t="shared" si="32"/>
        <v>-29.208844462195689</v>
      </c>
      <c r="W132" s="46">
        <f t="shared" si="33"/>
        <v>92.531226996849</v>
      </c>
      <c r="X132" s="46" t="str">
        <f t="shared" si="34"/>
        <v>3.09036409031658E-06-0.0000578567138378274i</v>
      </c>
      <c r="Y132" s="46">
        <f t="shared" si="35"/>
        <v>-84.740551678720507</v>
      </c>
      <c r="Z132" s="46">
        <f t="shared" si="36"/>
        <v>-86.942503247180284</v>
      </c>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row>
    <row r="133" spans="1:69" ht="14.25" thickBot="1">
      <c r="B133" s="116">
        <v>1000000</v>
      </c>
      <c r="C133" s="117">
        <f t="shared" si="37"/>
        <v>6283185.307179586</v>
      </c>
      <c r="D133" s="118" t="str">
        <f t="shared" si="38"/>
        <v>0.00358825121573706-0.0000223125837057685i</v>
      </c>
      <c r="E133" s="116">
        <f t="shared" si="14"/>
        <v>-48.902175263731024</v>
      </c>
      <c r="F133" s="119">
        <f t="shared" si="23"/>
        <v>-0.35627394031874438</v>
      </c>
      <c r="G133" s="120" t="str">
        <f t="shared" si="39"/>
        <v>0.0143358421045569-14.8545354380686i</v>
      </c>
      <c r="H133" s="116">
        <f t="shared" si="24"/>
        <v>23.437185528775576</v>
      </c>
      <c r="I133" s="119">
        <f t="shared" si="25"/>
        <v>-89.944704901962481</v>
      </c>
      <c r="J133" s="121" t="str">
        <f t="shared" si="40"/>
        <v>-0.000280002462511919-0.0533021247145356i</v>
      </c>
      <c r="K133" s="116">
        <f t="shared" si="26"/>
        <v>-25.464989734955488</v>
      </c>
      <c r="L133" s="119">
        <f t="shared" si="27"/>
        <v>-90.300978842281225</v>
      </c>
      <c r="M133" s="118">
        <f t="shared" si="41"/>
        <v>0.17017857142857146</v>
      </c>
      <c r="N133" s="119">
        <f t="shared" si="42"/>
        <v>2.5000000000000001E-3</v>
      </c>
      <c r="O133" s="122" t="str">
        <f t="shared" si="43"/>
        <v>0.00201448818642566-0.149178612262045i</v>
      </c>
      <c r="P133" s="116">
        <f t="shared" si="21"/>
        <v>-16.525076860983884</v>
      </c>
      <c r="Q133" s="119">
        <f t="shared" si="28"/>
        <v>-89.226332420618661</v>
      </c>
      <c r="R133" s="122" t="str">
        <f t="shared" si="29"/>
        <v>-0.00135455407538668-0.0000111937867503669i</v>
      </c>
      <c r="S133" s="116">
        <f t="shared" si="30"/>
        <v>-57.363776482319466</v>
      </c>
      <c r="T133" s="119">
        <f t="shared" si="31"/>
        <v>-179.52652895129307</v>
      </c>
      <c r="U133" s="46" t="str">
        <f>IMPRODUCT(COMPLEX(-1,0),IMDIV(COMPLEX(1,C133*Calculations!$B$171*Calculations!$B$173),IMPRODUCT(COMPLEX(0,C133*Calculations!$B$160),COMPLEX((Calculations!$B$173+Calculations!$B$175),C133*Calculations!$B$171*Calculations!$B$173*Calculations!$B$175))))</f>
        <v>-0.00123959797148814+0.0311560349433378i</v>
      </c>
      <c r="V133" s="46">
        <f t="shared" si="32"/>
        <v>-30.122286965344255</v>
      </c>
      <c r="W133" s="46">
        <f t="shared" si="33"/>
        <v>92.278412230401671</v>
      </c>
      <c r="X133" s="46" t="str">
        <f t="shared" si="34"/>
        <v>2.02785649526302E-06-0.000042188658310039i</v>
      </c>
      <c r="Y133" s="46">
        <f t="shared" si="35"/>
        <v>-87.486063447663724</v>
      </c>
      <c r="Z133" s="46">
        <f t="shared" si="36"/>
        <v>-87.248116720891403</v>
      </c>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row>
    <row r="134" spans="1:69">
      <c r="A134" s="92" t="s">
        <v>443</v>
      </c>
      <c r="B134" s="126">
        <f>Calculations!B165</f>
        <v>1000</v>
      </c>
      <c r="C134" s="127">
        <f t="shared" si="37"/>
        <v>6283.1853071795858</v>
      </c>
      <c r="D134" s="128" t="str">
        <f t="shared" si="38"/>
        <v>0.0141380605489828-0.0147845425290151i</v>
      </c>
      <c r="E134" s="127">
        <f t="shared" si="14"/>
        <v>-33.783383134184319</v>
      </c>
      <c r="F134" s="127">
        <f t="shared" ref="F134" si="44">IMARGUMENT(D134)*(180/PI())</f>
        <v>-46.280469880387443</v>
      </c>
      <c r="G134" s="127" t="str">
        <f t="shared" si="39"/>
        <v>2462.72269001324+1911.88798786783i</v>
      </c>
      <c r="H134" s="127">
        <f t="shared" si="24"/>
        <v>69.876805055332085</v>
      </c>
      <c r="I134" s="127">
        <f t="shared" ref="I134" si="45">IMARGUMENT(G134)*(180/PI())</f>
        <v>37.823298204663544</v>
      </c>
      <c r="J134" s="128" t="str">
        <f t="shared" si="40"/>
        <v>63.084511774106-9.3798402123229i</v>
      </c>
      <c r="K134" s="127">
        <f t="shared" si="26"/>
        <v>36.093421921147765</v>
      </c>
      <c r="L134" s="127">
        <f t="shared" ref="L134" si="46">IMARGUMENT(J134)*(180/PI())</f>
        <v>-8.4571716757238633</v>
      </c>
      <c r="M134" s="128">
        <f t="shared" si="41"/>
        <v>0.17017857142857146</v>
      </c>
      <c r="N134" s="127">
        <f t="shared" si="42"/>
        <v>2.5000000000000001E-3</v>
      </c>
      <c r="O134" s="127" t="str">
        <f t="shared" si="43"/>
        <v>9.57924103338031-10.609253554907i</v>
      </c>
      <c r="P134" s="127">
        <f t="shared" si="21"/>
        <v>23.103068833542398</v>
      </c>
      <c r="Q134" s="127">
        <f t="shared" ref="Q134" si="47">IMARGUMENT(O134)*(180/PI())</f>
        <v>-47.920685535875108</v>
      </c>
      <c r="R134" s="127" t="str">
        <f t="shared" ref="R134" si="48">IMDIV(IMPRODUCT(J134,O134,COMPLEX(M134,0)),IMSUM(COMPLEX(1,0),IMPRODUCT(G134,O134,COMPLEX(N134,0),COMPLEX(M134,0))))</f>
        <v>5.32623758026504-5.66871646477891i</v>
      </c>
      <c r="S134" s="127">
        <f t="shared" si="30"/>
        <v>17.817780084823699</v>
      </c>
      <c r="T134" s="127">
        <f t="shared" ref="T134" si="49">IMARGUMENT(R134)*(180/PI())</f>
        <v>-46.784114061282132</v>
      </c>
      <c r="U134" s="110" t="str">
        <f>IMPRODUCT(COMPLEX(-1,0),IMDIV(COMPLEX(1,C134*Calculations!$B$171*Calculations!$B$173),IMPRODUCT(COMPLEX(0,C134*Calculations!$B$160),COMPLEX((Calculations!$B$173+Calculations!$B$175),C134*Calculations!$B$171*Calculations!$B$173*Calculations!$B$175))))</f>
        <v>-0.738416704949225+0.935861175690384i</v>
      </c>
      <c r="V134" s="127">
        <f t="shared" si="32"/>
        <v>1.5262322459226729</v>
      </c>
      <c r="W134" s="127">
        <f t="shared" si="33"/>
        <v>128.27427899376835</v>
      </c>
      <c r="X134" s="127" t="str">
        <f t="shared" si="34"/>
        <v>1.37214885158738+9.17049389708661i</v>
      </c>
      <c r="Y134" s="127">
        <f t="shared" si="35"/>
        <v>19.344012330746374</v>
      </c>
      <c r="Z134" s="132">
        <f t="shared" si="36"/>
        <v>81.490164932486238</v>
      </c>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row>
    <row r="135" spans="1:69">
      <c r="A135" t="s">
        <v>446</v>
      </c>
      <c r="B135" s="114">
        <f>Calculations!B176*1000</f>
        <v>1205.719265847692</v>
      </c>
      <c r="C135" s="110">
        <f t="shared" si="37"/>
        <v>7575.757575757576</v>
      </c>
      <c r="D135" s="111" t="str">
        <f t="shared" si="38"/>
        <v>0.0116993357716521-0.0137053018977976i</v>
      </c>
      <c r="E135" s="110">
        <f t="shared" si="14"/>
        <v>-34.885046605225071</v>
      </c>
      <c r="F135" s="110">
        <f t="shared" ref="F135:F136" si="50">IMARGUMENT(D135)*(180/PI())</f>
        <v>-49.514743428251677</v>
      </c>
      <c r="G135" s="110" t="str">
        <f t="shared" si="39"/>
        <v>2964.46816211356+2311.11582591388i</v>
      </c>
      <c r="H135" s="110">
        <f t="shared" si="24"/>
        <v>71.501215022475805</v>
      </c>
      <c r="I135" s="110">
        <f t="shared" ref="I135:I136" si="51">IMARGUMENT(G135)*(180/PI())</f>
        <v>37.940176683919262</v>
      </c>
      <c r="J135" s="111" t="str">
        <f t="shared" si="40"/>
        <v>66.3568485278665-13.5904110736301i</v>
      </c>
      <c r="K135" s="110">
        <f t="shared" si="26"/>
        <v>36.616168417250741</v>
      </c>
      <c r="L135" s="110">
        <f t="shared" ref="L135:L136" si="52">IMARGUMENT(J135)*(180/PI())</f>
        <v>-11.574566744332508</v>
      </c>
      <c r="M135" s="111">
        <f t="shared" si="41"/>
        <v>0.17017857142857146</v>
      </c>
      <c r="N135" s="110">
        <f t="shared" si="42"/>
        <v>2.5000000000000001E-3</v>
      </c>
      <c r="O135" s="110" t="str">
        <f t="shared" si="43"/>
        <v>9.55862068965519-9.04655172413794i</v>
      </c>
      <c r="P135" s="110">
        <f t="shared" si="21"/>
        <v>22.385662610239368</v>
      </c>
      <c r="Q135" s="110">
        <f t="shared" ref="Q135:Q136" si="53">IMARGUMENT(O135)*(180/PI())</f>
        <v>-43.423449944816248</v>
      </c>
      <c r="R135" s="110" t="str">
        <f t="shared" ref="R135:R136" si="54">IMDIV(IMPRODUCT(J135,O135,COMPLEX(M135,0)),IMSUM(COMPLEX(1,0),IMPRODUCT(G135,O135,COMPLEX(N135,0),COMPLEX(M135,0))))</f>
        <v>4.44562364202313-5.25382241344209i</v>
      </c>
      <c r="S135" s="110">
        <f t="shared" si="30"/>
        <v>16.754687233859066</v>
      </c>
      <c r="T135" s="110">
        <f t="shared" ref="T135:T136" si="55">IMARGUMENT(R135)*(180/PI())</f>
        <v>-49.763123103108121</v>
      </c>
      <c r="U135" s="110" t="str">
        <f>IMPRODUCT(COMPLEX(-1,0),IMDIV(COMPLEX(1,C135*Calculations!$B$171*Calculations!$B$173),IMPRODUCT(COMPLEX(0,C135*Calculations!$B$160),COMPLEX((Calculations!$B$173+Calculations!$B$175),C135*Calculations!$B$171*Calculations!$B$173*Calculations!$B$175))))</f>
        <v>-0.738217499618691+0.782957954141036i</v>
      </c>
      <c r="V135" s="110">
        <f t="shared" si="32"/>
        <v>0.6370414692806059</v>
      </c>
      <c r="W135" s="110">
        <f t="shared" ref="W135:W136" si="56">IMARGUMENT(U135)*(180/PI())</f>
        <v>133.31531568210372</v>
      </c>
      <c r="X135" s="110" t="str">
        <f t="shared" ref="X135:X136" si="57">IMPRODUCT(U135,R135)</f>
        <v>0.831684878988885+7.35920003713131i</v>
      </c>
      <c r="Y135" s="110">
        <f t="shared" si="35"/>
        <v>17.39172870313968</v>
      </c>
      <c r="Z135" s="133">
        <f t="shared" ref="Z135:Z136" si="58">IMARGUMENT(X135)*(180/PI())</f>
        <v>83.552192578995601</v>
      </c>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row>
    <row r="136" spans="1:69" ht="14.25" thickBot="1">
      <c r="A136" t="s">
        <v>447</v>
      </c>
      <c r="B136" s="115">
        <f>Calculations!B177*1000</f>
        <v>39788.735772973829</v>
      </c>
      <c r="C136" s="112">
        <f t="shared" si="37"/>
        <v>249999.99999999997</v>
      </c>
      <c r="D136" s="131" t="str">
        <f t="shared" si="38"/>
        <v>0.00359828903110136-0.000560596374211649i</v>
      </c>
      <c r="E136" s="112">
        <f t="shared" si="14"/>
        <v>-48.773925402365833</v>
      </c>
      <c r="F136" s="112">
        <f t="shared" si="50"/>
        <v>-8.8552236315025805</v>
      </c>
      <c r="G136" s="112" t="str">
        <f t="shared" si="39"/>
        <v>9.14299009793533-374.510620168564i</v>
      </c>
      <c r="H136" s="112">
        <f t="shared" si="24"/>
        <v>51.47187038971186</v>
      </c>
      <c r="I136" s="112">
        <f t="shared" si="51"/>
        <v>-88.601506390499296</v>
      </c>
      <c r="J136" s="131" t="str">
        <f t="shared" si="40"/>
        <v>-0.177050174789384-1.35272298368187i</v>
      </c>
      <c r="K136" s="112">
        <f t="shared" si="26"/>
        <v>2.6979449873460428</v>
      </c>
      <c r="L136" s="112">
        <f t="shared" si="52"/>
        <v>-97.45673002200185</v>
      </c>
      <c r="M136" s="131">
        <f t="shared" si="41"/>
        <v>0.17017857142857146</v>
      </c>
      <c r="N136" s="112">
        <f t="shared" si="42"/>
        <v>2.5000000000000001E-3</v>
      </c>
      <c r="O136" s="112" t="str">
        <f t="shared" si="43"/>
        <v>1.12408759124087-3.34124087591241i</v>
      </c>
      <c r="P136" s="112">
        <f t="shared" si="21"/>
        <v>10.943824963986973</v>
      </c>
      <c r="Q136" s="112">
        <f t="shared" si="53"/>
        <v>-71.405610067651452</v>
      </c>
      <c r="R136" s="112" t="str">
        <f t="shared" si="54"/>
        <v>-1.34262720897909-0.881400972507849i</v>
      </c>
      <c r="S136" s="112">
        <f t="shared" si="30"/>
        <v>4.1153814127315504</v>
      </c>
      <c r="T136" s="112">
        <f t="shared" si="55"/>
        <v>-146.71610875469403</v>
      </c>
      <c r="U136" s="110" t="str">
        <f>IMPRODUCT(COMPLEX(-1,0),IMDIV(COMPLEX(1,C136*Calculations!$B$171*Calculations!$B$173),IMPRODUCT(COMPLEX(0,C136*Calculations!$B$160),COMPLEX((Calculations!$B$173+Calculations!$B$175),C136*Calculations!$B$171*Calculations!$B$173*Calculations!$B$175))))</f>
        <v>-0.380453294903708+0.392331542862134i</v>
      </c>
      <c r="V136" s="112">
        <f t="shared" si="32"/>
        <v>-5.2481021693866561</v>
      </c>
      <c r="W136" s="112">
        <f t="shared" si="56"/>
        <v>134.11939280733836</v>
      </c>
      <c r="X136" s="112" t="str">
        <f t="shared" si="57"/>
        <v>0.856608348907654-0.191423100265504i</v>
      </c>
      <c r="Y136" s="112">
        <f t="shared" si="35"/>
        <v>-1.1327207566551016</v>
      </c>
      <c r="Z136" s="113">
        <f t="shared" si="58"/>
        <v>-12.59671594735574</v>
      </c>
    </row>
    <row r="137" spans="1:69" ht="14.25" thickBot="1">
      <c r="A137" t="s">
        <v>448</v>
      </c>
      <c r="B137" s="134">
        <f>Calculations!B162</f>
        <v>795.45653284633818</v>
      </c>
      <c r="C137" s="112">
        <f t="shared" si="37"/>
        <v>4998.0007996801278</v>
      </c>
      <c r="D137" s="131" t="str">
        <f t="shared" si="38"/>
        <v>0.0175309081571514-0.0155426517161688i</v>
      </c>
      <c r="E137" s="112">
        <f t="shared" si="14"/>
        <v>-32.605014181605277</v>
      </c>
      <c r="F137" s="112">
        <f t="shared" ref="F137" si="59">IMARGUMENT(D137)*(180/PI())</f>
        <v>-41.559736312322435</v>
      </c>
      <c r="G137" s="112" t="str">
        <f t="shared" si="39"/>
        <v>2110.74987041512+1506.0048169858i</v>
      </c>
      <c r="H137" s="112">
        <f t="shared" si="24"/>
        <v>68.275834931112897</v>
      </c>
      <c r="I137" s="112">
        <f t="shared" ref="I137" si="60">IMARGUMENT(G137)*(180/PI())</f>
        <v>35.507583729993129</v>
      </c>
      <c r="J137" s="131" t="str">
        <f t="shared" si="40"/>
        <v>60.4106704742496-6.40501796500507i</v>
      </c>
      <c r="K137" s="112">
        <f t="shared" si="26"/>
        <v>35.670820749507634</v>
      </c>
      <c r="L137" s="112">
        <f t="shared" ref="L137" si="61">IMARGUMENT(J137)*(180/PI())</f>
        <v>-6.0521525823293967</v>
      </c>
      <c r="M137" s="131">
        <f t="shared" si="41"/>
        <v>0.17017857142857146</v>
      </c>
      <c r="N137" s="112">
        <f t="shared" si="42"/>
        <v>2.5000000000000001E-3</v>
      </c>
      <c r="O137" s="112" t="str">
        <f t="shared" si="43"/>
        <v>9.59599532253206-13.0325687152532i</v>
      </c>
      <c r="P137" s="112">
        <f t="shared" si="21"/>
        <v>24.181868571329556</v>
      </c>
      <c r="Q137" s="112">
        <f t="shared" ref="Q137" si="62">IMARGUMENT(O137)*(180/PI())</f>
        <v>-53.635456289302631</v>
      </c>
      <c r="R137" s="112" t="str">
        <f t="shared" ref="R137" si="63">IMDIV(IMPRODUCT(J137,O137,COMPLEX(M137,0)),IMSUM(COMPLEX(1,0),IMPRODUCT(G137,O137,COMPLEX(N137,0),COMPLEX(M137,0))))</f>
        <v>6.55849134897625-6.0113680713484i</v>
      </c>
      <c r="S137" s="112">
        <f t="shared" si="30"/>
        <v>18.984528663247776</v>
      </c>
      <c r="T137" s="112">
        <f t="shared" ref="T137" si="64">IMARGUMENT(R137)*(180/PI())</f>
        <v>-42.507682524017838</v>
      </c>
      <c r="U137" s="110" t="str">
        <f>IMPRODUCT(COMPLEX(-1,0),IMDIV(COMPLEX(1,C137*Calculations!$B$171*Calculations!$B$173),IMPRODUCT(COMPLEX(0,C137*Calculations!$B$160),COMPLEX((Calculations!$B$173+Calculations!$B$175),C137*Calculations!$B$171*Calculations!$B$173*Calculations!$B$175))))</f>
        <v>-0.738578010123643+1.16819526850203i</v>
      </c>
      <c r="V137" s="112">
        <f t="shared" si="32"/>
        <v>2.8107376212039665</v>
      </c>
      <c r="W137" s="112">
        <f t="shared" ref="W137" si="65">IMARGUMENT(U137)*(180/PI())</f>
        <v>122.30264971423018</v>
      </c>
      <c r="X137" s="112" t="str">
        <f t="shared" ref="X137" si="66">IMPRODUCT(U137,R137)</f>
        <v>2.17849424823337+12.1014628306429i</v>
      </c>
      <c r="Y137" s="112">
        <f t="shared" si="35"/>
        <v>21.795266284451777</v>
      </c>
      <c r="Z137" s="113">
        <f t="shared" ref="Z137" si="67">IMARGUMENT(X137)*(180/PI())</f>
        <v>79.794967190212404</v>
      </c>
    </row>
    <row r="165" spans="2:93" ht="32.25" thickBot="1">
      <c r="B165" s="32" t="s">
        <v>392</v>
      </c>
    </row>
    <row r="166" spans="2:93">
      <c r="B166" s="230" t="s">
        <v>33</v>
      </c>
      <c r="C166" s="231"/>
      <c r="D166" s="237" t="s">
        <v>31</v>
      </c>
      <c r="E166" s="226"/>
      <c r="F166" s="226"/>
      <c r="G166" s="226" t="s">
        <v>386</v>
      </c>
      <c r="H166" s="226"/>
      <c r="I166" s="226"/>
      <c r="J166" s="226" t="s">
        <v>387</v>
      </c>
      <c r="K166" s="226"/>
      <c r="L166" s="226"/>
      <c r="M166" s="226"/>
      <c r="N166" s="226"/>
      <c r="O166" s="226"/>
      <c r="P166" s="226"/>
      <c r="Q166" s="226"/>
      <c r="R166" s="226"/>
      <c r="S166" s="226"/>
      <c r="T166" s="226"/>
      <c r="U166" s="90"/>
      <c r="V166" s="90"/>
      <c r="W166" s="90"/>
      <c r="X166" s="90"/>
      <c r="Y166" s="90"/>
      <c r="Z166" s="90"/>
      <c r="AA166" s="90"/>
      <c r="AB166" s="229"/>
      <c r="AC166" s="229"/>
      <c r="AD166" s="229"/>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row>
    <row r="167" spans="2:93" ht="14.25" thickBot="1">
      <c r="B167" s="232"/>
      <c r="C167" s="233"/>
      <c r="D167" s="234" t="s">
        <v>385</v>
      </c>
      <c r="E167" s="235"/>
      <c r="F167" s="236"/>
      <c r="G167" s="234" t="s">
        <v>385</v>
      </c>
      <c r="H167" s="235"/>
      <c r="I167" s="236"/>
      <c r="J167" s="234" t="s">
        <v>385</v>
      </c>
      <c r="K167" s="235"/>
      <c r="L167" s="236"/>
      <c r="M167" s="220" t="s">
        <v>390</v>
      </c>
      <c r="N167" s="216"/>
      <c r="O167" s="216" t="s">
        <v>394</v>
      </c>
      <c r="P167" s="216"/>
      <c r="Q167" s="216"/>
      <c r="R167" s="216" t="s">
        <v>391</v>
      </c>
      <c r="S167" s="216"/>
      <c r="T167" s="216"/>
      <c r="U167" s="216" t="s">
        <v>393</v>
      </c>
      <c r="V167" s="216"/>
      <c r="W167" s="216"/>
      <c r="X167" s="216" t="s">
        <v>395</v>
      </c>
      <c r="Y167" s="216"/>
      <c r="Z167" s="216"/>
      <c r="AA167" s="91"/>
      <c r="AB167" s="229"/>
      <c r="AC167" s="229"/>
      <c r="AD167" s="229"/>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row>
    <row r="168" spans="2:93" ht="40.5">
      <c r="B168" s="25" t="s">
        <v>35</v>
      </c>
      <c r="C168" s="26" t="s">
        <v>34</v>
      </c>
      <c r="D168" s="25" t="s">
        <v>38</v>
      </c>
      <c r="E168" s="26" t="s">
        <v>36</v>
      </c>
      <c r="F168" s="27" t="s">
        <v>37</v>
      </c>
      <c r="G168" s="25" t="s">
        <v>38</v>
      </c>
      <c r="H168" s="26" t="s">
        <v>36</v>
      </c>
      <c r="I168" s="27" t="s">
        <v>37</v>
      </c>
      <c r="J168" s="25" t="s">
        <v>38</v>
      </c>
      <c r="K168" s="26" t="s">
        <v>36</v>
      </c>
      <c r="L168" s="27" t="s">
        <v>37</v>
      </c>
      <c r="M168" s="89" t="s">
        <v>388</v>
      </c>
      <c r="N168" s="89" t="s">
        <v>389</v>
      </c>
      <c r="O168" s="25" t="s">
        <v>38</v>
      </c>
      <c r="P168" s="26" t="s">
        <v>36</v>
      </c>
      <c r="Q168" s="27" t="s">
        <v>37</v>
      </c>
      <c r="R168" s="25" t="s">
        <v>38</v>
      </c>
      <c r="S168" s="26" t="s">
        <v>36</v>
      </c>
      <c r="T168" s="27" t="s">
        <v>37</v>
      </c>
      <c r="U168" s="25" t="s">
        <v>38</v>
      </c>
      <c r="V168" s="26" t="s">
        <v>36</v>
      </c>
      <c r="W168" s="27" t="s">
        <v>37</v>
      </c>
      <c r="X168" s="25" t="s">
        <v>38</v>
      </c>
      <c r="Y168" s="26" t="s">
        <v>36</v>
      </c>
      <c r="Z168" s="27" t="s">
        <v>37</v>
      </c>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row>
    <row r="169" spans="2:93">
      <c r="B169" s="1">
        <v>1</v>
      </c>
      <c r="C169" s="1">
        <f t="shared" ref="C169:C200" si="68">2*PI()*B169</f>
        <v>6.2831853071795862</v>
      </c>
      <c r="D169" s="93" t="str">
        <f t="shared" ref="D169:D200" si="69">IMDIV(COMPLEX((POWER(V48_Nom,2)/(V12_Min*I_Channel_Design*np)),((Zo_Boost_Cout*Zo_Boost_Resr*POWER(V48_Nom,2))/(V12_Min*I_Channel_Design*np))*C169),COMPLEX(1,((Zo_Boost_Cout*Zo_Boost_Resr)+((Zo_Boost_Cout*POWER(V48_Nom,2))/(V12_Min*I_Channel_Design*np)))*C169))</f>
        <v>0.541742233792959-0.00551418627054104i</v>
      </c>
      <c r="E169" s="1">
        <f t="shared" ref="E169:E200" si="70">20*LOG(IMABS(D169))</f>
        <v>-5.3236961926868656</v>
      </c>
      <c r="F169" s="1">
        <f t="shared" ref="F169:F200" si="71">IMARGUMENT(D169)*(180/PI())</f>
        <v>-0.58317160972383519</v>
      </c>
      <c r="G169" s="1" t="str">
        <f t="shared" ref="G169:G200" si="72">IMDIV(IMSUM(COMPLEX(V48_Nom,0),IMPRODUCT(COMPLEX(np*(I_Channel_Design*(V12_Min/V48_Nom)),0),D169)),IMSUM(IMPRODUCT(COMPLEX(((V12_Min/V48_Nom)^2),0),D169),COMPLEX(Rcs/np,(Lm*C169)/np)))</f>
        <v>2761.46090783791+13.7140386830845i</v>
      </c>
      <c r="H169" s="1">
        <f>20*LOG10(IMABS(G169))</f>
        <v>68.822885102175178</v>
      </c>
      <c r="I169" s="1">
        <f>IMARGUMENT(G169)*(180/PI())</f>
        <v>0.28454144495621775</v>
      </c>
      <c r="J169" s="95" t="str">
        <f t="shared" ref="J169:J200" si="73">IMPRODUCT(COMPLEX(-1,0),IMDIV(IMSUM(IMSUB(IMPRODUCT(COMPLEX((1-(V12_Min/V48_Nom))*V48_Nom,0),D169),IMPRODUCT(COMPLEX(V48_Nom,0),D169)),IMPRODUCT(COMPLEX(0,I_Channel_Design*Lm*C169),D169)),IMSUM(IMPRODUCT(COMPLEX(((V12_Min/V48_Nom)^2),0),D169),COMPLEX(Rcs/np,(Lm*C169)/np))))</f>
        <v>189.357096682418-0.0438702673624385i</v>
      </c>
      <c r="K169" s="94">
        <f>20*LOG10(IMABS(J169))</f>
        <v>45.545631956153741</v>
      </c>
      <c r="L169" s="94">
        <f>IMARGUMENT(J169)*(180/PI())</f>
        <v>-1.3274290560238237E-2</v>
      </c>
      <c r="M169" s="1">
        <f t="shared" ref="M169:M200" si="74">(Ramp_R*Ramp_C*Fsw)/V48_Nom</f>
        <v>0.1985416666666667</v>
      </c>
      <c r="N169" s="94">
        <f t="shared" ref="N169:N200" si="75">Rcs*Acs/np</f>
        <v>2.5000000000000001E-3</v>
      </c>
      <c r="O169" s="94" t="str">
        <f t="shared" ref="O169:O200" si="76">IMPRODUCT(COMPLEX(gm/(IL_Comp_Ccomp+IL_Comp_Chf),0),IMDIV(COMPLEX(1,C169*IL_Comp_Rcomp*IL_Comp_Ccomp),IMPRODUCT(COMPLEX(0,C169),COMPLEX(1,C169*IL_Comp_Rcomp*IL_Comp_Chf))))</f>
        <v>9.62499995402244-9947.18460847569i</v>
      </c>
      <c r="P169" s="94">
        <f>20*LOG(IMABS(O169))</f>
        <v>79.954007626767662</v>
      </c>
      <c r="Q169" s="94">
        <f>IMARGUMENT(O169)*(180/PI())</f>
        <v>-89.944560021274725</v>
      </c>
      <c r="R169" s="94" t="str">
        <f>IMDIV(IMPRODUCT(O169,J169,COMPLEX(M169,0)),IMSUM(COMPLEX(1,0),IMPRODUCT(G169,O169,COMPLEX(M169,0),COMPLEX(N169,0))))</f>
        <v>27.4278086058397-0.144579014272915i</v>
      </c>
      <c r="S169" s="94">
        <f>20*LOG10(IMABS(R169))</f>
        <v>28.763942877036349</v>
      </c>
      <c r="T169" s="94">
        <f>IMARGUMENT(R169)*(180/PI())</f>
        <v>-0.30201795264320447</v>
      </c>
      <c r="U169" s="94" t="str">
        <f>IMPRODUCT(COMPLEX(-1,0),IMDIV(COMPLEX(1,C169*Calculations!$B$195*Calculations!$B$197),IMPRODUCT(COMPLEX(0,C169*Calculations!$B$184),COMPLEX((Calculations!$B$197+Calculations!$B$199),C169*Calculations!$B$195*Calculations!$B$197*Calculations!$B$199))))</f>
        <v>-4.47735879314913+543.933782595492i</v>
      </c>
      <c r="V169" s="94">
        <f>20*LOG10(IMABS(U169))</f>
        <v>54.711214908880628</v>
      </c>
      <c r="W169" s="94">
        <f>IMARGUMENT(U169)*(180/PI())</f>
        <v>90.471616172231819</v>
      </c>
      <c r="X169" s="94" t="str">
        <f>IMPRODUCT(U169,R169)</f>
        <v>-44.1627299207735+14919.5590154004i</v>
      </c>
      <c r="Y169" s="94">
        <f>20*LOG10(IMABS(X169))</f>
        <v>83.475157785916963</v>
      </c>
      <c r="Z169" s="94">
        <f>IMARGUMENT(X169)*(180/PI())</f>
        <v>90.169598219588622</v>
      </c>
      <c r="AA169" s="46"/>
      <c r="AB169" s="46"/>
      <c r="AC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row>
    <row r="170" spans="2:93">
      <c r="B170" s="1">
        <v>2</v>
      </c>
      <c r="C170" s="1">
        <f t="shared" si="68"/>
        <v>12.566370614359172</v>
      </c>
      <c r="D170" s="93" t="str">
        <f t="shared" si="69"/>
        <v>0.541572181714579-0.0110248749028795i</v>
      </c>
      <c r="E170" s="1">
        <f t="shared" si="70"/>
        <v>-5.3250736273786181</v>
      </c>
      <c r="F170" s="1">
        <f t="shared" si="71"/>
        <v>-1.1662186237002423</v>
      </c>
      <c r="G170" s="1" t="str">
        <f t="shared" si="72"/>
        <v>2761.47954682108+27.4281606145179i</v>
      </c>
      <c r="H170" s="1">
        <f t="shared" ref="H170:H228" si="77">20*LOG10(IMABS(G170))</f>
        <v>68.823265041328284</v>
      </c>
      <c r="I170" s="1">
        <f t="shared" ref="I170:I223" si="78">IMARGUMENT(G170)*(180/PI())</f>
        <v>0.56906674164587767</v>
      </c>
      <c r="J170" s="95" t="str">
        <f t="shared" si="73"/>
        <v>189.357706641732-0.0877411069985557i</v>
      </c>
      <c r="K170" s="94">
        <f t="shared" ref="K170:K228" si="79">20*LOG10(IMABS(J170))</f>
        <v>45.545660634536212</v>
      </c>
      <c r="L170" s="94">
        <f t="shared" ref="L170:L223" si="80">IMARGUMENT(J170)*(180/PI())</f>
        <v>-2.6548667335458399E-2</v>
      </c>
      <c r="M170" s="1">
        <f t="shared" si="74"/>
        <v>0.1985416666666667</v>
      </c>
      <c r="N170" s="94">
        <f t="shared" si="75"/>
        <v>2.5000000000000001E-3</v>
      </c>
      <c r="O170" s="94" t="str">
        <f t="shared" si="76"/>
        <v>9.62499981608975-4973.59330208618i</v>
      </c>
      <c r="P170" s="94">
        <f t="shared" ref="P170:P228" si="81">20*LOG(IMABS(O170))</f>
        <v>73.933421654603336</v>
      </c>
      <c r="Q170" s="94">
        <f t="shared" ref="Q170:Q223" si="82">IMARGUMENT(O170)*(180/PI())</f>
        <v>-89.889120170197415</v>
      </c>
      <c r="R170" s="94" t="str">
        <f t="shared" ref="R170:R223" si="83">IMDIV(IMPRODUCT(O170,J170,COMPLEX(M170,0)),IMSUM(COMPLEX(1,0),IMPRODUCT(G170,O170,COMPLEX(M170,0),COMPLEX(N170,0))))</f>
        <v>27.4255203931785-0.289133849779375i</v>
      </c>
      <c r="S170" s="94">
        <f t="shared" ref="S170:S228" si="84">20*LOG10(IMABS(R170))</f>
        <v>28.763580207103466</v>
      </c>
      <c r="T170" s="94">
        <f t="shared" ref="T170:T223" si="85">IMARGUMENT(R170)*(180/PI())</f>
        <v>-0.60401900727852131</v>
      </c>
      <c r="U170" s="94" t="str">
        <f>IMPRODUCT(COMPLEX(-1,0),IMDIV(COMPLEX(1,C170*Calculations!$B$195*Calculations!$B$197),IMPRODUCT(COMPLEX(0,C170*Calculations!$B$184),COMPLEX((Calculations!$B$197+Calculations!$B$199),C170*Calculations!$B$195*Calculations!$B$197*Calculations!$B$199))))</f>
        <v>-4.47735874091583+271.967310106074i</v>
      </c>
      <c r="V170" s="94">
        <f t="shared" ref="V170:V228" si="86">20*LOG10(IMABS(U170))</f>
        <v>48.691511007819102</v>
      </c>
      <c r="W170" s="94">
        <f t="shared" ref="W170:W224" si="87">IMARGUMENT(U170)*(180/PI())</f>
        <v>90.94316698262962</v>
      </c>
      <c r="X170" s="94" t="str">
        <f t="shared" ref="X170:X224" si="88">IMPRODUCT(U170,R170)</f>
        <v>-44.1589380714528+7460.13956556164i</v>
      </c>
      <c r="Y170" s="94">
        <f t="shared" ref="Y170:Y228" si="89">20*LOG10(IMABS(X170))</f>
        <v>77.455091214922575</v>
      </c>
      <c r="Z170" s="94">
        <f t="shared" ref="Z170:Z224" si="90">IMARGUMENT(X170)*(180/PI())</f>
        <v>90.339147975351096</v>
      </c>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row>
    <row r="171" spans="2:93">
      <c r="B171" s="1">
        <v>3</v>
      </c>
      <c r="C171" s="1">
        <f t="shared" si="68"/>
        <v>18.849555921538759</v>
      </c>
      <c r="D171" s="93" t="str">
        <f t="shared" si="69"/>
        <v>0.54128900115447-0.0165285756500573i</v>
      </c>
      <c r="E171" s="1">
        <f t="shared" si="70"/>
        <v>-5.3273683812710235</v>
      </c>
      <c r="F171" s="1">
        <f t="shared" si="71"/>
        <v>-1.7490166041935369</v>
      </c>
      <c r="G171" s="1" t="str">
        <f t="shared" si="72"/>
        <v>2761.510612197+41.1424490442299i</v>
      </c>
      <c r="H171" s="1">
        <f t="shared" si="77"/>
        <v>68.823898210212448</v>
      </c>
      <c r="I171" s="1">
        <f t="shared" si="78"/>
        <v>0.85355974700079784</v>
      </c>
      <c r="J171" s="95" t="str">
        <f t="shared" si="73"/>
        <v>189.358723248788-0.13161309120039i</v>
      </c>
      <c r="K171" s="94">
        <f t="shared" si="79"/>
        <v>45.54570843203642</v>
      </c>
      <c r="L171" s="94">
        <f t="shared" si="80"/>
        <v>-3.9823216542498076E-2</v>
      </c>
      <c r="M171" s="1">
        <f t="shared" si="74"/>
        <v>0.1985416666666667</v>
      </c>
      <c r="N171" s="94">
        <f t="shared" si="75"/>
        <v>2.5000000000000001E-3</v>
      </c>
      <c r="O171" s="94" t="str">
        <f t="shared" si="76"/>
        <v>9.62499958620206-3315.72997677779i</v>
      </c>
      <c r="P171" s="94">
        <f t="shared" si="81"/>
        <v>70.41161970858154</v>
      </c>
      <c r="Q171" s="94">
        <f t="shared" si="82"/>
        <v>-89.833680574414458</v>
      </c>
      <c r="R171" s="94" t="str">
        <f t="shared" si="83"/>
        <v>27.4217075569732-0.433640341252992i</v>
      </c>
      <c r="S171" s="94">
        <f t="shared" si="84"/>
        <v>28.762975824921966</v>
      </c>
      <c r="T171" s="94">
        <f t="shared" si="85"/>
        <v>-0.90598627156306666</v>
      </c>
      <c r="U171" s="94" t="str">
        <f>IMPRODUCT(COMPLEX(-1,0),IMDIV(COMPLEX(1,C171*Calculations!$B$195*Calculations!$B$197),IMPRODUCT(COMPLEX(0,C171*Calculations!$B$184),COMPLEX((Calculations!$B$197+Calculations!$B$199),C171*Calculations!$B$195*Calculations!$B$197*Calculations!$B$199))))</f>
        <v>-4.47735865386035+181.312005413288i</v>
      </c>
      <c r="V171" s="94">
        <f t="shared" si="86"/>
        <v>45.171178769677674</v>
      </c>
      <c r="W171" s="94">
        <f t="shared" si="87"/>
        <v>91.414587123286182</v>
      </c>
      <c r="X171" s="94" t="str">
        <f t="shared" si="88"/>
        <v>-44.1526197331592+4973.8263523461i</v>
      </c>
      <c r="Y171" s="94">
        <f t="shared" si="89"/>
        <v>73.934154594599647</v>
      </c>
      <c r="Z171" s="94">
        <f t="shared" si="90"/>
        <v>90.508600851723116</v>
      </c>
      <c r="AA171" s="46"/>
      <c r="AB171" s="46"/>
      <c r="AC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row>
    <row r="172" spans="2:93">
      <c r="B172" s="1">
        <v>4</v>
      </c>
      <c r="C172" s="1">
        <f t="shared" si="68"/>
        <v>25.132741228718345</v>
      </c>
      <c r="D172" s="93" t="str">
        <f t="shared" si="69"/>
        <v>0.540893050671642-0.02202181301483i</v>
      </c>
      <c r="E172" s="1">
        <f t="shared" si="70"/>
        <v>-5.3305790006260114</v>
      </c>
      <c r="F172" s="1">
        <f t="shared" si="71"/>
        <v>-2.3314414289909808</v>
      </c>
      <c r="G172" s="1" t="str">
        <f t="shared" si="72"/>
        <v>2761.55410457161+54.8569872253082i</v>
      </c>
      <c r="H172" s="1">
        <f t="shared" si="77"/>
        <v>68.824784514306842</v>
      </c>
      <c r="I172" s="1">
        <f t="shared" si="78"/>
        <v>1.1380043283452768</v>
      </c>
      <c r="J172" s="95" t="str">
        <f t="shared" si="73"/>
        <v>189.36014651588-0.175486792296967i</v>
      </c>
      <c r="K172" s="94">
        <f t="shared" si="79"/>
        <v>45.545775348948261</v>
      </c>
      <c r="L172" s="94">
        <f t="shared" si="80"/>
        <v>-5.3098024401988513E-2</v>
      </c>
      <c r="M172" s="1">
        <f t="shared" si="74"/>
        <v>0.1985416666666667</v>
      </c>
      <c r="N172" s="94">
        <f t="shared" si="75"/>
        <v>2.5000000000000001E-3</v>
      </c>
      <c r="O172" s="94" t="str">
        <f t="shared" si="76"/>
        <v>9.62499926435925-2486.79864673964i</v>
      </c>
      <c r="P172" s="94">
        <f t="shared" si="81"/>
        <v>67.912877505333455</v>
      </c>
      <c r="Q172" s="94">
        <f t="shared" si="82"/>
        <v>-89.77824136156886</v>
      </c>
      <c r="R172" s="94" t="str">
        <f t="shared" si="83"/>
        <v>27.4163713738197-0.578074350411672i</v>
      </c>
      <c r="S172" s="94">
        <f t="shared" si="84"/>
        <v>28.762129832011976</v>
      </c>
      <c r="T172" s="94">
        <f t="shared" si="85"/>
        <v>-1.20790286447921</v>
      </c>
      <c r="U172" s="94" t="str">
        <f>IMPRODUCT(COMPLEX(-1,0),IMDIV(COMPLEX(1,C172*Calculations!$B$195*Calculations!$B$197),IMPRODUCT(COMPLEX(0,C172*Calculations!$B$184),COMPLEX((Calculations!$B$197+Calculations!$B$199),C172*Calculations!$B$195*Calculations!$B$197*Calculations!$B$199))))</f>
        <v>-4.47735853198265+135.984492669644i</v>
      </c>
      <c r="V172" s="94">
        <f t="shared" si="86"/>
        <v>42.674493295743822</v>
      </c>
      <c r="W172" s="94">
        <f t="shared" si="87"/>
        <v>91.885811394036509</v>
      </c>
      <c r="X172" s="94" t="str">
        <f t="shared" si="88"/>
        <v>-44.1437770205113+3730.78959823636i</v>
      </c>
      <c r="Y172" s="94">
        <f t="shared" si="89"/>
        <v>71.436623127755794</v>
      </c>
      <c r="Z172" s="94">
        <f t="shared" si="90"/>
        <v>90.6779085295573</v>
      </c>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row>
    <row r="173" spans="2:93">
      <c r="B173" s="1">
        <v>5</v>
      </c>
      <c r="C173" s="1">
        <f t="shared" si="68"/>
        <v>31.415926535897931</v>
      </c>
      <c r="D173" s="93" t="str">
        <f t="shared" si="69"/>
        <v>0.540384830660001-0.027501133542831i</v>
      </c>
      <c r="E173" s="1">
        <f t="shared" si="70"/>
        <v>-5.334703454505819</v>
      </c>
      <c r="F173" s="1">
        <f t="shared" si="71"/>
        <v>-2.9133694479154988</v>
      </c>
      <c r="G173" s="1" t="str">
        <f t="shared" si="72"/>
        <v>2761.61002479331+68.5718584155835i</v>
      </c>
      <c r="H173" s="1">
        <f t="shared" si="77"/>
        <v>68.825923821354081</v>
      </c>
      <c r="I173" s="1">
        <f t="shared" si="78"/>
        <v>1.4223843685819153</v>
      </c>
      <c r="J173" s="95" t="str">
        <f t="shared" si="73"/>
        <v>189.36197646023-0.219362782672138i</v>
      </c>
      <c r="K173" s="94">
        <f t="shared" si="79"/>
        <v>45.545861385683693</v>
      </c>
      <c r="L173" s="94">
        <f t="shared" si="80"/>
        <v>-6.6373177140048964E-2</v>
      </c>
      <c r="M173" s="1">
        <f t="shared" si="74"/>
        <v>0.1985416666666667</v>
      </c>
      <c r="N173" s="94">
        <f t="shared" si="75"/>
        <v>2.5000000000000001E-3</v>
      </c>
      <c r="O173" s="94" t="str">
        <f t="shared" si="76"/>
        <v>9.62499885056137-1989.44011480952i</v>
      </c>
      <c r="P173" s="94">
        <f t="shared" si="81"/>
        <v>65.974719067705536</v>
      </c>
      <c r="Q173" s="94">
        <f t="shared" si="82"/>
        <v>-89.722802659298736</v>
      </c>
      <c r="R173" s="94" t="str">
        <f t="shared" si="83"/>
        <v>27.4095136294572-0.722411779410228i</v>
      </c>
      <c r="S173" s="94">
        <f t="shared" si="84"/>
        <v>28.761042370422714</v>
      </c>
      <c r="T173" s="94">
        <f t="shared" si="85"/>
        <v>-1.5097519219852842</v>
      </c>
      <c r="U173" s="94" t="str">
        <f>IMPRODUCT(COMPLEX(-1,0),IMDIV(COMPLEX(1,C173*Calculations!$B$195*Calculations!$B$197),IMPRODUCT(COMPLEX(0,C173*Calculations!$B$184),COMPLEX((Calculations!$B$197+Calculations!$B$199),C173*Calculations!$B$195*Calculations!$B$197*Calculations!$B$199))))</f>
        <v>-4.47735837528278+108.788096705638i</v>
      </c>
      <c r="V173" s="94">
        <f t="shared" si="86"/>
        <v>40.738977748566676</v>
      </c>
      <c r="W173" s="94">
        <f t="shared" si="87"/>
        <v>92.356774756051593</v>
      </c>
      <c r="X173" s="94" t="str">
        <f t="shared" si="88"/>
        <v>-44.1324128915058+2985.06331580684i</v>
      </c>
      <c r="Y173" s="94">
        <f t="shared" si="89"/>
        <v>69.500020118989397</v>
      </c>
      <c r="Z173" s="94">
        <f t="shared" si="90"/>
        <v>90.847022834066308</v>
      </c>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row>
    <row r="174" spans="2:93">
      <c r="B174" s="1">
        <v>6</v>
      </c>
      <c r="C174" s="1">
        <f t="shared" si="68"/>
        <v>37.699111843077517</v>
      </c>
      <c r="D174" s="93" t="str">
        <f t="shared" si="69"/>
        <v>0.539764981770892-0.0329631130184015i</v>
      </c>
      <c r="E174" s="1">
        <f t="shared" si="70"/>
        <v>-5.3397391390456592</v>
      </c>
      <c r="F174" s="1">
        <f t="shared" si="71"/>
        <v>-3.4946776378484317</v>
      </c>
      <c r="G174" s="1" t="str">
        <f t="shared" si="72"/>
        <v>2761.67837395291+82.2871458792028i</v>
      </c>
      <c r="H174" s="1">
        <f t="shared" si="77"/>
        <v>68.827315961431466</v>
      </c>
      <c r="I174" s="1">
        <f t="shared" si="78"/>
        <v>1.706683771364647</v>
      </c>
      <c r="J174" s="95" t="str">
        <f t="shared" si="73"/>
        <v>189.36421310397-0.263241634783525i</v>
      </c>
      <c r="K174" s="94">
        <f t="shared" si="79"/>
        <v>45.545966542771808</v>
      </c>
      <c r="L174" s="94">
        <f t="shared" si="80"/>
        <v>-7.9648760990323267E-2</v>
      </c>
      <c r="M174" s="1">
        <f t="shared" si="74"/>
        <v>0.1985416666666667</v>
      </c>
      <c r="N174" s="94">
        <f t="shared" si="75"/>
        <v>2.5000000000000001E-3</v>
      </c>
      <c r="O174" s="94" t="str">
        <f t="shared" si="76"/>
        <v>9.62499834480844-1657.86798193336i</v>
      </c>
      <c r="P174" s="94">
        <f t="shared" si="81"/>
        <v>64.391145262630701</v>
      </c>
      <c r="Q174" s="94">
        <f t="shared" si="82"/>
        <v>-89.667364595235597</v>
      </c>
      <c r="R174" s="94" t="str">
        <f t="shared" si="83"/>
        <v>27.4011366172724-0.866628584245602i</v>
      </c>
      <c r="S174" s="94">
        <f t="shared" si="84"/>
        <v>28.759713622652509</v>
      </c>
      <c r="T174" s="94">
        <f t="shared" si="85"/>
        <v>-1.811516602652163</v>
      </c>
      <c r="U174" s="94" t="str">
        <f>IMPRODUCT(COMPLEX(-1,0),IMDIV(COMPLEX(1,C174*Calculations!$B$195*Calculations!$B$197),IMPRODUCT(COMPLEX(0,C174*Calculations!$B$184),COMPLEX((Calculations!$B$197+Calculations!$B$199),C174*Calculations!$B$195*Calculations!$B$197*Calculations!$B$199))))</f>
        <v>-4.4773581837607+90.6572591314319i</v>
      </c>
      <c r="V174" s="94">
        <f t="shared" si="86"/>
        <v>39.158631891007765</v>
      </c>
      <c r="W174" s="94">
        <f t="shared" si="87"/>
        <v>92.827412385100118</v>
      </c>
      <c r="X174" s="94" t="str">
        <f t="shared" si="88"/>
        <v>-44.11853114503+2487.99214939178i</v>
      </c>
      <c r="Y174" s="94">
        <f t="shared" si="89"/>
        <v>67.918345513660256</v>
      </c>
      <c r="Z174" s="94">
        <f t="shared" si="90"/>
        <v>91.015895782447956</v>
      </c>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row>
    <row r="175" spans="2:93">
      <c r="B175" s="1">
        <v>7</v>
      </c>
      <c r="C175" s="1">
        <f t="shared" si="68"/>
        <v>43.982297150257104</v>
      </c>
      <c r="D175" s="93" t="str">
        <f t="shared" si="69"/>
        <v>0.539034282900882-0.0384043635317867i</v>
      </c>
      <c r="E175" s="1">
        <f t="shared" si="70"/>
        <v>-5.3456828829148897</v>
      </c>
      <c r="F175" s="1">
        <f t="shared" si="71"/>
        <v>-4.0752437557790859</v>
      </c>
      <c r="G175" s="1" t="str">
        <f t="shared" si="72"/>
        <v>2761.75915338377+96.0029328882185i</v>
      </c>
      <c r="H175" s="1">
        <f t="shared" si="77"/>
        <v>68.828960727043054</v>
      </c>
      <c r="I175" s="1">
        <f t="shared" si="78"/>
        <v>1.9908864662552432</v>
      </c>
      <c r="J175" s="95" t="str">
        <f t="shared" si="73"/>
        <v>189.366856474163-0.307123921180464i</v>
      </c>
      <c r="K175" s="94">
        <f t="shared" si="79"/>
        <v>45.54609082085986</v>
      </c>
      <c r="L175" s="94">
        <f t="shared" si="80"/>
        <v>-9.2924862195700578E-2</v>
      </c>
      <c r="M175" s="1">
        <f t="shared" si="74"/>
        <v>0.1985416666666667</v>
      </c>
      <c r="N175" s="94">
        <f t="shared" si="75"/>
        <v>2.5000000000000001E-3</v>
      </c>
      <c r="O175" s="94" t="str">
        <f t="shared" si="76"/>
        <v>9.6249977471005-1421.03093423083i</v>
      </c>
      <c r="P175" s="94">
        <f t="shared" si="81"/>
        <v>63.052269878909463</v>
      </c>
      <c r="Q175" s="94">
        <f t="shared" si="82"/>
        <v>-89.611927297002751</v>
      </c>
      <c r="R175" s="94" t="str">
        <f t="shared" si="83"/>
        <v>27.3912431363859-1.01070078809921i</v>
      </c>
      <c r="S175" s="94">
        <f t="shared" si="84"/>
        <v>28.758143811547917</v>
      </c>
      <c r="T175" s="94">
        <f t="shared" si="85"/>
        <v>-2.1131800932809517</v>
      </c>
      <c r="U175" s="94" t="str">
        <f>IMPRODUCT(COMPLEX(-1,0),IMDIV(COMPLEX(1,C175*Calculations!$B$195*Calculations!$B$197),IMPRODUCT(COMPLEX(0,C175*Calculations!$B$184),COMPLEX((Calculations!$B$197+Calculations!$B$199),C175*Calculations!$B$195*Calculations!$B$197*Calculations!$B$199))))</f>
        <v>-4.4773579574165+77.7067406370913i</v>
      </c>
      <c r="V175" s="94">
        <f t="shared" si="86"/>
        <v>37.823568165533153</v>
      </c>
      <c r="W175" s="94">
        <f t="shared" si="87"/>
        <v>93.297659724369851</v>
      </c>
      <c r="X175" s="94" t="str">
        <f t="shared" si="88"/>
        <v>-44.1021364176984+2133.00949534281i</v>
      </c>
      <c r="Y175" s="94">
        <f t="shared" si="89"/>
        <v>66.581711977081071</v>
      </c>
      <c r="Z175" s="94">
        <f t="shared" si="90"/>
        <v>91.184479631088891</v>
      </c>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row>
    <row r="176" spans="2:93">
      <c r="B176" s="1">
        <v>8</v>
      </c>
      <c r="C176" s="1">
        <f t="shared" si="68"/>
        <v>50.26548245743669</v>
      </c>
      <c r="D176" s="93" t="str">
        <f t="shared" si="69"/>
        <v>0.538193648756555-0.04382154038737i</v>
      </c>
      <c r="E176" s="1">
        <f t="shared" si="70"/>
        <v>-5.3525309539424368</v>
      </c>
      <c r="F176" s="1">
        <f t="shared" si="71"/>
        <v>-4.6549464894096824</v>
      </c>
      <c r="G176" s="1" t="str">
        <f t="shared" si="72"/>
        <v>2761.85236466178+109.719302724162i</v>
      </c>
      <c r="H176" s="1">
        <f t="shared" si="77"/>
        <v>68.830857873231423</v>
      </c>
      <c r="I176" s="1">
        <f t="shared" si="78"/>
        <v>2.274976413858659</v>
      </c>
      <c r="J176" s="95" t="str">
        <f t="shared" si="73"/>
        <v>189.369906602785-0.351010214523086i</v>
      </c>
      <c r="K176" s="94">
        <f t="shared" si="79"/>
        <v>45.546234220712378</v>
      </c>
      <c r="L176" s="94">
        <f t="shared" si="80"/>
        <v>-0.10620156701039291</v>
      </c>
      <c r="M176" s="1">
        <f t="shared" si="74"/>
        <v>0.1985416666666667</v>
      </c>
      <c r="N176" s="94">
        <f t="shared" si="75"/>
        <v>2.5000000000000001E-3</v>
      </c>
      <c r="O176" s="94" t="str">
        <f t="shared" si="76"/>
        <v>9.62499705743756-1243.40331476176i</v>
      </c>
      <c r="P176" s="94">
        <f t="shared" si="81"/>
        <v>61.89250064086886</v>
      </c>
      <c r="Q176" s="94">
        <f t="shared" si="82"/>
        <v>-89.556490892213574</v>
      </c>
      <c r="R176" s="94" t="str">
        <f t="shared" si="83"/>
        <v>27.3798364893135-1.15460449460066i</v>
      </c>
      <c r="S176" s="94">
        <f t="shared" si="84"/>
        <v>28.756333200178751</v>
      </c>
      <c r="T176" s="94">
        <f t="shared" si="85"/>
        <v>-2.4147256144971343</v>
      </c>
      <c r="U176" s="94" t="str">
        <f>IMPRODUCT(COMPLEX(-1,0),IMDIV(COMPLEX(1,C176*Calculations!$B$195*Calculations!$B$197),IMPRODUCT(COMPLEX(0,C176*Calculations!$B$184),COMPLEX((Calculations!$B$197+Calculations!$B$199),C176*Calculations!$B$195*Calculations!$B$197*Calculations!$B$199))))</f>
        <v>-4.47735769625009+67.9939215676446i</v>
      </c>
      <c r="V176" s="94">
        <f t="shared" si="86"/>
        <v>36.668192709709942</v>
      </c>
      <c r="W176" s="94">
        <f t="shared" si="87"/>
        <v>93.767452536741402</v>
      </c>
      <c r="X176" s="94" t="str">
        <f t="shared" si="88"/>
        <v>-44.0832341799696+1866.83203210934i</v>
      </c>
      <c r="Y176" s="94">
        <f t="shared" si="89"/>
        <v>65.424525909888686</v>
      </c>
      <c r="Z176" s="94">
        <f t="shared" si="90"/>
        <v>91.352726922244273</v>
      </c>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row>
    <row r="177" spans="2:93">
      <c r="B177" s="1">
        <v>9</v>
      </c>
      <c r="C177" s="1">
        <f t="shared" si="68"/>
        <v>56.548667764616276</v>
      </c>
      <c r="D177" s="93" t="str">
        <f t="shared" si="69"/>
        <v>0.537244127010447-0.049211348823802i</v>
      </c>
      <c r="E177" s="1">
        <f t="shared" si="70"/>
        <v>-5.3602790668777622</v>
      </c>
      <c r="F177" s="1">
        <f t="shared" si="71"/>
        <v>-5.2336656048584222</v>
      </c>
      <c r="G177" s="1" t="str">
        <f t="shared" si="72"/>
        <v>2761.95800960544+123.436338679625i</v>
      </c>
      <c r="H177" s="1">
        <f t="shared" si="77"/>
        <v>68.833007117709784</v>
      </c>
      <c r="I177" s="1">
        <f t="shared" si="78"/>
        <v>2.5589376109334641</v>
      </c>
      <c r="J177" s="95" t="str">
        <f t="shared" si="73"/>
        <v>189.373363526741-0.394901087599493i</v>
      </c>
      <c r="K177" s="94">
        <f t="shared" si="79"/>
        <v>45.546396743211872</v>
      </c>
      <c r="L177" s="94">
        <f t="shared" si="80"/>
        <v>-0.11947896170142105</v>
      </c>
      <c r="M177" s="1">
        <f t="shared" si="74"/>
        <v>0.1985416666666667</v>
      </c>
      <c r="N177" s="94">
        <f t="shared" si="75"/>
        <v>2.5000000000000001E-3</v>
      </c>
      <c r="O177" s="94" t="str">
        <f t="shared" si="76"/>
        <v>9.62499627581975-1105.24864744827i</v>
      </c>
      <c r="P177" s="94">
        <f t="shared" si="81"/>
        <v>60.869529185605096</v>
      </c>
      <c r="Q177" s="94">
        <f t="shared" si="82"/>
        <v>-89.501055508469975</v>
      </c>
      <c r="R177" s="94" t="str">
        <f t="shared" si="83"/>
        <v>27.3669204792175-1.29831590099762i</v>
      </c>
      <c r="S177" s="94">
        <f t="shared" si="84"/>
        <v>28.754282091692822</v>
      </c>
      <c r="T177" s="94">
        <f t="shared" si="85"/>
        <v>-2.716136426316111</v>
      </c>
      <c r="U177" s="94" t="str">
        <f>IMPRODUCT(COMPLEX(-1,0),IMDIV(COMPLEX(1,C177*Calculations!$B$195*Calculations!$B$197),IMPRODUCT(COMPLEX(0,C177*Calculations!$B$184),COMPLEX((Calculations!$B$197+Calculations!$B$199),C177*Calculations!$B$195*Calculations!$B$197*Calculations!$B$199))))</f>
        <v>-4.47735740026156+60.4395687814396i</v>
      </c>
      <c r="V177" s="94">
        <f t="shared" si="86"/>
        <v>35.650195335608672</v>
      </c>
      <c r="W177" s="94">
        <f t="shared" si="87"/>
        <v>94.236726956410052</v>
      </c>
      <c r="X177" s="94" t="str">
        <f t="shared" si="88"/>
        <v>-44.0618307316117+1659.85789694706i</v>
      </c>
      <c r="Y177" s="94">
        <f t="shared" si="89"/>
        <v>64.404477427301487</v>
      </c>
      <c r="Z177" s="94">
        <f t="shared" si="90"/>
        <v>91.520590530093941</v>
      </c>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row>
    <row r="178" spans="2:93">
      <c r="B178" s="1">
        <v>10</v>
      </c>
      <c r="C178" s="1">
        <f t="shared" si="68"/>
        <v>62.831853071795862</v>
      </c>
      <c r="D178" s="93" t="str">
        <f t="shared" si="69"/>
        <v>0.536186895064516-0.0545705505182785i</v>
      </c>
      <c r="E178" s="1">
        <f t="shared" si="70"/>
        <v>-5.3689223922536842</v>
      </c>
      <c r="F178" s="1">
        <f t="shared" si="71"/>
        <v>-5.8112820910203196</v>
      </c>
      <c r="G178" s="1" t="str">
        <f t="shared" si="72"/>
        <v>2762.07609027599+137.15412405985i</v>
      </c>
      <c r="H178" s="1">
        <f t="shared" si="77"/>
        <v>68.835408141014099</v>
      </c>
      <c r="I178" s="1">
        <f t="shared" si="78"/>
        <v>2.8427540954733099</v>
      </c>
      <c r="J178" s="95" t="str">
        <f t="shared" si="73"/>
        <v>189.37722728785-0.438797113345973i</v>
      </c>
      <c r="K178" s="94">
        <f t="shared" si="79"/>
        <v>45.546578389358132</v>
      </c>
      <c r="L178" s="94">
        <f t="shared" si="80"/>
        <v>-0.13275713255103411</v>
      </c>
      <c r="M178" s="1">
        <f t="shared" si="74"/>
        <v>0.1985416666666667</v>
      </c>
      <c r="N178" s="94">
        <f t="shared" si="75"/>
        <v>2.5000000000000001E-3</v>
      </c>
      <c r="O178" s="94" t="str">
        <f t="shared" si="76"/>
        <v>9.62499540224694-994.725046643612i</v>
      </c>
      <c r="P178" s="94">
        <f t="shared" si="81"/>
        <v>59.954467659734519</v>
      </c>
      <c r="Q178" s="94">
        <f t="shared" si="82"/>
        <v>-89.445621273360658</v>
      </c>
      <c r="R178" s="94" t="str">
        <f t="shared" si="83"/>
        <v>27.3524994067388-1.44181131121686i</v>
      </c>
      <c r="S178" s="94">
        <f t="shared" si="84"/>
        <v>28.751990829146319</v>
      </c>
      <c r="T178" s="94">
        <f t="shared" si="85"/>
        <v>-3.0173958336769253</v>
      </c>
      <c r="U178" s="94" t="str">
        <f>IMPRODUCT(COMPLEX(-1,0),IMDIV(COMPLEX(1,C178*Calculations!$B$195*Calculations!$B$197),IMPRODUCT(COMPLEX(0,C178*Calculations!$B$184),COMPLEX((Calculations!$B$197+Calculations!$B$199),C178*Calculations!$B$195*Calculations!$B$197*Calculations!$B$199))))</f>
        <v>-4.47735706945087+54.396142393481i</v>
      </c>
      <c r="V178" s="94">
        <f t="shared" si="86"/>
        <v>34.740686129028994</v>
      </c>
      <c r="W178" s="94">
        <f t="shared" si="87"/>
        <v>94.705419539752597</v>
      </c>
      <c r="X178" s="94" t="str">
        <f t="shared" si="88"/>
        <v>-44.0379331964288+1494.32595661366i</v>
      </c>
      <c r="Y178" s="94">
        <f t="shared" si="89"/>
        <v>63.492676958175316</v>
      </c>
      <c r="Z178" s="94">
        <f t="shared" si="90"/>
        <v>91.688023706075668</v>
      </c>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row>
    <row r="179" spans="2:93">
      <c r="B179" s="1">
        <v>20</v>
      </c>
      <c r="C179" s="1">
        <f t="shared" si="68"/>
        <v>125.66370614359172</v>
      </c>
      <c r="D179" s="93" t="str">
        <f t="shared" si="69"/>
        <v>0.520034090116726-0.105818785414005i</v>
      </c>
      <c r="E179" s="1">
        <f t="shared" si="70"/>
        <v>-5.5031635032838233</v>
      </c>
      <c r="F179" s="1">
        <f t="shared" si="71"/>
        <v>-11.501761944003423</v>
      </c>
      <c r="G179" s="1" t="str">
        <f t="shared" si="72"/>
        <v>2763.9414891669+274.391535586124i</v>
      </c>
      <c r="H179" s="1">
        <f t="shared" si="77"/>
        <v>68.873169747251609</v>
      </c>
      <c r="I179" s="1">
        <f t="shared" si="78"/>
        <v>5.6694875747555473</v>
      </c>
      <c r="J179" s="95" t="str">
        <f t="shared" si="73"/>
        <v>189.438253667054-0.878166955647627i</v>
      </c>
      <c r="K179" s="94">
        <f t="shared" si="79"/>
        <v>45.549446955616858</v>
      </c>
      <c r="L179" s="94">
        <f t="shared" si="80"/>
        <v>-0.26560052622297031</v>
      </c>
      <c r="M179" s="1">
        <f t="shared" si="74"/>
        <v>0.1985416666666667</v>
      </c>
      <c r="N179" s="94">
        <f t="shared" si="75"/>
        <v>2.5000000000000001E-3</v>
      </c>
      <c r="O179" s="94" t="str">
        <f t="shared" si="76"/>
        <v>9.62498160901425-497.372501781638i</v>
      </c>
      <c r="P179" s="94">
        <f t="shared" si="81"/>
        <v>53.935261485597735</v>
      </c>
      <c r="Q179" s="94">
        <f t="shared" si="82"/>
        <v>-88.891370153960935</v>
      </c>
      <c r="R179" s="94" t="str">
        <f t="shared" si="83"/>
        <v>27.12680375986-2.8597741977595i</v>
      </c>
      <c r="S179" s="94">
        <f t="shared" si="84"/>
        <v>28.715973293033205</v>
      </c>
      <c r="T179" s="94">
        <f t="shared" si="85"/>
        <v>-6.0180327307057633</v>
      </c>
      <c r="U179" s="94" t="str">
        <f>IMPRODUCT(COMPLEX(-1,0),IMDIV(COMPLEX(1,C179*Calculations!$B$195*Calculations!$B$197),IMPRODUCT(COMPLEX(0,C179*Calculations!$B$184),COMPLEX((Calculations!$B$197+Calculations!$B$199),C179*Calculations!$B$195*Calculations!$B$197*Calculations!$B$199))))</f>
        <v>-4.47735184613095+27.2022592719572i</v>
      </c>
      <c r="V179" s="94">
        <f t="shared" si="86"/>
        <v>28.80819071815608</v>
      </c>
      <c r="W179" s="94">
        <f t="shared" si="87"/>
        <v>99.346785602826088</v>
      </c>
      <c r="X179" s="94" t="str">
        <f t="shared" si="88"/>
        <v>-43.6639257071338+750.714564379071i</v>
      </c>
      <c r="Y179" s="94">
        <f t="shared" si="89"/>
        <v>57.524164011189285</v>
      </c>
      <c r="Z179" s="94">
        <f t="shared" si="90"/>
        <v>93.328752872120319</v>
      </c>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row>
    <row r="180" spans="2:93">
      <c r="B180" s="1">
        <v>30</v>
      </c>
      <c r="C180" s="1">
        <f t="shared" si="68"/>
        <v>188.49555921538757</v>
      </c>
      <c r="D180" s="93" t="str">
        <f t="shared" si="69"/>
        <v>0.495192565406629-0.151064055459421i</v>
      </c>
      <c r="E180" s="1">
        <f t="shared" si="70"/>
        <v>-5.7180683020598888</v>
      </c>
      <c r="F180" s="1">
        <f t="shared" si="71"/>
        <v>-16.964915726016471</v>
      </c>
      <c r="G180" s="1" t="str">
        <f t="shared" si="72"/>
        <v>2767.05453484736+411.795680229015i</v>
      </c>
      <c r="H180" s="1">
        <f t="shared" si="77"/>
        <v>68.935490821339215</v>
      </c>
      <c r="I180" s="1">
        <f t="shared" si="78"/>
        <v>8.4646860641197392</v>
      </c>
      <c r="J180" s="95" t="str">
        <f t="shared" si="73"/>
        <v>189.540046389042-1.31868409781208i</v>
      </c>
      <c r="K180" s="94">
        <f t="shared" si="79"/>
        <v>45.554229861607745</v>
      </c>
      <c r="L180" s="94">
        <f t="shared" si="80"/>
        <v>-0.39861662872768083</v>
      </c>
      <c r="M180" s="1">
        <f t="shared" si="74"/>
        <v>0.1985416666666667</v>
      </c>
      <c r="N180" s="94">
        <f t="shared" si="75"/>
        <v>2.5000000000000001E-3</v>
      </c>
      <c r="O180" s="94" t="str">
        <f t="shared" si="76"/>
        <v>9.624958620381-331.592754989648i</v>
      </c>
      <c r="P180" s="94">
        <f t="shared" si="81"/>
        <v>50.415758200691542</v>
      </c>
      <c r="Q180" s="94">
        <f t="shared" si="82"/>
        <v>-88.337374084532954</v>
      </c>
      <c r="R180" s="94" t="str">
        <f t="shared" si="83"/>
        <v>26.7588397703037-4.23133947654147i</v>
      </c>
      <c r="S180" s="94">
        <f t="shared" si="84"/>
        <v>28.656604034780571</v>
      </c>
      <c r="T180" s="94">
        <f t="shared" si="85"/>
        <v>-8.9857029398911425</v>
      </c>
      <c r="U180" s="94" t="str">
        <f>IMPRODUCT(COMPLEX(-1,0),IMDIV(COMPLEX(1,C180*Calculations!$B$195*Calculations!$B$197),IMPRODUCT(COMPLEX(0,C180*Calculations!$B$184),COMPLEX((Calculations!$B$197+Calculations!$B$199),C180*Calculations!$B$195*Calculations!$B$197*Calculations!$B$199))))</f>
        <v>-4.47734314062482+18.139492917069i</v>
      </c>
      <c r="V180" s="94">
        <f t="shared" si="86"/>
        <v>25.429346773370582</v>
      </c>
      <c r="W180" s="94">
        <f t="shared" si="87"/>
        <v>103.86508968070956</v>
      </c>
      <c r="X180" s="94" t="str">
        <f t="shared" si="88"/>
        <v>-43.0541552322095+504.336943263356i</v>
      </c>
      <c r="Y180" s="94">
        <f t="shared" si="89"/>
        <v>54.085950808151146</v>
      </c>
      <c r="Z180" s="94">
        <f t="shared" si="90"/>
        <v>94.879386740818433</v>
      </c>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row>
    <row r="181" spans="2:93">
      <c r="B181" s="1">
        <v>40</v>
      </c>
      <c r="C181" s="1">
        <f t="shared" si="68"/>
        <v>251.32741228718345</v>
      </c>
      <c r="D181" s="93" t="str">
        <f t="shared" si="69"/>
        <v>0.464189440101265-0.188665269264041i</v>
      </c>
      <c r="E181" s="1">
        <f t="shared" si="70"/>
        <v>-6.0021136983720531</v>
      </c>
      <c r="F181" s="1">
        <f t="shared" si="71"/>
        <v>-22.118803782050481</v>
      </c>
      <c r="G181" s="1" t="str">
        <f t="shared" si="72"/>
        <v>2771.42131666181+549.45032058323i</v>
      </c>
      <c r="H181" s="1">
        <f t="shared" si="77"/>
        <v>69.021482723576099</v>
      </c>
      <c r="I181" s="1">
        <f t="shared" si="78"/>
        <v>11.213808098178863</v>
      </c>
      <c r="J181" s="95" t="str">
        <f t="shared" si="73"/>
        <v>189.682728833297-1.76092680553504i</v>
      </c>
      <c r="K181" s="94">
        <f t="shared" si="79"/>
        <v>45.560930054705025</v>
      </c>
      <c r="L181" s="94">
        <f t="shared" si="80"/>
        <v>-0.53189226179427607</v>
      </c>
      <c r="M181" s="1">
        <f t="shared" si="74"/>
        <v>0.1985416666666667</v>
      </c>
      <c r="N181" s="94">
        <f t="shared" si="75"/>
        <v>2.5000000000000001E-3</v>
      </c>
      <c r="O181" s="94" t="str">
        <f t="shared" si="76"/>
        <v>9.62492643647894-248.706207667489i</v>
      </c>
      <c r="P181" s="94">
        <f t="shared" si="81"/>
        <v>47.920232020510845</v>
      </c>
      <c r="Q181" s="94">
        <f t="shared" si="82"/>
        <v>-87.783760179323494</v>
      </c>
      <c r="R181" s="94" t="str">
        <f t="shared" si="83"/>
        <v>26.2602104968185-5.53641058086552i</v>
      </c>
      <c r="S181" s="94">
        <f t="shared" si="84"/>
        <v>28.57483566907764</v>
      </c>
      <c r="T181" s="94">
        <f t="shared" si="85"/>
        <v>-11.905256558311958</v>
      </c>
      <c r="U181" s="94" t="str">
        <f>IMPRODUCT(COMPLEX(-1,0),IMDIV(COMPLEX(1,C181*Calculations!$B$195*Calculations!$B$197),IMPRODUCT(COMPLEX(0,C181*Calculations!$B$184),COMPLEX((Calculations!$B$197+Calculations!$B$199),C181*Calculations!$B$195*Calculations!$B$197*Calculations!$B$199))))</f>
        <v>-4.47733095297311+13.6095057375538i</v>
      </c>
      <c r="V181" s="94">
        <f t="shared" si="86"/>
        <v>23.123151974157103</v>
      </c>
      <c r="W181" s="94">
        <f t="shared" si="87"/>
        <v>108.21045933377574</v>
      </c>
      <c r="X181" s="94" t="str">
        <f t="shared" si="88"/>
        <v>-42.227841723252+382.176827887899i</v>
      </c>
      <c r="Y181" s="94">
        <f t="shared" si="89"/>
        <v>51.69798764323474</v>
      </c>
      <c r="Z181" s="94">
        <f t="shared" si="90"/>
        <v>96.305202775463798</v>
      </c>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row>
    <row r="182" spans="2:93">
      <c r="B182" s="1">
        <v>50</v>
      </c>
      <c r="C182" s="1">
        <f t="shared" si="68"/>
        <v>314.15926535897933</v>
      </c>
      <c r="D182" s="93" t="str">
        <f t="shared" si="69"/>
        <v>0.429662983871539-0.218078046979013i</v>
      </c>
      <c r="E182" s="1">
        <f t="shared" si="70"/>
        <v>-6.3419705191348115</v>
      </c>
      <c r="F182" s="1">
        <f t="shared" si="71"/>
        <v>-26.910347180101482</v>
      </c>
      <c r="G182" s="1" t="str">
        <f t="shared" si="72"/>
        <v>2777.05039592996+687.439696105793i</v>
      </c>
      <c r="H182" s="1">
        <f t="shared" si="77"/>
        <v>69.129965167768702</v>
      </c>
      <c r="I182" s="1">
        <f t="shared" si="78"/>
        <v>13.903678283203057</v>
      </c>
      <c r="J182" s="95" t="str">
        <f t="shared" si="73"/>
        <v>189.866474221374-2.20547891399597i</v>
      </c>
      <c r="K182" s="94">
        <f t="shared" si="79"/>
        <v>45.569551669319701</v>
      </c>
      <c r="L182" s="94">
        <f t="shared" si="80"/>
        <v>-0.6655148102675823</v>
      </c>
      <c r="M182" s="1">
        <f t="shared" si="74"/>
        <v>0.1985416666666667</v>
      </c>
      <c r="N182" s="94">
        <f t="shared" si="75"/>
        <v>2.5000000000000001E-3</v>
      </c>
      <c r="O182" s="94" t="str">
        <f t="shared" si="76"/>
        <v>9.62488505749244-198.976940079876i</v>
      </c>
      <c r="P182" s="94">
        <f t="shared" si="81"/>
        <v>45.986204870819442</v>
      </c>
      <c r="Q182" s="94">
        <f t="shared" si="82"/>
        <v>-87.230655061172314</v>
      </c>
      <c r="R182" s="94" t="str">
        <f t="shared" si="83"/>
        <v>25.645883829012-6.75823261627462i</v>
      </c>
      <c r="S182" s="94">
        <f t="shared" si="84"/>
        <v>28.471931429769576</v>
      </c>
      <c r="T182" s="94">
        <f t="shared" si="85"/>
        <v>-14.76302571479299</v>
      </c>
      <c r="U182" s="94" t="str">
        <f>IMPRODUCT(COMPLEX(-1,0),IMDIV(COMPLEX(1,C182*Calculations!$B$195*Calculations!$B$197),IMPRODUCT(COMPLEX(0,C182*Calculations!$B$184),COMPLEX((Calculations!$B$197+Calculations!$B$199),C182*Calculations!$B$195*Calculations!$B$197*Calculations!$B$199))))</f>
        <v>-4.4773152832327+10.8926302099477i</v>
      </c>
      <c r="V182" s="94">
        <f t="shared" si="86"/>
        <v>21.420631378168128</v>
      </c>
      <c r="W182" s="94">
        <f t="shared" si="87"/>
        <v>112.34466148009085</v>
      </c>
      <c r="X182" s="94" t="str">
        <f t="shared" si="88"/>
        <v>-41.209778857759+309.609867137193i</v>
      </c>
      <c r="Y182" s="94">
        <f t="shared" si="89"/>
        <v>49.892562807937693</v>
      </c>
      <c r="Z182" s="94">
        <f t="shared" si="90"/>
        <v>97.581635765297875</v>
      </c>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row>
    <row r="183" spans="2:93">
      <c r="B183" s="1">
        <v>60</v>
      </c>
      <c r="C183" s="1">
        <f t="shared" si="68"/>
        <v>376.99111843077515</v>
      </c>
      <c r="D183" s="93" t="str">
        <f t="shared" si="69"/>
        <v>0.393928649273775-0.239644098082114i</v>
      </c>
      <c r="E183" s="1">
        <f t="shared" si="70"/>
        <v>-6.724182030975502</v>
      </c>
      <c r="F183" s="1">
        <f t="shared" si="71"/>
        <v>-31.313985932911798</v>
      </c>
      <c r="G183" s="1" t="str">
        <f t="shared" si="72"/>
        <v>2783.95284250139+825.848684777223i</v>
      </c>
      <c r="H183" s="1">
        <f t="shared" si="77"/>
        <v>69.259522028335951</v>
      </c>
      <c r="I183" s="1">
        <f t="shared" si="78"/>
        <v>16.522783069727385</v>
      </c>
      <c r="J183" s="95" t="str">
        <f t="shared" si="73"/>
        <v>190.091506110004-2.6529317356125i</v>
      </c>
      <c r="K183" s="94">
        <f t="shared" si="79"/>
        <v>45.580100035022888</v>
      </c>
      <c r="L183" s="94">
        <f t="shared" si="80"/>
        <v>-0.79957241373598464</v>
      </c>
      <c r="M183" s="1">
        <f t="shared" si="74"/>
        <v>0.1985416666666667</v>
      </c>
      <c r="N183" s="94">
        <f t="shared" si="75"/>
        <v>2.5000000000000001E-3</v>
      </c>
      <c r="O183" s="94" t="str">
        <f t="shared" si="76"/>
        <v>9.62483448365881-165.826312302341i</v>
      </c>
      <c r="P183" s="94">
        <f t="shared" si="81"/>
        <v>44.407674930004887</v>
      </c>
      <c r="Q183" s="94">
        <f t="shared" si="82"/>
        <v>-86.678184700166838</v>
      </c>
      <c r="R183" s="94" t="str">
        <f t="shared" si="83"/>
        <v>24.933134057489-7.88394582256108i</v>
      </c>
      <c r="S183" s="94">
        <f t="shared" si="84"/>
        <v>28.349403859772345</v>
      </c>
      <c r="T183" s="94">
        <f t="shared" si="85"/>
        <v>-17.547139934103409</v>
      </c>
      <c r="U183" s="94" t="str">
        <f>IMPRODUCT(COMPLEX(-1,0),IMDIV(COMPLEX(1,C183*Calculations!$B$195*Calculations!$B$197),IMPRODUCT(COMPLEX(0,C183*Calculations!$B$184),COMPLEX((Calculations!$B$197+Calculations!$B$199),C183*Calculations!$B$195*Calculations!$B$197*Calculations!$B$199))))</f>
        <v>-4.47729613147668+9.08231048875346i</v>
      </c>
      <c r="V183" s="94">
        <f t="shared" si="86"/>
        <v>20.108702062912279</v>
      </c>
      <c r="W183" s="94">
        <f t="shared" si="87"/>
        <v>116.24186133150718</v>
      </c>
      <c r="X183" s="94" t="str">
        <f t="shared" si="88"/>
        <v>-40.0285808241744+261.749225099953i</v>
      </c>
      <c r="Y183" s="94">
        <f t="shared" si="89"/>
        <v>48.458105922684631</v>
      </c>
      <c r="Z183" s="94">
        <f t="shared" si="90"/>
        <v>98.694721397403782</v>
      </c>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row>
    <row r="184" spans="2:93">
      <c r="B184" s="1">
        <v>70</v>
      </c>
      <c r="C184" s="1">
        <f t="shared" si="68"/>
        <v>439.82297150257102</v>
      </c>
      <c r="D184" s="93" t="str">
        <f t="shared" si="69"/>
        <v>0.358757673807198-0.254265848210311i</v>
      </c>
      <c r="E184" s="1">
        <f t="shared" si="70"/>
        <v>-7.1363742777017354</v>
      </c>
      <c r="F184" s="1">
        <f t="shared" si="71"/>
        <v>-35.326719062694188</v>
      </c>
      <c r="G184" s="1" t="str">
        <f t="shared" si="72"/>
        <v>2792.14228221197+964.762967101646i</v>
      </c>
      <c r="H184" s="1">
        <f t="shared" si="77"/>
        <v>69.408563221788512</v>
      </c>
      <c r="I184" s="1">
        <f t="shared" si="78"/>
        <v>19.06145754649696</v>
      </c>
      <c r="J184" s="95" t="str">
        <f t="shared" si="73"/>
        <v>190.358099029165-3.10388601233666i</v>
      </c>
      <c r="K184" s="94">
        <f t="shared" si="79"/>
        <v>45.592581687043108</v>
      </c>
      <c r="L184" s="94">
        <f t="shared" si="80"/>
        <v>-0.93415416155616848</v>
      </c>
      <c r="M184" s="1">
        <f t="shared" si="74"/>
        <v>0.1985416666666667</v>
      </c>
      <c r="N184" s="94">
        <f t="shared" si="75"/>
        <v>2.5000000000000001E-3</v>
      </c>
      <c r="O184" s="94" t="str">
        <f t="shared" si="76"/>
        <v>9.62477471526788-142.149192927789i</v>
      </c>
      <c r="P184" s="94">
        <f t="shared" si="81"/>
        <v>43.074752712589813</v>
      </c>
      <c r="Q184" s="94">
        <f t="shared" si="82"/>
        <v>-86.126474254383979</v>
      </c>
      <c r="R184" s="94" t="str">
        <f t="shared" si="83"/>
        <v>24.1404382799592-8.90478673523734i</v>
      </c>
      <c r="S184" s="94">
        <f t="shared" si="84"/>
        <v>28.208947173574551</v>
      </c>
      <c r="T184" s="94">
        <f t="shared" si="85"/>
        <v>-20.24772047653569</v>
      </c>
      <c r="U184" s="94" t="str">
        <f>IMPRODUCT(COMPLEX(-1,0),IMDIV(COMPLEX(1,C184*Calculations!$B$195*Calculations!$B$197),IMPRODUCT(COMPLEX(0,C184*Calculations!$B$184),COMPLEX((Calculations!$B$197+Calculations!$B$199),C184*Calculations!$B$195*Calculations!$B$197*Calculations!$B$199))))</f>
        <v>-4.47727349779448+7.79002263646467i</v>
      </c>
      <c r="V184" s="94">
        <f t="shared" si="86"/>
        <v>19.070372692023216</v>
      </c>
      <c r="W184" s="94">
        <f t="shared" si="87"/>
        <v>119.88790357635325</v>
      </c>
      <c r="X184" s="94" t="str">
        <f t="shared" si="88"/>
        <v>-38.7148542956155+227.92372630825i</v>
      </c>
      <c r="Y184" s="94">
        <f t="shared" si="89"/>
        <v>47.279319865597749</v>
      </c>
      <c r="Z184" s="94">
        <f t="shared" si="90"/>
        <v>99.640183099817577</v>
      </c>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row>
    <row r="185" spans="2:93">
      <c r="B185" s="1">
        <v>80</v>
      </c>
      <c r="C185" s="1">
        <f t="shared" si="68"/>
        <v>502.6548245743669</v>
      </c>
      <c r="D185" s="93" t="str">
        <f t="shared" si="69"/>
        <v>0.325342435782946-0.263098100736059i</v>
      </c>
      <c r="E185" s="1">
        <f t="shared" si="70"/>
        <v>-7.5679245783396158</v>
      </c>
      <c r="F185" s="1">
        <f t="shared" si="71"/>
        <v>-38.961794408931858</v>
      </c>
      <c r="G185" s="1" t="str">
        <f t="shared" si="72"/>
        <v>2801.63495559139+1104.26919305412i</v>
      </c>
      <c r="H185" s="1">
        <f t="shared" si="77"/>
        <v>69.575387557835782</v>
      </c>
      <c r="I185" s="1">
        <f t="shared" si="78"/>
        <v>21.511963877730423</v>
      </c>
      <c r="J185" s="95" t="str">
        <f t="shared" si="73"/>
        <v>190.66657926825-3.55895392444094i</v>
      </c>
      <c r="K185" s="94">
        <f t="shared" si="79"/>
        <v>45.607004379179237</v>
      </c>
      <c r="L185" s="94">
        <f t="shared" si="80"/>
        <v>-1.069350292181698</v>
      </c>
      <c r="M185" s="1">
        <f t="shared" si="74"/>
        <v>0.1985416666666667</v>
      </c>
      <c r="N185" s="94">
        <f t="shared" si="75"/>
        <v>2.5000000000000001E-3</v>
      </c>
      <c r="O185" s="94" t="str">
        <f t="shared" si="76"/>
        <v>9.62470575266231-124.393016243142i</v>
      </c>
      <c r="P185" s="94">
        <f t="shared" si="81"/>
        <v>41.921842089842094</v>
      </c>
      <c r="Q185" s="94">
        <f t="shared" si="82"/>
        <v>-85.575647913217338</v>
      </c>
      <c r="R185" s="94" t="str">
        <f t="shared" si="83"/>
        <v>23.2864441958361-9.8159696131773i</v>
      </c>
      <c r="S185" s="94">
        <f t="shared" si="84"/>
        <v>28.052369000428982</v>
      </c>
      <c r="T185" s="94">
        <f t="shared" si="85"/>
        <v>-22.856955325878673</v>
      </c>
      <c r="U185" s="94" t="str">
        <f>IMPRODUCT(COMPLEX(-1,0),IMDIV(COMPLEX(1,C185*Calculations!$B$195*Calculations!$B$197),IMPRODUCT(COMPLEX(0,C185*Calculations!$B$184),COMPLEX((Calculations!$B$197+Calculations!$B$199),C185*Calculations!$B$195*Calculations!$B$197*Calculations!$B$199))))</f>
        <v>-4.47724738229163+6.8215046810714i</v>
      </c>
      <c r="V185" s="94">
        <f t="shared" si="86"/>
        <v>18.233351168211872</v>
      </c>
      <c r="W185" s="94">
        <f t="shared" si="87"/>
        <v>123.27861546841915</v>
      </c>
      <c r="X185" s="94" t="str">
        <f t="shared" si="88"/>
        <v>-37.2994886531437+202.797112342656i</v>
      </c>
      <c r="Y185" s="94">
        <f t="shared" si="89"/>
        <v>46.285720168640843</v>
      </c>
      <c r="Z185" s="94">
        <f t="shared" si="90"/>
        <v>100.42166014254049</v>
      </c>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row>
    <row r="186" spans="2:93">
      <c r="B186" s="1">
        <v>90</v>
      </c>
      <c r="C186" s="1">
        <f t="shared" si="68"/>
        <v>565.48667764616278</v>
      </c>
      <c r="D186" s="93" t="str">
        <f t="shared" si="69"/>
        <v>0.29437493946257-0.267323029623751i</v>
      </c>
      <c r="E186" s="1">
        <f t="shared" si="70"/>
        <v>-8.0101811862025869</v>
      </c>
      <c r="F186" s="1">
        <f t="shared" si="71"/>
        <v>-42.242711126260033</v>
      </c>
      <c r="G186" s="1" t="str">
        <f t="shared" si="72"/>
        <v>2812.44978825768+1244.45515259912i</v>
      </c>
      <c r="H186" s="1">
        <f t="shared" si="77"/>
        <v>69.758242167639665</v>
      </c>
      <c r="I186" s="1">
        <f t="shared" si="78"/>
        <v>23.868472160731923</v>
      </c>
      <c r="J186" s="95" t="str">
        <f t="shared" si="73"/>
        <v>191.017325814111-4.01876116818582i</v>
      </c>
      <c r="K186" s="94">
        <f t="shared" si="79"/>
        <v>45.623377099176551</v>
      </c>
      <c r="L186" s="94">
        <f t="shared" si="80"/>
        <v>-1.2052523977079128</v>
      </c>
      <c r="M186" s="1">
        <f t="shared" si="74"/>
        <v>0.1985416666666667</v>
      </c>
      <c r="N186" s="94">
        <f t="shared" si="75"/>
        <v>2.5000000000000001E-3</v>
      </c>
      <c r="O186" s="94" t="str">
        <f t="shared" si="76"/>
        <v>9.62462759623731-110.584134621551i</v>
      </c>
      <c r="P186" s="94">
        <f t="shared" si="81"/>
        <v>40.906630275158527</v>
      </c>
      <c r="Q186" s="94">
        <f t="shared" si="82"/>
        <v>-85.025828743772792</v>
      </c>
      <c r="R186" s="94" t="str">
        <f t="shared" si="83"/>
        <v>22.3890955022445-10.6163155429467i</v>
      </c>
      <c r="S186" s="94">
        <f t="shared" si="84"/>
        <v>27.88152635190054</v>
      </c>
      <c r="T186" s="94">
        <f t="shared" si="85"/>
        <v>-25.369067848769749</v>
      </c>
      <c r="U186" s="94" t="str">
        <f>IMPRODUCT(COMPLEX(-1,0),IMDIV(COMPLEX(1,C186*Calculations!$B$195*Calculations!$B$197),IMPRODUCT(COMPLEX(0,C186*Calculations!$B$184),COMPLEX((Calculations!$B$197+Calculations!$B$199),C186*Calculations!$B$195*Calculations!$B$197*Calculations!$B$199))))</f>
        <v>-4.47721778509006+6.06883330189606i</v>
      </c>
      <c r="V186" s="94">
        <f t="shared" si="86"/>
        <v>17.549307005380122</v>
      </c>
      <c r="W186" s="94">
        <f t="shared" si="87"/>
        <v>126.41766002261953</v>
      </c>
      <c r="X186" s="94" t="str">
        <f t="shared" si="88"/>
        <v>-35.8122072642573+183.407245144362i</v>
      </c>
      <c r="Y186" s="94">
        <f t="shared" si="89"/>
        <v>45.430833357280676</v>
      </c>
      <c r="Z186" s="94">
        <f t="shared" si="90"/>
        <v>101.04859217384977</v>
      </c>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row>
    <row r="187" spans="2:93">
      <c r="B187" s="1">
        <v>100</v>
      </c>
      <c r="C187" s="1">
        <f t="shared" si="68"/>
        <v>628.31853071795865</v>
      </c>
      <c r="D187" s="93" t="str">
        <f t="shared" si="69"/>
        <v>0.266168571084999-0.26801810072516i</v>
      </c>
      <c r="E187" s="1">
        <f t="shared" si="70"/>
        <v>-8.4563869352711478</v>
      </c>
      <c r="F187" s="1">
        <f t="shared" si="71"/>
        <v>-45.198376007140773</v>
      </c>
      <c r="G187" s="1" t="str">
        <f t="shared" si="72"/>
        <v>2824.60847352461+1385.40995042353i</v>
      </c>
      <c r="H187" s="1">
        <f t="shared" si="77"/>
        <v>69.955375226060823</v>
      </c>
      <c r="I187" s="1">
        <f t="shared" si="78"/>
        <v>26.126961398198496</v>
      </c>
      <c r="J187" s="95" t="str">
        <f t="shared" si="73"/>
        <v>191.41077144559-4.48394911557266i</v>
      </c>
      <c r="K187" s="94">
        <f t="shared" si="79"/>
        <v>45.641710086626439</v>
      </c>
      <c r="L187" s="94">
        <f t="shared" si="80"/>
        <v>-1.341953634631937</v>
      </c>
      <c r="M187" s="1">
        <f t="shared" si="74"/>
        <v>0.1985416666666667</v>
      </c>
      <c r="N187" s="94">
        <f t="shared" si="75"/>
        <v>2.5000000000000001E-3</v>
      </c>
      <c r="O187" s="94" t="str">
        <f t="shared" si="76"/>
        <v>9.62454024644087-99.5383594792856i</v>
      </c>
      <c r="P187" s="94">
        <f t="shared" si="81"/>
        <v>40.000224430111899</v>
      </c>
      <c r="Q187" s="94">
        <f t="shared" si="82"/>
        <v>-84.477138540797782</v>
      </c>
      <c r="R187" s="94" t="str">
        <f t="shared" si="83"/>
        <v>21.4649637712253-11.3077133489285i</v>
      </c>
      <c r="S187" s="94">
        <f t="shared" si="84"/>
        <v>27.698269358432597</v>
      </c>
      <c r="T187" s="94">
        <f t="shared" si="85"/>
        <v>-27.780199657610023</v>
      </c>
      <c r="U187" s="94" t="str">
        <f>IMPRODUCT(COMPLEX(-1,0),IMDIV(COMPLEX(1,C187*Calculations!$B$195*Calculations!$B$197),IMPRODUCT(COMPLEX(0,C187*Calculations!$B$184),COMPLEX((Calculations!$B$197+Calculations!$B$199),C187*Calculations!$B$195*Calculations!$B$197*Calculations!$B$199))))</f>
        <v>-4.47718470632782+5.46725450392711i</v>
      </c>
      <c r="V187" s="94">
        <f t="shared" si="86"/>
        <v>16.984142270940719</v>
      </c>
      <c r="W187" s="94">
        <f t="shared" si="87"/>
        <v>129.31436032875123</v>
      </c>
      <c r="X187" s="94" t="str">
        <f t="shared" si="88"/>
        <v>-34.2804607823646+167.981141124225i</v>
      </c>
      <c r="Y187" s="94">
        <f t="shared" si="89"/>
        <v>44.682411629373306</v>
      </c>
      <c r="Z187" s="94">
        <f t="shared" si="90"/>
        <v>101.53416067114124</v>
      </c>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row>
    <row r="188" spans="2:93">
      <c r="B188" s="1">
        <v>200</v>
      </c>
      <c r="C188" s="1">
        <f t="shared" si="68"/>
        <v>1256.6370614359173</v>
      </c>
      <c r="D188" s="93" t="str">
        <f t="shared" si="69"/>
        <v>0.108076596099517-0.210871971465481i</v>
      </c>
      <c r="E188" s="1">
        <f t="shared" si="70"/>
        <v>-12.506692747248662</v>
      </c>
      <c r="F188" s="1">
        <f t="shared" si="71"/>
        <v>-62.863846694572963</v>
      </c>
      <c r="G188" s="1" t="str">
        <f t="shared" si="72"/>
        <v>3027.09371878004+2858.16599693874i</v>
      </c>
      <c r="H188" s="1">
        <f t="shared" si="77"/>
        <v>72.388589349316334</v>
      </c>
      <c r="I188" s="1">
        <f t="shared" si="78"/>
        <v>43.355860374007506</v>
      </c>
      <c r="J188" s="95" t="str">
        <f t="shared" si="73"/>
        <v>197.830397070026-9.58898458426134i</v>
      </c>
      <c r="K188" s="94">
        <f t="shared" si="79"/>
        <v>45.936051853326219</v>
      </c>
      <c r="L188" s="94">
        <f t="shared" si="80"/>
        <v>-2.7749966533286892</v>
      </c>
      <c r="M188" s="1">
        <f t="shared" si="74"/>
        <v>0.1985416666666667</v>
      </c>
      <c r="N188" s="94">
        <f t="shared" si="75"/>
        <v>2.5000000000000001E-3</v>
      </c>
      <c r="O188" s="94" t="str">
        <f t="shared" si="76"/>
        <v>9.62316124925619-49.8689407480311i</v>
      </c>
      <c r="P188" s="94">
        <f t="shared" si="81"/>
        <v>34.115383074692843</v>
      </c>
      <c r="Q188" s="94">
        <f t="shared" si="82"/>
        <v>-79.077936783256888</v>
      </c>
      <c r="R188" s="94" t="str">
        <f t="shared" si="83"/>
        <v>13.0110967016081-13.6855297118018i</v>
      </c>
      <c r="S188" s="94">
        <f t="shared" si="84"/>
        <v>25.521598560413246</v>
      </c>
      <c r="T188" s="94">
        <f t="shared" si="85"/>
        <v>-46.447147177597877</v>
      </c>
      <c r="U188" s="94" t="str">
        <f>IMPRODUCT(COMPLEX(-1,0),IMDIV(COMPLEX(1,C188*Calculations!$B$195*Calculations!$B$197),IMPRODUCT(COMPLEX(0,C188*Calculations!$B$184),COMPLEX((Calculations!$B$197+Calculations!$B$199),C188*Calculations!$B$195*Calculations!$B$197*Calculations!$B$199))))</f>
        <v>-4.47666247486264+2.77549994379356i</v>
      </c>
      <c r="V188" s="94">
        <f t="shared" si="86"/>
        <v>14.431676176862831</v>
      </c>
      <c r="W188" s="94">
        <f t="shared" si="87"/>
        <v>148.20137183572865</v>
      </c>
      <c r="X188" s="94" t="str">
        <f t="shared" si="88"/>
        <v>-20.2621014150071+97.3777954734467i</v>
      </c>
      <c r="Y188" s="94">
        <f t="shared" si="89"/>
        <v>39.953274737276075</v>
      </c>
      <c r="Z188" s="94">
        <f t="shared" si="90"/>
        <v>101.75422465813078</v>
      </c>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row>
    <row r="189" spans="2:93">
      <c r="B189" s="1">
        <v>300</v>
      </c>
      <c r="C189" s="1">
        <f t="shared" si="68"/>
        <v>1884.9555921538758</v>
      </c>
      <c r="D189" s="93" t="str">
        <f t="shared" si="69"/>
        <v>0.056533784456825-0.157287753984979i</v>
      </c>
      <c r="E189" s="1">
        <f t="shared" si="70"/>
        <v>-15.538434525268778</v>
      </c>
      <c r="F189" s="1">
        <f t="shared" si="71"/>
        <v>-70.230089884950445</v>
      </c>
      <c r="G189" s="1" t="str">
        <f t="shared" si="72"/>
        <v>3414.18756410155+4523.48942443114i</v>
      </c>
      <c r="H189" s="1">
        <f t="shared" si="77"/>
        <v>75.067570570077024</v>
      </c>
      <c r="I189" s="1">
        <f t="shared" si="78"/>
        <v>52.955642747459571</v>
      </c>
      <c r="J189" s="95" t="str">
        <f t="shared" si="73"/>
        <v>209.468508251986-16.1616997914479i</v>
      </c>
      <c r="K189" s="94">
        <f t="shared" si="79"/>
        <v>46.448151740462755</v>
      </c>
      <c r="L189" s="94">
        <f t="shared" si="80"/>
        <v>-4.4119578681048433</v>
      </c>
      <c r="M189" s="1">
        <f t="shared" si="74"/>
        <v>0.1985416666666667</v>
      </c>
      <c r="N189" s="94">
        <f t="shared" si="75"/>
        <v>2.5000000000000001E-3</v>
      </c>
      <c r="O189" s="94" t="str">
        <f t="shared" si="76"/>
        <v>9.62086379854637-33.3567637220141i</v>
      </c>
      <c r="P189" s="94">
        <f t="shared" si="81"/>
        <v>30.81071629232617</v>
      </c>
      <c r="Q189" s="94">
        <f t="shared" si="82"/>
        <v>-73.911212729748613</v>
      </c>
      <c r="R189" s="94" t="str">
        <f t="shared" si="83"/>
        <v>7.87536256153623-12.3978368176543i</v>
      </c>
      <c r="S189" s="94">
        <f t="shared" si="84"/>
        <v>23.339058996051406</v>
      </c>
      <c r="T189" s="94">
        <f t="shared" si="85"/>
        <v>-57.575442125121455</v>
      </c>
      <c r="U189" s="94" t="str">
        <f>IMPRODUCT(COMPLEX(-1,0),IMDIV(COMPLEX(1,C189*Calculations!$B$195*Calculations!$B$197),IMPRODUCT(COMPLEX(0,C189*Calculations!$B$184),COMPLEX((Calculations!$B$197+Calculations!$B$199),C189*Calculations!$B$195*Calculations!$B$197*Calculations!$B$199))))</f>
        <v>-4.47579235976608+1.89684404026702i</v>
      </c>
      <c r="V189" s="94">
        <f t="shared" si="86"/>
        <v>13.734772218761165</v>
      </c>
      <c r="W189" s="94">
        <f t="shared" si="87"/>
        <v>157.0327340464267</v>
      </c>
      <c r="X189" s="94" t="str">
        <f t="shared" si="88"/>
        <v>-11.7317247035411+70.4284778458757i</v>
      </c>
      <c r="Y189" s="94">
        <f t="shared" si="89"/>
        <v>37.073831214812564</v>
      </c>
      <c r="Z189" s="94">
        <f t="shared" si="90"/>
        <v>99.457291921305227</v>
      </c>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row>
    <row r="190" spans="2:93">
      <c r="B190" s="1">
        <v>400</v>
      </c>
      <c r="C190" s="1">
        <f t="shared" si="68"/>
        <v>2513.2741228718346</v>
      </c>
      <c r="D190" s="93" t="str">
        <f t="shared" si="69"/>
        <v>0.0354740125762843-0.123085352975213i</v>
      </c>
      <c r="E190" s="1">
        <f t="shared" si="70"/>
        <v>-17.849335090364612</v>
      </c>
      <c r="F190" s="1">
        <f t="shared" si="71"/>
        <v>-73.922668752805606</v>
      </c>
      <c r="G190" s="1" t="str">
        <f t="shared" si="72"/>
        <v>4087.55036749717+6529.51360610073i</v>
      </c>
      <c r="H190" s="1">
        <f t="shared" si="77"/>
        <v>77.733666869566733</v>
      </c>
      <c r="I190" s="1">
        <f t="shared" si="78"/>
        <v>57.952961969097579</v>
      </c>
      <c r="J190" s="95" t="str">
        <f t="shared" si="73"/>
        <v>228.050526547271-25.663567073488i</v>
      </c>
      <c r="K190" s="94">
        <f t="shared" si="79"/>
        <v>47.215275420794292</v>
      </c>
      <c r="L190" s="94">
        <f t="shared" si="80"/>
        <v>-6.4207424669126336</v>
      </c>
      <c r="M190" s="1">
        <f t="shared" si="74"/>
        <v>0.1985416666666667</v>
      </c>
      <c r="N190" s="94">
        <f t="shared" si="75"/>
        <v>2.5000000000000001E-3</v>
      </c>
      <c r="O190" s="94" t="str">
        <f t="shared" si="76"/>
        <v>9.61764920988844-25.1338495358115i</v>
      </c>
      <c r="P190" s="94">
        <f t="shared" si="81"/>
        <v>28.598642587512934</v>
      </c>
      <c r="Q190" s="94">
        <f t="shared" si="82"/>
        <v>-69.060289115700655</v>
      </c>
      <c r="R190" s="94" t="str">
        <f t="shared" si="83"/>
        <v>5.08534453523092-10.652057302064i</v>
      </c>
      <c r="S190" s="94">
        <f t="shared" si="84"/>
        <v>21.440354536740909</v>
      </c>
      <c r="T190" s="94">
        <f t="shared" si="85"/>
        <v>-64.479961135425327</v>
      </c>
      <c r="U190" s="94" t="str">
        <f>IMPRODUCT(COMPLEX(-1,0),IMDIV(COMPLEX(1,C190*Calculations!$B$195*Calculations!$B$197),IMPRODUCT(COMPLEX(0,C190*Calculations!$B$184),COMPLEX((Calculations!$B$197+Calculations!$B$199),C190*Calculations!$B$195*Calculations!$B$197*Calculations!$B$199))))</f>
        <v>-4.47457476672483+1.4714465368442i</v>
      </c>
      <c r="V190" s="94">
        <f t="shared" si="86"/>
        <v>13.460980794074764</v>
      </c>
      <c r="W190" s="94">
        <f t="shared" si="87"/>
        <v>161.79675052802645</v>
      </c>
      <c r="X190" s="94" t="str">
        <f t="shared" si="88"/>
        <v>-7.08082151005824+55.1462394225477i</v>
      </c>
      <c r="Y190" s="94">
        <f t="shared" si="89"/>
        <v>34.901335330815684</v>
      </c>
      <c r="Z190" s="94">
        <f t="shared" si="90"/>
        <v>97.316789392601123</v>
      </c>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row>
    <row r="191" spans="2:93">
      <c r="B191" s="1">
        <v>500</v>
      </c>
      <c r="C191" s="1">
        <f t="shared" si="68"/>
        <v>3141.5926535897929</v>
      </c>
      <c r="D191" s="93" t="str">
        <f t="shared" si="69"/>
        <v>0.0250948229446065-0.100486790489377i</v>
      </c>
      <c r="E191" s="1">
        <f t="shared" si="70"/>
        <v>-19.695077437381347</v>
      </c>
      <c r="F191" s="1">
        <f t="shared" si="71"/>
        <v>-75.978179522150029</v>
      </c>
      <c r="G191" s="1" t="str">
        <f t="shared" si="72"/>
        <v>5272.05372221552+9110.16982890745i</v>
      </c>
      <c r="H191" s="1">
        <f t="shared" si="77"/>
        <v>80.444995618397598</v>
      </c>
      <c r="I191" s="1">
        <f t="shared" si="78"/>
        <v>59.942040828449905</v>
      </c>
      <c r="J191" s="95" t="str">
        <f t="shared" si="73"/>
        <v>256.801281272132-41.0981390582444i</v>
      </c>
      <c r="K191" s="94">
        <f t="shared" si="79"/>
        <v>48.30177627140457</v>
      </c>
      <c r="L191" s="94">
        <f t="shared" si="80"/>
        <v>-9.0924380033894856</v>
      </c>
      <c r="M191" s="1">
        <f t="shared" si="74"/>
        <v>0.1985416666666667</v>
      </c>
      <c r="N191" s="94">
        <f t="shared" si="75"/>
        <v>2.5000000000000001E-3</v>
      </c>
      <c r="O191" s="94" t="str">
        <f t="shared" si="76"/>
        <v>9.61351932245362-20.2265872649511i</v>
      </c>
      <c r="P191" s="94">
        <f t="shared" si="81"/>
        <v>27.003008876178786</v>
      </c>
      <c r="Q191" s="94">
        <f t="shared" si="82"/>
        <v>-64.578669447843282</v>
      </c>
      <c r="R191" s="94" t="str">
        <f t="shared" si="83"/>
        <v>3.50013938090536-9.15336383012308i</v>
      </c>
      <c r="S191" s="94">
        <f t="shared" si="84"/>
        <v>19.824297446320305</v>
      </c>
      <c r="T191" s="94">
        <f t="shared" si="85"/>
        <v>-69.073729963118879</v>
      </c>
      <c r="U191" s="94" t="str">
        <f>IMPRODUCT(COMPLEX(-1,0),IMDIV(COMPLEX(1,C191*Calculations!$B$195*Calculations!$B$197),IMPRODUCT(COMPLEX(0,C191*Calculations!$B$184),COMPLEX((Calculations!$B$197+Calculations!$B$199),C191*Calculations!$B$195*Calculations!$B$197*Calculations!$B$199))))</f>
        <v>-4.47301026303837+1.22733419896007i</v>
      </c>
      <c r="V191" s="94">
        <f t="shared" si="86"/>
        <v>13.327245969901689</v>
      </c>
      <c r="W191" s="94">
        <f t="shared" si="87"/>
        <v>164.6564266713813</v>
      </c>
      <c r="X191" s="94" t="str">
        <f t="shared" si="88"/>
        <v>-4.42192290862025+45.2389311167768i</v>
      </c>
      <c r="Y191" s="94">
        <f t="shared" si="89"/>
        <v>33.151543416221983</v>
      </c>
      <c r="Z191" s="94">
        <f t="shared" si="90"/>
        <v>95.582696708262432</v>
      </c>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row>
    <row r="192" spans="2:93">
      <c r="B192" s="1">
        <v>600</v>
      </c>
      <c r="C192" s="1">
        <f t="shared" si="68"/>
        <v>3769.9111843077517</v>
      </c>
      <c r="D192" s="93" t="str">
        <f t="shared" si="69"/>
        <v>0.0192763791722141-0.0846819507217282i</v>
      </c>
      <c r="E192" s="1">
        <f t="shared" si="70"/>
        <v>-21.224782569225745</v>
      </c>
      <c r="F192" s="1">
        <f t="shared" si="71"/>
        <v>-77.176124784545806</v>
      </c>
      <c r="G192" s="1" t="str">
        <f t="shared" si="72"/>
        <v>7513.34169372985+12659.5510009204i</v>
      </c>
      <c r="H192" s="1">
        <f t="shared" si="77"/>
        <v>83.358880402427644</v>
      </c>
      <c r="I192" s="1">
        <f t="shared" si="78"/>
        <v>59.311209828612697</v>
      </c>
      <c r="J192" s="95" t="str">
        <f t="shared" si="73"/>
        <v>301.711587964622-69.7123059878592i</v>
      </c>
      <c r="K192" s="94">
        <f t="shared" si="79"/>
        <v>49.81771905179108</v>
      </c>
      <c r="L192" s="94">
        <f t="shared" si="80"/>
        <v>-13.010221720704516</v>
      </c>
      <c r="M192" s="1">
        <f t="shared" si="74"/>
        <v>0.1985416666666667</v>
      </c>
      <c r="N192" s="94">
        <f t="shared" si="75"/>
        <v>2.5000000000000001E-3</v>
      </c>
      <c r="O192" s="94" t="str">
        <f t="shared" si="76"/>
        <v>9.60847649637969-16.9770940384923i</v>
      </c>
      <c r="P192" s="94">
        <f t="shared" si="81"/>
        <v>25.804054980621977</v>
      </c>
      <c r="Q192" s="94">
        <f t="shared" si="82"/>
        <v>-60.491567089833318</v>
      </c>
      <c r="R192" s="94" t="str">
        <f t="shared" si="83"/>
        <v>2.53619274571072-7.9611656796473i</v>
      </c>
      <c r="S192" s="94">
        <f t="shared" si="84"/>
        <v>18.439327713108881</v>
      </c>
      <c r="T192" s="94">
        <f t="shared" si="85"/>
        <v>-72.329654142016793</v>
      </c>
      <c r="U192" s="94" t="str">
        <f>IMPRODUCT(COMPLEX(-1,0),IMDIV(COMPLEX(1,C192*Calculations!$B$195*Calculations!$B$197),IMPRODUCT(COMPLEX(0,C192*Calculations!$B$184),COMPLEX((Calculations!$B$197+Calculations!$B$199),C192*Calculations!$B$195*Calculations!$B$197*Calculations!$B$199))))</f>
        <v>-4.47109957695856+1.07384498001898i</v>
      </c>
      <c r="V192" s="94">
        <f t="shared" si="86"/>
        <v>13.251845717121046</v>
      </c>
      <c r="W192" s="94">
        <f t="shared" si="87"/>
        <v>166.49480290934204</v>
      </c>
      <c r="X192" s="94" t="str">
        <f t="shared" si="88"/>
        <v>-2.79051251224393+38.31864235071i</v>
      </c>
      <c r="Y192" s="94">
        <f t="shared" si="89"/>
        <v>31.691173430229917</v>
      </c>
      <c r="Z192" s="94">
        <f t="shared" si="90"/>
        <v>94.165148767325277</v>
      </c>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row>
    <row r="193" spans="2:93">
      <c r="B193" s="1">
        <v>700</v>
      </c>
      <c r="C193" s="1">
        <f t="shared" si="68"/>
        <v>4398.22971502571</v>
      </c>
      <c r="D193" s="93" t="str">
        <f t="shared" si="69"/>
        <v>0.0157042808158279-0.073080735662201i</v>
      </c>
      <c r="E193" s="1">
        <f t="shared" si="70"/>
        <v>-22.527888093959906</v>
      </c>
      <c r="F193" s="1">
        <f t="shared" si="71"/>
        <v>-77.872172868420861</v>
      </c>
      <c r="G193" s="1" t="str">
        <f t="shared" si="72"/>
        <v>12359.0815060738+17781.9151037963i</v>
      </c>
      <c r="H193" s="1">
        <f t="shared" si="77"/>
        <v>86.711204282945374</v>
      </c>
      <c r="I193" s="1">
        <f t="shared" si="78"/>
        <v>55.19928616702105</v>
      </c>
      <c r="J193" s="95" t="str">
        <f t="shared" si="73"/>
        <v>373.121256302719-132.510401072273i</v>
      </c>
      <c r="K193" s="94">
        <f t="shared" si="79"/>
        <v>51.952864448391686</v>
      </c>
      <c r="L193" s="94">
        <f t="shared" si="80"/>
        <v>-19.552001768502763</v>
      </c>
      <c r="M193" s="1">
        <f t="shared" si="74"/>
        <v>0.1985416666666667</v>
      </c>
      <c r="N193" s="94">
        <f t="shared" si="75"/>
        <v>2.5000000000000001E-3</v>
      </c>
      <c r="O193" s="94" t="str">
        <f t="shared" si="76"/>
        <v>9.60252360940387-14.6748379275214i</v>
      </c>
      <c r="P193" s="94">
        <f t="shared" si="81"/>
        <v>24.879289031375137</v>
      </c>
      <c r="Q193" s="94">
        <f t="shared" si="82"/>
        <v>-56.801151590287233</v>
      </c>
      <c r="R193" s="94" t="str">
        <f t="shared" si="83"/>
        <v>1.9124164132867-7.01936404068869i</v>
      </c>
      <c r="S193" s="94">
        <f t="shared" si="84"/>
        <v>17.236921140381067</v>
      </c>
      <c r="T193" s="94">
        <f t="shared" si="85"/>
        <v>-74.759739870943321</v>
      </c>
      <c r="U193" s="94" t="str">
        <f>IMPRODUCT(COMPLEX(-1,0),IMDIV(COMPLEX(1,C193*Calculations!$B$195*Calculations!$B$197),IMPRODUCT(COMPLEX(0,C193*Calculations!$B$184),COMPLEX((Calculations!$B$197+Calculations!$B$199),C193*Calculations!$B$195*Calculations!$B$197*Calculations!$B$199))))</f>
        <v>-4.46884359684341+0.972120049378554i</v>
      </c>
      <c r="V193" s="94">
        <f t="shared" si="86"/>
        <v>13.204699223358073</v>
      </c>
      <c r="W193" s="94">
        <f t="shared" si="87"/>
        <v>167.72748537458349</v>
      </c>
      <c r="X193" s="94" t="str">
        <f t="shared" si="88"/>
        <v>-1.72262532517417+33.2275383852612i</v>
      </c>
      <c r="Y193" s="94">
        <f t="shared" si="89"/>
        <v>30.441620363739151</v>
      </c>
      <c r="Z193" s="94">
        <f t="shared" si="90"/>
        <v>92.967745503640174</v>
      </c>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row>
    <row r="194" spans="2:93">
      <c r="B194" s="1">
        <v>800</v>
      </c>
      <c r="C194" s="1">
        <f t="shared" si="68"/>
        <v>5026.5482457436692</v>
      </c>
      <c r="D194" s="93" t="str">
        <f t="shared" si="69"/>
        <v>0.0133595988783427-0.0642306346136558i</v>
      </c>
      <c r="E194" s="1">
        <f t="shared" si="70"/>
        <v>-23.66122358635478</v>
      </c>
      <c r="F194" s="1">
        <f t="shared" si="71"/>
        <v>-78.250335462055247</v>
      </c>
      <c r="G194" s="1" t="str">
        <f t="shared" si="72"/>
        <v>25036.8444029368+24103.0879437714i</v>
      </c>
      <c r="H194" s="1">
        <f t="shared" si="77"/>
        <v>90.819958976294657</v>
      </c>
      <c r="I194" s="1">
        <f t="shared" si="78"/>
        <v>43.911397231837277</v>
      </c>
      <c r="J194" s="95" t="str">
        <f t="shared" si="73"/>
        <v>472.580353922297-303.444715807043i</v>
      </c>
      <c r="K194" s="94">
        <f t="shared" si="79"/>
        <v>54.988766790051983</v>
      </c>
      <c r="L194" s="94">
        <f t="shared" si="80"/>
        <v>-32.704594788507443</v>
      </c>
      <c r="M194" s="1">
        <f t="shared" si="74"/>
        <v>0.1985416666666667</v>
      </c>
      <c r="N194" s="94">
        <f t="shared" si="75"/>
        <v>2.5000000000000001E-3</v>
      </c>
      <c r="O194" s="94" t="str">
        <f t="shared" si="76"/>
        <v>9.59566405276631-12.9645436804773i</v>
      </c>
      <c r="P194" s="94">
        <f t="shared" si="81"/>
        <v>24.152341160475267</v>
      </c>
      <c r="Q194" s="94">
        <f t="shared" si="82"/>
        <v>-53.493128566123396</v>
      </c>
      <c r="R194" s="94" t="str">
        <f t="shared" si="83"/>
        <v>1.4872398886836-6.26710638646033i</v>
      </c>
      <c r="S194" s="94">
        <f t="shared" si="84"/>
        <v>16.17927785141584</v>
      </c>
      <c r="T194" s="94">
        <f t="shared" si="85"/>
        <v>-76.650148621788603</v>
      </c>
      <c r="U194" s="94" t="str">
        <f>IMPRODUCT(COMPLEX(-1,0),IMDIV(COMPLEX(1,C194*Calculations!$B$195*Calculations!$B$197),IMPRODUCT(COMPLEX(0,C194*Calculations!$B$184),COMPLEX((Calculations!$B$197+Calculations!$B$199),C194*Calculations!$B$195*Calculations!$B$197*Calculations!$B$199))))</f>
        <v>-4.46624337012602+0.902726803040923i</v>
      </c>
      <c r="V194" s="94">
        <f t="shared" si="86"/>
        <v>13.172743224484938</v>
      </c>
      <c r="W194" s="94">
        <f t="shared" si="87"/>
        <v>168.57320057363211</v>
      </c>
      <c r="X194" s="94" t="str">
        <f t="shared" si="88"/>
        <v>-0.984890380053404+29.3329936584692i</v>
      </c>
      <c r="Y194" s="94">
        <f t="shared" si="89"/>
        <v>29.35202107590079</v>
      </c>
      <c r="Z194" s="94">
        <f t="shared" si="90"/>
        <v>91.923051951843505</v>
      </c>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row>
    <row r="195" spans="2:93">
      <c r="B195" s="1">
        <v>900</v>
      </c>
      <c r="C195" s="1">
        <f t="shared" si="68"/>
        <v>5654.8667764616275</v>
      </c>
      <c r="D195" s="93" t="str">
        <f t="shared" si="69"/>
        <v>0.011739979557925-0.0572688851233008i</v>
      </c>
      <c r="E195" s="1">
        <f t="shared" si="70"/>
        <v>-24.662848275895264</v>
      </c>
      <c r="F195" s="1">
        <f t="shared" si="71"/>
        <v>-78.415010008974065</v>
      </c>
      <c r="G195" s="1" t="str">
        <f t="shared" si="72"/>
        <v>56591.3028334396+13175.7841952304i</v>
      </c>
      <c r="H195" s="1">
        <f t="shared" si="77"/>
        <v>95.284251870747582</v>
      </c>
      <c r="I195" s="1">
        <f t="shared" si="78"/>
        <v>13.10631519980204</v>
      </c>
      <c r="J195" s="95" t="str">
        <f t="shared" si="73"/>
        <v>355.674731844214-762.197558912212i</v>
      </c>
      <c r="K195" s="94">
        <f t="shared" si="79"/>
        <v>58.496955260455763</v>
      </c>
      <c r="L195" s="94">
        <f t="shared" si="80"/>
        <v>-64.984184457116385</v>
      </c>
      <c r="M195" s="1">
        <f t="shared" si="74"/>
        <v>0.1985416666666667</v>
      </c>
      <c r="N195" s="94">
        <f t="shared" si="75"/>
        <v>2.5000000000000001E-3</v>
      </c>
      <c r="O195" s="94" t="str">
        <f t="shared" si="76"/>
        <v>9.58790172639431-11.6488279798181i</v>
      </c>
      <c r="P195" s="94">
        <f t="shared" si="81"/>
        <v>23.572162436844863</v>
      </c>
      <c r="Q195" s="94">
        <f t="shared" si="82"/>
        <v>-50.54293275414679</v>
      </c>
      <c r="R195" s="94" t="str">
        <f t="shared" si="83"/>
        <v>1.18484224179139-5.65691784509293i</v>
      </c>
      <c r="S195" s="94">
        <f t="shared" si="84"/>
        <v>15.238058940477471</v>
      </c>
      <c r="T195" s="94">
        <f t="shared" si="85"/>
        <v>-78.170398128725893</v>
      </c>
      <c r="U195" s="94" t="str">
        <f>IMPRODUCT(COMPLEX(-1,0),IMDIV(COMPLEX(1,C195*Calculations!$B$195*Calculations!$B$197),IMPRODUCT(COMPLEX(0,C195*Calculations!$B$184),COMPLEX((Calculations!$B$197+Calculations!$B$199),C195*Calculations!$B$195*Calculations!$B$197*Calculations!$B$199))))</f>
        <v>-4.46330010210203+0.854866537128138i</v>
      </c>
      <c r="V195" s="94">
        <f t="shared" si="86"/>
        <v>13.14958848381565</v>
      </c>
      <c r="W195" s="94">
        <f t="shared" si="87"/>
        <v>169.15731641076673</v>
      </c>
      <c r="X195" s="94" t="str">
        <f t="shared" si="88"/>
        <v>-0.452396729709347+26.2614039798694i</v>
      </c>
      <c r="Y195" s="94">
        <f t="shared" si="89"/>
        <v>28.387647424293117</v>
      </c>
      <c r="Z195" s="94">
        <f t="shared" si="90"/>
        <v>90.986918282040818</v>
      </c>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row>
    <row r="196" spans="2:93">
      <c r="B196" s="1">
        <v>1000</v>
      </c>
      <c r="C196" s="1">
        <f t="shared" si="68"/>
        <v>6283.1853071795858</v>
      </c>
      <c r="D196" s="93" t="str">
        <f t="shared" si="69"/>
        <v>0.010575371488716-0.05165524104118i</v>
      </c>
      <c r="E196" s="1">
        <f t="shared" si="70"/>
        <v>-25.559392059135217</v>
      </c>
      <c r="F196" s="1">
        <f t="shared" si="71"/>
        <v>-78.429726920195009</v>
      </c>
      <c r="G196" s="1" t="str">
        <f t="shared" si="72"/>
        <v>45196.0789937097-34878.9476365886i</v>
      </c>
      <c r="H196" s="1">
        <f t="shared" si="77"/>
        <v>95.131145487647046</v>
      </c>
      <c r="I196" s="1">
        <f t="shared" si="78"/>
        <v>-37.658269615501268</v>
      </c>
      <c r="J196" s="95" t="str">
        <f t="shared" si="73"/>
        <v>-339.146407788226-667.239334216241i</v>
      </c>
      <c r="K196" s="94">
        <f t="shared" si="79"/>
        <v>57.483652877025044</v>
      </c>
      <c r="L196" s="94">
        <f t="shared" si="80"/>
        <v>-116.94345649123468</v>
      </c>
      <c r="M196" s="1">
        <f t="shared" si="74"/>
        <v>0.1985416666666667</v>
      </c>
      <c r="N196" s="94">
        <f t="shared" si="75"/>
        <v>2.5000000000000001E-3</v>
      </c>
      <c r="O196" s="94" t="str">
        <f t="shared" si="76"/>
        <v>9.57924103338031-10.609253554907i</v>
      </c>
      <c r="P196" s="94">
        <f t="shared" si="81"/>
        <v>23.103068833542398</v>
      </c>
      <c r="Q196" s="94">
        <f t="shared" si="82"/>
        <v>-47.920685535875108</v>
      </c>
      <c r="R196" s="94" t="str">
        <f t="shared" si="83"/>
        <v>0.962148466952852-5.15422610361973i</v>
      </c>
      <c r="S196" s="94">
        <f t="shared" si="84"/>
        <v>14.39202802981325</v>
      </c>
      <c r="T196" s="94">
        <f t="shared" si="85"/>
        <v>-79.426194487324437</v>
      </c>
      <c r="U196" s="94" t="str">
        <f>IMPRODUCT(COMPLEX(-1,0),IMDIV(COMPLEX(1,C196*Calculations!$B$195*Calculations!$B$197),IMPRODUCT(COMPLEX(0,C196*Calculations!$B$184),COMPLEX((Calculations!$B$197+Calculations!$B$199),C196*Calculations!$B$195*Calculations!$B$197*Calculations!$B$199))))</f>
        <v>-4.46001515453688+0.822057520150803i</v>
      </c>
      <c r="V196" s="94">
        <f t="shared" si="86"/>
        <v>13.13181796214495</v>
      </c>
      <c r="W196" s="94">
        <f t="shared" si="87"/>
        <v>169.55661321731912</v>
      </c>
      <c r="X196" s="94" t="str">
        <f t="shared" si="88"/>
        <v>-0.0541264144859754+23.7788679148137i</v>
      </c>
      <c r="Y196" s="94">
        <f t="shared" si="89"/>
        <v>27.52384599195819</v>
      </c>
      <c r="Z196" s="94">
        <f t="shared" si="90"/>
        <v>90.130418729994702</v>
      </c>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row>
    <row r="197" spans="2:93">
      <c r="B197" s="1">
        <v>2000</v>
      </c>
      <c r="C197" s="1">
        <f t="shared" si="68"/>
        <v>12566.370614359172</v>
      </c>
      <c r="D197" s="93" t="str">
        <f t="shared" si="69"/>
        <v>0.00681710708970803-0.0260103440143102i</v>
      </c>
      <c r="E197" s="1">
        <f t="shared" si="70"/>
        <v>-31.40855128380549</v>
      </c>
      <c r="F197" s="1">
        <f t="shared" si="71"/>
        <v>-75.313559750653098</v>
      </c>
      <c r="G197" s="1" t="str">
        <f t="shared" si="72"/>
        <v>291.534206997433-8251.27222194403i</v>
      </c>
      <c r="H197" s="1">
        <f t="shared" si="77"/>
        <v>78.335836452176878</v>
      </c>
      <c r="I197" s="1">
        <f t="shared" si="78"/>
        <v>-87.976465482648479</v>
      </c>
      <c r="J197" s="95" t="str">
        <f t="shared" si="73"/>
        <v>-56.2835111982198-7.08058783664567i</v>
      </c>
      <c r="K197" s="94">
        <f t="shared" si="79"/>
        <v>35.075817692577836</v>
      </c>
      <c r="L197" s="94">
        <f t="shared" si="80"/>
        <v>-172.82973427141144</v>
      </c>
      <c r="M197" s="1">
        <f t="shared" si="74"/>
        <v>0.1985416666666667</v>
      </c>
      <c r="N197" s="94">
        <f t="shared" si="75"/>
        <v>2.5000000000000001E-3</v>
      </c>
      <c r="O197" s="94" t="str">
        <f t="shared" si="76"/>
        <v>9.44453797941506-6.27911118145963i</v>
      </c>
      <c r="P197" s="94">
        <f t="shared" si="81"/>
        <v>21.093305701473266</v>
      </c>
      <c r="Q197" s="94">
        <f t="shared" si="82"/>
        <v>-33.61756844900475</v>
      </c>
      <c r="R197" s="94" t="str">
        <f t="shared" si="83"/>
        <v>0.197967192584155-2.77206190521555i</v>
      </c>
      <c r="S197" s="94">
        <f t="shared" si="84"/>
        <v>8.8781517515468185</v>
      </c>
      <c r="T197" s="94">
        <f t="shared" si="85"/>
        <v>-85.915148805824458</v>
      </c>
      <c r="U197" s="94" t="str">
        <f>IMPRODUCT(COMPLEX(-1,0),IMDIV(COMPLEX(1,C197*Calculations!$B$195*Calculations!$B$197),IMPRODUCT(COMPLEX(0,C197*Calculations!$B$184),COMPLEX((Calculations!$B$197+Calculations!$B$199),C197*Calculations!$B$195*Calculations!$B$197*Calculations!$B$199))))</f>
        <v>-4.40878112138026+0.821824934688108i</v>
      </c>
      <c r="V197" s="94">
        <f t="shared" si="86"/>
        <v>13.034713949181562</v>
      </c>
      <c r="W197" s="94">
        <f t="shared" si="87"/>
        <v>169.44088836493145</v>
      </c>
      <c r="X197" s="94" t="str">
        <f t="shared" si="88"/>
        <v>1.40535557288749+12.3841085701276i</v>
      </c>
      <c r="Y197" s="94">
        <f t="shared" si="89"/>
        <v>21.9128657007284</v>
      </c>
      <c r="Z197" s="94">
        <f t="shared" si="90"/>
        <v>83.525739559106995</v>
      </c>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row>
    <row r="198" spans="2:93">
      <c r="B198" s="1">
        <v>3000</v>
      </c>
      <c r="C198" s="1">
        <f t="shared" si="68"/>
        <v>18849.555921538758</v>
      </c>
      <c r="D198" s="93" t="str">
        <f t="shared" si="69"/>
        <v>0.00611528888819637-0.0173629771966914i</v>
      </c>
      <c r="E198" s="1">
        <f t="shared" si="70"/>
        <v>-34.699672165592304</v>
      </c>
      <c r="F198" s="1">
        <f t="shared" si="71"/>
        <v>-70.597594426042946</v>
      </c>
      <c r="G198" s="1" t="str">
        <f t="shared" si="72"/>
        <v>55.2972618951088-4757.88601498173i</v>
      </c>
      <c r="H198" s="1">
        <f t="shared" si="77"/>
        <v>73.548867257377154</v>
      </c>
      <c r="I198" s="1">
        <f t="shared" si="78"/>
        <v>-89.334125056227663</v>
      </c>
      <c r="J198" s="95" t="str">
        <f t="shared" si="73"/>
        <v>-22.9949686292465-1.54263975127684i</v>
      </c>
      <c r="K198" s="94">
        <f t="shared" si="79"/>
        <v>27.252158118844566</v>
      </c>
      <c r="L198" s="94">
        <f t="shared" si="80"/>
        <v>-176.16200788400698</v>
      </c>
      <c r="M198" s="1">
        <f t="shared" si="74"/>
        <v>0.1985416666666667</v>
      </c>
      <c r="N198" s="94">
        <f t="shared" si="75"/>
        <v>2.5000000000000001E-3</v>
      </c>
      <c r="O198" s="94" t="str">
        <f t="shared" si="76"/>
        <v>9.22825873045687-5.22916235006107i</v>
      </c>
      <c r="P198" s="94">
        <f t="shared" si="81"/>
        <v>20.511714305595056</v>
      </c>
      <c r="Q198" s="94">
        <f t="shared" si="82"/>
        <v>-29.537916280439944</v>
      </c>
      <c r="R198" s="94" t="str">
        <f t="shared" si="83"/>
        <v>0.0389590184443585-1.97386312694545i</v>
      </c>
      <c r="S198" s="94">
        <f t="shared" si="84"/>
        <v>5.9080322219479591</v>
      </c>
      <c r="T198" s="94">
        <f t="shared" si="85"/>
        <v>-88.86927441620945</v>
      </c>
      <c r="U198" s="94" t="str">
        <f>IMPRODUCT(COMPLEX(-1,0),IMDIV(COMPLEX(1,C198*Calculations!$B$195*Calculations!$B$197),IMPRODUCT(COMPLEX(0,C198*Calculations!$B$184),COMPLEX((Calculations!$B$197+Calculations!$B$199),C198*Calculations!$B$195*Calculations!$B$197*Calculations!$B$199))))</f>
        <v>-4.32595768843815+0.990603975303428i</v>
      </c>
      <c r="V198" s="94">
        <f t="shared" si="86"/>
        <v>12.943605311127847</v>
      </c>
      <c r="W198" s="94">
        <f t="shared" si="87"/>
        <v>167.10217208312105</v>
      </c>
      <c r="X198" s="94" t="str">
        <f t="shared" si="88"/>
        <v>1.78678159488364+8.57744132847914i</v>
      </c>
      <c r="Y198" s="94">
        <f t="shared" si="89"/>
        <v>18.851637533075806</v>
      </c>
      <c r="Z198" s="94">
        <f t="shared" si="90"/>
        <v>78.232897666911612</v>
      </c>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row>
    <row r="199" spans="2:93">
      <c r="B199" s="1">
        <v>4000</v>
      </c>
      <c r="C199" s="1">
        <f t="shared" si="68"/>
        <v>25132.741228718343</v>
      </c>
      <c r="D199" s="93" t="str">
        <f t="shared" si="69"/>
        <v>0.00586921729502285-0.0130282147892159i</v>
      </c>
      <c r="E199" s="1">
        <f t="shared" si="70"/>
        <v>-36.899823502901874</v>
      </c>
      <c r="F199" s="1">
        <f t="shared" si="71"/>
        <v>-65.748411649419594</v>
      </c>
      <c r="G199" s="1" t="str">
        <f t="shared" si="72"/>
        <v>20.8293352656357-3405.50723876632i</v>
      </c>
      <c r="H199" s="1">
        <f t="shared" si="77"/>
        <v>70.643798621509134</v>
      </c>
      <c r="I199" s="1">
        <f t="shared" si="78"/>
        <v>-89.649562301486114</v>
      </c>
      <c r="J199" s="95" t="str">
        <f t="shared" si="73"/>
        <v>-13.2696255083916-0.575874281679451i</v>
      </c>
      <c r="K199" s="94">
        <f t="shared" si="79"/>
        <v>22.465345054131017</v>
      </c>
      <c r="L199" s="94">
        <f t="shared" si="80"/>
        <v>-177.51504101779935</v>
      </c>
      <c r="M199" s="1">
        <f t="shared" si="74"/>
        <v>0.1985416666666667</v>
      </c>
      <c r="N199" s="94">
        <f t="shared" si="75"/>
        <v>2.5000000000000001E-3</v>
      </c>
      <c r="O199" s="94" t="str">
        <f t="shared" si="76"/>
        <v>8.94159217441538-4.95878993102633i</v>
      </c>
      <c r="P199" s="94">
        <f t="shared" si="81"/>
        <v>20.192894259463607</v>
      </c>
      <c r="Q199" s="94">
        <f t="shared" si="82"/>
        <v>-29.01168654655001</v>
      </c>
      <c r="R199" s="94" t="str">
        <f t="shared" si="83"/>
        <v>-0.0239023470856468-1.60221285381091i</v>
      </c>
      <c r="S199" s="94">
        <f t="shared" si="84"/>
        <v>4.0953706750833998</v>
      </c>
      <c r="T199" s="94">
        <f t="shared" si="85"/>
        <v>-90.854694194576183</v>
      </c>
      <c r="U199" s="94" t="str">
        <f>IMPRODUCT(COMPLEX(-1,0),IMDIV(COMPLEX(1,C199*Calculations!$B$195*Calculations!$B$197),IMPRODUCT(COMPLEX(0,C199*Calculations!$B$184),COMPLEX((Calculations!$B$197+Calculations!$B$199),C199*Calculations!$B$195*Calculations!$B$197*Calculations!$B$199))))</f>
        <v>-4.21509880896287+1.18738806499988i</v>
      </c>
      <c r="V199" s="94">
        <f t="shared" si="86"/>
        <v>12.827794993693168</v>
      </c>
      <c r="W199" s="94">
        <f t="shared" si="87"/>
        <v>164.26753821843496</v>
      </c>
      <c r="X199" s="94" t="str">
        <f t="shared" si="88"/>
        <v>2.0031991749366+6.72510413014839i</v>
      </c>
      <c r="Y199" s="94">
        <f t="shared" si="89"/>
        <v>16.923165668776569</v>
      </c>
      <c r="Z199" s="94">
        <f t="shared" si="90"/>
        <v>73.412844023858796</v>
      </c>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row>
    <row r="200" spans="2:93">
      <c r="B200" s="1">
        <v>5000</v>
      </c>
      <c r="C200" s="1">
        <f t="shared" si="68"/>
        <v>31415.926535897932</v>
      </c>
      <c r="D200" s="93" t="str">
        <f t="shared" si="69"/>
        <v>0.00575524474859822-0.0104247883291664i</v>
      </c>
      <c r="E200" s="1">
        <f t="shared" si="70"/>
        <v>-38.483266670394372</v>
      </c>
      <c r="F200" s="1">
        <f t="shared" si="71"/>
        <v>-61.098094270960928</v>
      </c>
      <c r="G200" s="1" t="str">
        <f t="shared" si="72"/>
        <v>10.6473467383144-2667.82775609562i</v>
      </c>
      <c r="H200" s="1">
        <f t="shared" si="77"/>
        <v>68.523224907662197</v>
      </c>
      <c r="I200" s="1">
        <f t="shared" si="78"/>
        <v>-89.771332766606861</v>
      </c>
      <c r="J200" s="95" t="str">
        <f t="shared" si="73"/>
        <v>-9.04852175683709-0.271669232004903i</v>
      </c>
      <c r="K200" s="94">
        <f t="shared" si="79"/>
        <v>19.135465739469218</v>
      </c>
      <c r="L200" s="94">
        <f t="shared" si="80"/>
        <v>-178.28029081849706</v>
      </c>
      <c r="M200" s="1">
        <f t="shared" si="74"/>
        <v>0.1985416666666667</v>
      </c>
      <c r="N200" s="94">
        <f t="shared" si="75"/>
        <v>2.5000000000000001E-3</v>
      </c>
      <c r="O200" s="94" t="str">
        <f t="shared" si="76"/>
        <v>8.59818564081244-4.96075644142024i</v>
      </c>
      <c r="P200" s="94">
        <f t="shared" si="81"/>
        <v>19.93603305988244</v>
      </c>
      <c r="Q200" s="94">
        <f t="shared" si="82"/>
        <v>-29.982962880653208</v>
      </c>
      <c r="R200" s="94" t="str">
        <f t="shared" si="83"/>
        <v>-0.0597981433967197-1.40596103111896i</v>
      </c>
      <c r="S200" s="94">
        <f t="shared" si="84"/>
        <v>2.967314784956284</v>
      </c>
      <c r="T200" s="94">
        <f t="shared" si="85"/>
        <v>-92.435428480595064</v>
      </c>
      <c r="U200" s="94" t="str">
        <f>IMPRODUCT(COMPLEX(-1,0),IMDIV(COMPLEX(1,C200*Calculations!$B$195*Calculations!$B$197),IMPRODUCT(COMPLEX(0,C200*Calculations!$B$184),COMPLEX((Calculations!$B$197+Calculations!$B$199),C200*Calculations!$B$195*Calculations!$B$197*Calculations!$B$199))))</f>
        <v>-4.08064847929034+1.38112133040999i</v>
      </c>
      <c r="V200" s="94">
        <f t="shared" si="86"/>
        <v>12.685589743795303</v>
      </c>
      <c r="W200" s="94">
        <f t="shared" si="87"/>
        <v>161.30128466835987</v>
      </c>
      <c r="X200" s="94" t="str">
        <f t="shared" si="88"/>
        <v>2.18581797271983+5.65464425221294i</v>
      </c>
      <c r="Y200" s="94">
        <f t="shared" si="89"/>
        <v>15.652904528751588</v>
      </c>
      <c r="Z200" s="94">
        <f t="shared" si="90"/>
        <v>68.865856187764805</v>
      </c>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row>
    <row r="201" spans="2:93">
      <c r="B201" s="1">
        <v>6000</v>
      </c>
      <c r="C201" s="1">
        <f t="shared" ref="C201:C228" si="91">2*PI()*B201</f>
        <v>37699.111843077517</v>
      </c>
      <c r="D201" s="93" t="str">
        <f t="shared" ref="D201:D228" si="92">IMDIV(COMPLEX((POWER(V48_Nom,2)/(V12_Min*I_Channel_Design*np)),((Zo_Boost_Cout*Zo_Boost_Resr*POWER(V48_Nom,2))/(V12_Min*I_Channel_Design*np))*C201),COMPLEX(1,((Zo_Boost_Cout*Zo_Boost_Resr)+((Zo_Boost_Cout*POWER(V48_Nom,2))/(V12_Min*I_Channel_Design*np)))*C201))</f>
        <v>0.00569331341517446-0.00868832728987177i</v>
      </c>
      <c r="E201" s="1">
        <f t="shared" ref="E201:E228" si="93">20*LOG(IMABS(D201))</f>
        <v>-39.669751391784381</v>
      </c>
      <c r="F201" s="1">
        <f t="shared" ref="F201:F223" si="94">IMARGUMENT(D201)*(180/PI())</f>
        <v>-56.763854854975172</v>
      </c>
      <c r="G201" s="1" t="str">
        <f t="shared" ref="G201:G228" si="95">IMDIV(IMSUM(COMPLEX(V48_Nom,0),IMPRODUCT(COMPLEX(np*(I_Channel_Design*(V12_Min/V48_Nom)),0),D201)),IMSUM(IMPRODUCT(COMPLEX(((V12_Min/V48_Nom)^2),0),D201),COMPLEX(Rcs/np,(Lm*C201)/np)))</f>
        <v>6.44105759197796-2198.34973241137i</v>
      </c>
      <c r="H201" s="1">
        <f t="shared" si="77"/>
        <v>66.841972980165636</v>
      </c>
      <c r="I201" s="1">
        <f t="shared" si="78"/>
        <v>-89.832126638383357</v>
      </c>
      <c r="J201" s="95" t="str">
        <f t="shared" ref="J201:J228" si="96">IMPRODUCT(COMPLEX(-1,0),IMDIV(IMSUM(IMSUB(IMPRODUCT(COMPLEX((1-(V12_Min/V48_Nom))*V48_Nom,0),D201),IMPRODUCT(COMPLEX(V48_Nom,0),D201)),IMPRODUCT(COMPLEX(0,I_Channel_Design*Lm*C201),D201)),IMSUM(IMPRODUCT(COMPLEX(((V12_Min/V48_Nom)^2),0),D201),COMPLEX(Rcs/np,(Lm*C201)/np))))</f>
        <v>-6.82486449298305-0.145980312398982i</v>
      </c>
      <c r="K201" s="94">
        <f t="shared" si="79"/>
        <v>16.683867144415288</v>
      </c>
      <c r="L201" s="94">
        <f t="shared" si="80"/>
        <v>-178.77465983318254</v>
      </c>
      <c r="M201" s="1">
        <f t="shared" ref="M201:M228" si="97">(Ramp_R*Ramp_C*Fsw)/V48_Nom</f>
        <v>0.1985416666666667</v>
      </c>
      <c r="N201" s="94">
        <f t="shared" ref="N201:N228" si="98">Rcs*Acs/np</f>
        <v>2.5000000000000001E-3</v>
      </c>
      <c r="O201" s="94" t="str">
        <f t="shared" ref="O201:O228" si="99">IMPRODUCT(COMPLEX(gm/(IL_Comp_Ccomp+IL_Comp_Chf),0),IMDIV(COMPLEX(1,C201*IL_Comp_Rcomp*IL_Comp_Ccomp),IMPRODUCT(COMPLEX(0,C201),COMPLEX(1,C201*IL_Comp_Rcomp*IL_Comp_Chf))))</f>
        <v>8.21268166542963-5.06358284154343i</v>
      </c>
      <c r="P201" s="94">
        <f t="shared" si="81"/>
        <v>19.688937524301526</v>
      </c>
      <c r="Q201" s="94">
        <f t="shared" si="82"/>
        <v>-31.65618074060345</v>
      </c>
      <c r="R201" s="94" t="str">
        <f t="shared" si="83"/>
        <v>-0.0866197655845112-1.29933186624115i</v>
      </c>
      <c r="S201" s="94">
        <f t="shared" si="84"/>
        <v>2.2936599576863643</v>
      </c>
      <c r="T201" s="94">
        <f t="shared" si="85"/>
        <v>-93.813971278686651</v>
      </c>
      <c r="U201" s="94" t="str">
        <f>IMPRODUCT(COMPLEX(-1,0),IMDIV(COMPLEX(1,C201*Calculations!$B$195*Calculations!$B$197),IMPRODUCT(COMPLEX(0,C201*Calculations!$B$184),COMPLEX((Calculations!$B$197+Calculations!$B$199),C201*Calculations!$B$195*Calculations!$B$197*Calculations!$B$199))))</f>
        <v>-3.92753129242925+1.56016733373162i</v>
      </c>
      <c r="V201" s="94">
        <f t="shared" si="86"/>
        <v>12.51872315360113</v>
      </c>
      <c r="W201" s="94">
        <f t="shared" si="87"/>
        <v>158.33511004391568</v>
      </c>
      <c r="X201" s="94" t="str">
        <f t="shared" si="88"/>
        <v>2.36737697326204+4.96802523519217i</v>
      </c>
      <c r="Y201" s="94">
        <f t="shared" si="89"/>
        <v>14.812383111287499</v>
      </c>
      <c r="Z201" s="94">
        <f t="shared" si="90"/>
        <v>64.521138765228997</v>
      </c>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row>
    <row r="202" spans="2:93">
      <c r="B202" s="1">
        <v>7000</v>
      </c>
      <c r="C202" s="1">
        <f t="shared" si="91"/>
        <v>43982.297150257102</v>
      </c>
      <c r="D202" s="93" t="str">
        <f t="shared" si="92"/>
        <v>0.00565596385818028-0.00744765650630536i</v>
      </c>
      <c r="E202" s="1">
        <f t="shared" si="93"/>
        <v>-40.582028687522886</v>
      </c>
      <c r="F202" s="1">
        <f t="shared" si="94"/>
        <v>-52.785921558188441</v>
      </c>
      <c r="G202" s="1" t="str">
        <f t="shared" si="95"/>
        <v>4.32408967829429-1871.67891694021i</v>
      </c>
      <c r="H202" s="1">
        <f t="shared" si="77"/>
        <v>65.444650147324964</v>
      </c>
      <c r="I202" s="1">
        <f t="shared" si="78"/>
        <v>-89.867631330469933</v>
      </c>
      <c r="J202" s="95" t="str">
        <f t="shared" si="96"/>
        <v>-5.50683121533969-0.0849895967865921i</v>
      </c>
      <c r="K202" s="94">
        <f t="shared" si="79"/>
        <v>14.819069644263049</v>
      </c>
      <c r="L202" s="94">
        <f t="shared" si="80"/>
        <v>-179.11579664718508</v>
      </c>
      <c r="M202" s="1">
        <f t="shared" si="97"/>
        <v>0.1985416666666667</v>
      </c>
      <c r="N202" s="94">
        <f t="shared" si="98"/>
        <v>2.5000000000000001E-3</v>
      </c>
      <c r="O202" s="94" t="str">
        <f t="shared" si="99"/>
        <v>7.79941105637069-5.19442243906746i</v>
      </c>
      <c r="P202" s="94">
        <f t="shared" si="81"/>
        <v>19.435580097758816</v>
      </c>
      <c r="Q202" s="94">
        <f t="shared" si="82"/>
        <v>-33.663689865521448</v>
      </c>
      <c r="R202" s="94" t="str">
        <f t="shared" si="83"/>
        <v>-0.110829107555554-1.24531653445333i</v>
      </c>
      <c r="S202" s="94">
        <f t="shared" si="84"/>
        <v>1.9398575231402948</v>
      </c>
      <c r="T202" s="94">
        <f t="shared" si="85"/>
        <v>-95.085738577596402</v>
      </c>
      <c r="U202" s="94" t="str">
        <f>IMPRODUCT(COMPLEX(-1,0),IMDIV(COMPLEX(1,C202*Calculations!$B$195*Calculations!$B$197),IMPRODUCT(COMPLEX(0,C202*Calculations!$B$184),COMPLEX((Calculations!$B$197+Calculations!$B$199),C202*Calculations!$B$195*Calculations!$B$197*Calculations!$B$199))))</f>
        <v>-3.76076009253176+1.7193368585951i</v>
      </c>
      <c r="V202" s="94">
        <f t="shared" si="86"/>
        <v>12.329817786131001</v>
      </c>
      <c r="W202" s="94">
        <f t="shared" si="87"/>
        <v>155.43116219566045</v>
      </c>
      <c r="X202" s="94" t="str">
        <f t="shared" si="88"/>
        <v>2.55792030308936+4.49278415571657i</v>
      </c>
      <c r="Y202" s="94">
        <f t="shared" si="89"/>
        <v>14.269675309271292</v>
      </c>
      <c r="Z202" s="94">
        <f t="shared" si="90"/>
        <v>60.345423618064096</v>
      </c>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row>
    <row r="203" spans="2:93">
      <c r="B203" s="1">
        <v>8000</v>
      </c>
      <c r="C203" s="1">
        <f t="shared" si="91"/>
        <v>50265.482457436687</v>
      </c>
      <c r="D203" s="93" t="str">
        <f t="shared" si="92"/>
        <v>0.00563171977406573-0.00651699412450319i</v>
      </c>
      <c r="E203" s="1">
        <f t="shared" si="93"/>
        <v>-41.296693805918395</v>
      </c>
      <c r="F203" s="1">
        <f t="shared" si="94"/>
        <v>-49.1677654476212</v>
      </c>
      <c r="G203" s="1" t="str">
        <f t="shared" si="95"/>
        <v>3.11201974604869-1630.62657014085i</v>
      </c>
      <c r="H203" s="1">
        <f t="shared" si="77"/>
        <v>64.247106110866241</v>
      </c>
      <c r="I203" s="1">
        <f t="shared" si="78"/>
        <v>-89.89065222902984</v>
      </c>
      <c r="J203" s="95" t="str">
        <f t="shared" si="96"/>
        <v>-4.66035838509184-0.0520572868724981i</v>
      </c>
      <c r="K203" s="94">
        <f t="shared" si="79"/>
        <v>13.368928164185721</v>
      </c>
      <c r="L203" s="94">
        <f t="shared" si="80"/>
        <v>-179.36001943616509</v>
      </c>
      <c r="M203" s="1">
        <f t="shared" si="97"/>
        <v>0.1985416666666667</v>
      </c>
      <c r="N203" s="94">
        <f t="shared" si="98"/>
        <v>2.5000000000000001E-3</v>
      </c>
      <c r="O203" s="94" t="str">
        <f t="shared" si="99"/>
        <v>7.37140705273044-5.31919864375754i</v>
      </c>
      <c r="P203" s="94">
        <f t="shared" si="81"/>
        <v>19.171457213999766</v>
      </c>
      <c r="Q203" s="94">
        <f t="shared" si="82"/>
        <v>-35.814171966495465</v>
      </c>
      <c r="R203" s="94" t="str">
        <f t="shared" si="83"/>
        <v>-0.135411955071044-1.22549191670055i</v>
      </c>
      <c r="S203" s="94">
        <f t="shared" si="84"/>
        <v>1.8189125356970477</v>
      </c>
      <c r="T203" s="94">
        <f t="shared" si="85"/>
        <v>-96.305375936324765</v>
      </c>
      <c r="U203" s="94" t="str">
        <f>IMPRODUCT(COMPLEX(-1,0),IMDIV(COMPLEX(1,C203*Calculations!$B$195*Calculations!$B$197),IMPRODUCT(COMPLEX(0,C203*Calculations!$B$184),COMPLEX((Calculations!$B$197+Calculations!$B$199),C203*Calculations!$B$195*Calculations!$B$197*Calculations!$B$199))))</f>
        <v>-3.58510868570792+1.85651445054992i</v>
      </c>
      <c r="V203" s="94">
        <f t="shared" si="86"/>
        <v>12.121782841162698</v>
      </c>
      <c r="W203" s="94">
        <f t="shared" si="87"/>
        <v>152.6230494527193</v>
      </c>
      <c r="X203" s="94" t="str">
        <f t="shared" si="88"/>
        <v>2.76061002866058+4.14212746346138i</v>
      </c>
      <c r="Y203" s="94">
        <f t="shared" si="89"/>
        <v>13.940695376859747</v>
      </c>
      <c r="Z203" s="94">
        <f t="shared" si="90"/>
        <v>56.317673516394564</v>
      </c>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row>
    <row r="204" spans="2:93">
      <c r="B204" s="1">
        <v>9000</v>
      </c>
      <c r="C204" s="1">
        <f t="shared" si="91"/>
        <v>56548.667764616279</v>
      </c>
      <c r="D204" s="93" t="str">
        <f t="shared" si="92"/>
        <v>0.00561509684284135-0.00579306326449743i</v>
      </c>
      <c r="E204" s="1">
        <f t="shared" si="93"/>
        <v>-41.864931043812916</v>
      </c>
      <c r="F204" s="1">
        <f t="shared" si="94"/>
        <v>-45.893737266183521</v>
      </c>
      <c r="G204" s="1" t="str">
        <f t="shared" si="95"/>
        <v>2.35276663158008-1445.15349117118i</v>
      </c>
      <c r="H204" s="1">
        <f t="shared" si="77"/>
        <v>63.198291038724513</v>
      </c>
      <c r="I204" s="1">
        <f t="shared" si="78"/>
        <v>-89.9067203034882</v>
      </c>
      <c r="J204" s="95" t="str">
        <f t="shared" si="96"/>
        <v>-4.08405313143488-0.0328700826876853i</v>
      </c>
      <c r="K204" s="94">
        <f t="shared" si="79"/>
        <v>12.222108980525189</v>
      </c>
      <c r="L204" s="94">
        <f t="shared" si="80"/>
        <v>-179.53887075260744</v>
      </c>
      <c r="M204" s="1">
        <f t="shared" si="97"/>
        <v>0.1985416666666667</v>
      </c>
      <c r="N204" s="94">
        <f t="shared" si="98"/>
        <v>2.5000000000000001E-3</v>
      </c>
      <c r="O204" s="94" t="str">
        <f t="shared" si="99"/>
        <v>6.93979802965144-5.42204232481566i</v>
      </c>
      <c r="P204" s="94">
        <f t="shared" si="81"/>
        <v>18.896341028653069</v>
      </c>
      <c r="Q204" s="94">
        <f t="shared" si="82"/>
        <v>-38.000399233340289</v>
      </c>
      <c r="R204" s="94" t="str">
        <f t="shared" si="83"/>
        <v>-0.162106392268437-1.22978221031886i</v>
      </c>
      <c r="S204" s="94">
        <f t="shared" si="84"/>
        <v>1.871377996695889</v>
      </c>
      <c r="T204" s="94">
        <f t="shared" si="85"/>
        <v>-97.509273247858829</v>
      </c>
      <c r="U204" s="94" t="str">
        <f>IMPRODUCT(COMPLEX(-1,0),IMDIV(COMPLEX(1,C204*Calculations!$B$195*Calculations!$B$197),IMPRODUCT(COMPLEX(0,C204*Calculations!$B$184),COMPLEX((Calculations!$B$197+Calculations!$B$199),C204*Calculations!$B$195*Calculations!$B$197*Calculations!$B$199))))</f>
        <v>-3.40487544384626+1.9713719787535i</v>
      </c>
      <c r="V204" s="94">
        <f t="shared" si="86"/>
        <v>11.89756487106045</v>
      </c>
      <c r="W204" s="94">
        <f t="shared" si="87"/>
        <v>149.92980020195606</v>
      </c>
      <c r="X204" s="94" t="str">
        <f t="shared" si="88"/>
        <v>2.97631026371745+3.86768324989884i</v>
      </c>
      <c r="Y204" s="94">
        <f t="shared" si="89"/>
        <v>13.768942867756328</v>
      </c>
      <c r="Z204" s="94">
        <f t="shared" si="90"/>
        <v>52.420526954097227</v>
      </c>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row>
    <row r="205" spans="2:93">
      <c r="B205" s="1">
        <v>10000</v>
      </c>
      <c r="C205" s="1">
        <f t="shared" si="91"/>
        <v>62831.853071795864</v>
      </c>
      <c r="D205" s="93" t="str">
        <f t="shared" si="92"/>
        <v>0.00560320592558259-0.0052138725632254i</v>
      </c>
      <c r="E205" s="1">
        <f t="shared" si="93"/>
        <v>-42.322477876564982</v>
      </c>
      <c r="F205" s="1">
        <f t="shared" si="94"/>
        <v>-42.938673244437886</v>
      </c>
      <c r="G205" s="1" t="str">
        <f t="shared" si="95"/>
        <v>1.84484885238935-1297.88821579056i</v>
      </c>
      <c r="H205" s="1">
        <f t="shared" si="77"/>
        <v>62.264754559923283</v>
      </c>
      <c r="I205" s="1">
        <f t="shared" si="78"/>
        <v>-89.918558485540473</v>
      </c>
      <c r="J205" s="95" t="str">
        <f t="shared" si="96"/>
        <v>-3.67382130558273-0.021039831456671i</v>
      </c>
      <c r="K205" s="94">
        <f t="shared" si="79"/>
        <v>11.302503006519052</v>
      </c>
      <c r="L205" s="94">
        <f t="shared" si="80"/>
        <v>-179.67187289069582</v>
      </c>
      <c r="M205" s="1">
        <f t="shared" si="97"/>
        <v>0.1985416666666667</v>
      </c>
      <c r="N205" s="94">
        <f t="shared" si="98"/>
        <v>2.5000000000000001E-3</v>
      </c>
      <c r="O205" s="94" t="str">
        <f t="shared" si="99"/>
        <v>6.51354984533887-5.49656086976399i</v>
      </c>
      <c r="P205" s="94">
        <f t="shared" si="81"/>
        <v>18.611669449568193</v>
      </c>
      <c r="Q205" s="94">
        <f t="shared" si="82"/>
        <v>-40.159869539988009</v>
      </c>
      <c r="R205" s="94" t="str">
        <f t="shared" si="83"/>
        <v>-0.192186279004062-1.25232072877324i</v>
      </c>
      <c r="S205" s="94">
        <f t="shared" si="84"/>
        <v>2.0554072349536394</v>
      </c>
      <c r="T205" s="94">
        <f t="shared" si="85"/>
        <v>-98.724777335244241</v>
      </c>
      <c r="U205" s="94" t="str">
        <f>IMPRODUCT(COMPLEX(-1,0),IMDIV(COMPLEX(1,C205*Calculations!$B$195*Calculations!$B$197),IMPRODUCT(COMPLEX(0,C205*Calculations!$B$184),COMPLEX((Calculations!$B$197+Calculations!$B$199),C205*Calculations!$B$195*Calculations!$B$197*Calculations!$B$199))))</f>
        <v>-3.22374244192946+2.06470086250038i</v>
      </c>
      <c r="V205" s="94">
        <f t="shared" si="86"/>
        <v>11.66000787480845</v>
      </c>
      <c r="W205" s="94">
        <f t="shared" si="87"/>
        <v>147.36177621001295</v>
      </c>
      <c r="X205" s="94" t="str">
        <f t="shared" si="88"/>
        <v>3.2052267532071+3.6403523082339i</v>
      </c>
      <c r="Y205" s="94">
        <f t="shared" si="89"/>
        <v>13.715415109762084</v>
      </c>
      <c r="Z205" s="94">
        <f t="shared" si="90"/>
        <v>48.636998874768764</v>
      </c>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row>
    <row r="206" spans="2:93">
      <c r="B206" s="1">
        <v>20000</v>
      </c>
      <c r="C206" s="1">
        <f t="shared" si="91"/>
        <v>125663.70614359173</v>
      </c>
      <c r="D206" s="93" t="str">
        <f t="shared" si="92"/>
        <v>0.00556518274294059-0.00260712114696641i</v>
      </c>
      <c r="E206" s="1">
        <f t="shared" si="93"/>
        <v>-44.228721071029952</v>
      </c>
      <c r="F206" s="1">
        <f t="shared" si="94"/>
        <v>-25.101680565405001</v>
      </c>
      <c r="G206" s="1" t="str">
        <f t="shared" si="95"/>
        <v>0.41334832868564-644.584767334021i</v>
      </c>
      <c r="H206" s="1">
        <f t="shared" si="77"/>
        <v>56.185602549077927</v>
      </c>
      <c r="I206" s="1">
        <f t="shared" si="78"/>
        <v>-89.963258344508958</v>
      </c>
      <c r="J206" s="95" t="str">
        <f t="shared" si="96"/>
        <v>-2.37321036693029+0.00290372361852424i</v>
      </c>
      <c r="K206" s="94">
        <f t="shared" si="79"/>
        <v>7.5067312377198743</v>
      </c>
      <c r="L206" s="94">
        <f t="shared" si="80"/>
        <v>179.92989621674084</v>
      </c>
      <c r="M206" s="1">
        <f t="shared" si="97"/>
        <v>0.1985416666666667</v>
      </c>
      <c r="N206" s="94">
        <f t="shared" si="98"/>
        <v>2.5000000000000001E-3</v>
      </c>
      <c r="O206" s="94" t="str">
        <f t="shared" si="99"/>
        <v>3.30670174489799-5.06821555729116i</v>
      </c>
      <c r="P206" s="94">
        <f t="shared" si="81"/>
        <v>15.637312116476231</v>
      </c>
      <c r="Q206" s="94">
        <f t="shared" si="82"/>
        <v>-56.87800128361765</v>
      </c>
      <c r="R206" s="94" t="str">
        <f t="shared" si="83"/>
        <v>-1.03881784639881-2.07753103915012i</v>
      </c>
      <c r="S206" s="94">
        <f t="shared" si="84"/>
        <v>7.3201380608670821</v>
      </c>
      <c r="T206" s="94">
        <f t="shared" si="85"/>
        <v>-116.56620565357697</v>
      </c>
      <c r="U206" s="94" t="str">
        <f>IMPRODUCT(COMPLEX(-1,0),IMDIV(COMPLEX(1,C206*Calculations!$B$195*Calculations!$B$197),IMPRODUCT(COMPLEX(0,C206*Calculations!$B$184),COMPLEX((Calculations!$B$197+Calculations!$B$199),C206*Calculations!$B$195*Calculations!$B$197*Calculations!$B$199))))</f>
        <v>-1.75206207123323+2.21234862636887i</v>
      </c>
      <c r="V206" s="94">
        <f t="shared" si="86"/>
        <v>9.0114259096400744</v>
      </c>
      <c r="W206" s="94">
        <f t="shared" si="87"/>
        <v>128.37734522969001</v>
      </c>
      <c r="X206" s="94" t="str">
        <f t="shared" si="88"/>
        <v>6.416296288298+1.34173609997681i</v>
      </c>
      <c r="Y206" s="94">
        <f t="shared" si="89"/>
        <v>16.331563970507151</v>
      </c>
      <c r="Z206" s="94">
        <f t="shared" si="90"/>
        <v>11.811139576113044</v>
      </c>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row>
    <row r="207" spans="2:93">
      <c r="B207" s="1">
        <v>30000</v>
      </c>
      <c r="C207" s="1">
        <f t="shared" si="91"/>
        <v>188495.55921538759</v>
      </c>
      <c r="D207" s="93" t="str">
        <f t="shared" si="92"/>
        <v>0.00555814082102611-0.00173810358944562i</v>
      </c>
      <c r="E207" s="1">
        <f t="shared" si="93"/>
        <v>-44.696218360850104</v>
      </c>
      <c r="F207" s="1">
        <f t="shared" si="94"/>
        <v>-17.365148760377529</v>
      </c>
      <c r="G207" s="1" t="str">
        <f t="shared" si="95"/>
        <v>0.179830261528067-429.189066126424i</v>
      </c>
      <c r="H207" s="1">
        <f t="shared" si="77"/>
        <v>52.652973752400889</v>
      </c>
      <c r="I207" s="1">
        <f t="shared" si="78"/>
        <v>-89.975993064072398</v>
      </c>
      <c r="J207" s="95" t="str">
        <f t="shared" si="96"/>
        <v>-2.13418733044418+0.00356731766091805i</v>
      </c>
      <c r="K207" s="94">
        <f t="shared" si="79"/>
        <v>6.5846628818999715</v>
      </c>
      <c r="L207" s="94">
        <f t="shared" si="80"/>
        <v>179.9042295618178</v>
      </c>
      <c r="M207" s="1">
        <f t="shared" si="97"/>
        <v>0.1985416666666667</v>
      </c>
      <c r="N207" s="94">
        <f t="shared" si="98"/>
        <v>2.5000000000000001E-3</v>
      </c>
      <c r="O207" s="94" t="str">
        <f t="shared" si="99"/>
        <v>1.81631200680495-4.09760701986365i</v>
      </c>
      <c r="P207" s="94">
        <f t="shared" si="81"/>
        <v>13.029663736494904</v>
      </c>
      <c r="Q207" s="94">
        <f t="shared" si="82"/>
        <v>-66.094127065714076</v>
      </c>
      <c r="R207" s="94" t="str">
        <f t="shared" si="83"/>
        <v>-4.63631137408638-0.456358773416269i</v>
      </c>
      <c r="S207" s="94">
        <f t="shared" si="84"/>
        <v>13.365327069536072</v>
      </c>
      <c r="T207" s="94">
        <f t="shared" si="85"/>
        <v>-174.37840304429599</v>
      </c>
      <c r="U207" s="94" t="str">
        <f>IMPRODUCT(COMPLEX(-1,0),IMDIV(COMPLEX(1,C207*Calculations!$B$195*Calculations!$B$197),IMPRODUCT(COMPLEX(0,C207*Calculations!$B$184),COMPLEX((Calculations!$B$197+Calculations!$B$199),C207*Calculations!$B$195*Calculations!$B$197*Calculations!$B$199))))</f>
        <v>-0.995006432695265+1.87957222970462i</v>
      </c>
      <c r="V207" s="94">
        <f t="shared" si="86"/>
        <v>6.5541022268589249</v>
      </c>
      <c r="W207" s="94">
        <f t="shared" si="87"/>
        <v>117.89581340187463</v>
      </c>
      <c r="X207" s="94" t="str">
        <f t="shared" si="88"/>
        <v>5.47091891848945-8.26020219183032i</v>
      </c>
      <c r="Y207" s="94">
        <f t="shared" si="89"/>
        <v>19.919429296394995</v>
      </c>
      <c r="Z207" s="94">
        <f t="shared" si="90"/>
        <v>-56.482589642421352</v>
      </c>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row>
    <row r="208" spans="2:93">
      <c r="B208" s="1">
        <v>40000</v>
      </c>
      <c r="C208" s="1">
        <f t="shared" si="91"/>
        <v>251327.41228718346</v>
      </c>
      <c r="D208" s="93" t="str">
        <f t="shared" si="92"/>
        <v>0.00555567610466102-0.00130358368370079i</v>
      </c>
      <c r="E208" s="1">
        <f t="shared" si="93"/>
        <v>-44.872506858740508</v>
      </c>
      <c r="F208" s="1">
        <f t="shared" si="94"/>
        <v>-13.205001088528523</v>
      </c>
      <c r="G208" s="1" t="str">
        <f t="shared" si="95"/>
        <v>0.10039305955364-321.751819268385i</v>
      </c>
      <c r="H208" s="1">
        <f t="shared" si="77"/>
        <v>50.150420646758434</v>
      </c>
      <c r="I208" s="1">
        <f t="shared" si="78"/>
        <v>-89.982122561323081</v>
      </c>
      <c r="J208" s="95" t="str">
        <f t="shared" si="96"/>
        <v>-2.05066340796028+0.00310234963554535i</v>
      </c>
      <c r="K208" s="94">
        <f t="shared" si="79"/>
        <v>6.2378975785245228</v>
      </c>
      <c r="L208" s="94">
        <f t="shared" si="80"/>
        <v>179.91332004833507</v>
      </c>
      <c r="M208" s="1">
        <f t="shared" si="97"/>
        <v>0.1985416666666667</v>
      </c>
      <c r="N208" s="94">
        <f t="shared" si="98"/>
        <v>2.5000000000000001E-3</v>
      </c>
      <c r="O208" s="94" t="str">
        <f t="shared" si="99"/>
        <v>1.11361516744558-3.3273818000775i</v>
      </c>
      <c r="P208" s="94">
        <f t="shared" si="81"/>
        <v>10.903147927323197</v>
      </c>
      <c r="Q208" s="94">
        <f t="shared" si="82"/>
        <v>-71.495527962984625</v>
      </c>
      <c r="R208" s="94" t="str">
        <f t="shared" si="83"/>
        <v>-1.80163156653555+2.20774534645532i</v>
      </c>
      <c r="S208" s="94">
        <f t="shared" si="84"/>
        <v>9.0955687516965096</v>
      </c>
      <c r="T208" s="94">
        <f t="shared" si="85"/>
        <v>129.21618001600834</v>
      </c>
      <c r="U208" s="94" t="str">
        <f>IMPRODUCT(COMPLEX(-1,0),IMDIV(COMPLEX(1,C208*Calculations!$B$195*Calculations!$B$197),IMPRODUCT(COMPLEX(0,C208*Calculations!$B$184),COMPLEX((Calculations!$B$197+Calculations!$B$199),C208*Calculations!$B$195*Calculations!$B$197*Calculations!$B$199))))</f>
        <v>-0.619968083579948+1.56003266746269i</v>
      </c>
      <c r="V208" s="94">
        <f t="shared" si="86"/>
        <v>4.4995059742606642</v>
      </c>
      <c r="W208" s="94">
        <f t="shared" si="87"/>
        <v>111.67322500645389</v>
      </c>
      <c r="X208" s="94" t="str">
        <f t="shared" si="88"/>
        <v>-2.32720079228685-4.17933575000189i</v>
      </c>
      <c r="Y208" s="94">
        <f t="shared" si="89"/>
        <v>13.59507472595717</v>
      </c>
      <c r="Z208" s="94">
        <f t="shared" si="90"/>
        <v>-119.11059497753781</v>
      </c>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row>
    <row r="209" spans="1:93">
      <c r="B209" s="1">
        <v>50000</v>
      </c>
      <c r="C209" s="1">
        <f t="shared" si="91"/>
        <v>314159.26535897929</v>
      </c>
      <c r="D209" s="93" t="str">
        <f t="shared" si="92"/>
        <v>0.00555453528541579-0.00104286916558557i</v>
      </c>
      <c r="E209" s="1">
        <f t="shared" si="93"/>
        <v>-44.956591281319163</v>
      </c>
      <c r="F209" s="1">
        <f t="shared" si="94"/>
        <v>-10.633543591618823</v>
      </c>
      <c r="G209" s="1" t="str">
        <f t="shared" si="95"/>
        <v>0.0640262638089643-257.349654117313i</v>
      </c>
      <c r="H209" s="1">
        <f t="shared" si="77"/>
        <v>48.210472046550521</v>
      </c>
      <c r="I209" s="1">
        <f t="shared" si="78"/>
        <v>-89.985745329127653</v>
      </c>
      <c r="J209" s="95" t="str">
        <f t="shared" si="96"/>
        <v>-2.0120272711086+0.00263974320765415i</v>
      </c>
      <c r="K209" s="94">
        <f t="shared" si="79"/>
        <v>6.0726847329049471</v>
      </c>
      <c r="L209" s="94">
        <f t="shared" si="80"/>
        <v>179.92482902185822</v>
      </c>
      <c r="M209" s="1">
        <f t="shared" si="97"/>
        <v>0.1985416666666667</v>
      </c>
      <c r="N209" s="94">
        <f t="shared" si="98"/>
        <v>2.5000000000000001E-3</v>
      </c>
      <c r="O209" s="94" t="str">
        <f t="shared" si="99"/>
        <v>0.743689955384331-2.76895166928721i</v>
      </c>
      <c r="P209" s="94">
        <f t="shared" si="81"/>
        <v>9.1488069864396113</v>
      </c>
      <c r="Q209" s="94">
        <f t="shared" si="82"/>
        <v>-74.966188925748853</v>
      </c>
      <c r="R209" s="94" t="str">
        <f t="shared" si="83"/>
        <v>-0.694236512397193+1.60985832247041i</v>
      </c>
      <c r="S209" s="94">
        <f t="shared" si="84"/>
        <v>4.876484996021178</v>
      </c>
      <c r="T209" s="94">
        <f t="shared" si="85"/>
        <v>113.32767424995301</v>
      </c>
      <c r="U209" s="94" t="str">
        <f>IMPRODUCT(COMPLEX(-1,0),IMDIV(COMPLEX(1,C209*Calculations!$B$195*Calculations!$B$197),IMPRODUCT(COMPLEX(0,C209*Calculations!$B$184),COMPLEX((Calculations!$B$197+Calculations!$B$199),C209*Calculations!$B$195*Calculations!$B$197*Calculations!$B$199))))</f>
        <v>-0.417596004331121+1.31293117531226i</v>
      </c>
      <c r="V209" s="94">
        <f t="shared" si="86"/>
        <v>2.7833617917817008</v>
      </c>
      <c r="W209" s="94">
        <f t="shared" si="87"/>
        <v>107.64398868545136</v>
      </c>
      <c r="X209" s="94" t="str">
        <f t="shared" si="88"/>
        <v>-1.82372278576946-1.58375516316918i</v>
      </c>
      <c r="Y209" s="94">
        <f t="shared" si="89"/>
        <v>7.6598467878028966</v>
      </c>
      <c r="Z209" s="94">
        <f t="shared" si="90"/>
        <v>-139.02833706459555</v>
      </c>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row>
    <row r="210" spans="1:93">
      <c r="B210" s="1">
        <v>60000</v>
      </c>
      <c r="C210" s="1">
        <f t="shared" si="91"/>
        <v>376991.11843077518</v>
      </c>
      <c r="D210" s="93" t="str">
        <f t="shared" si="92"/>
        <v>0.00555391557909991-0.000869058642307089i</v>
      </c>
      <c r="E210" s="1">
        <f t="shared" si="93"/>
        <v>-45.002958595152862</v>
      </c>
      <c r="F210" s="1">
        <f t="shared" si="94"/>
        <v>-8.893340731781608</v>
      </c>
      <c r="G210" s="1" t="str">
        <f t="shared" si="95"/>
        <v>0.044377745805672-214.434602890469i</v>
      </c>
      <c r="H210" s="1">
        <f t="shared" si="77"/>
        <v>46.625897544462411</v>
      </c>
      <c r="I210" s="1">
        <f t="shared" si="78"/>
        <v>-89.988142503735887</v>
      </c>
      <c r="J210" s="95" t="str">
        <f t="shared" si="96"/>
        <v>-1.99104597081506+0.00227120331440286i</v>
      </c>
      <c r="K210" s="94">
        <f t="shared" si="79"/>
        <v>5.981631400532744</v>
      </c>
      <c r="L210" s="94">
        <f t="shared" si="80"/>
        <v>179.93464223840317</v>
      </c>
      <c r="M210" s="1">
        <f t="shared" si="97"/>
        <v>0.1985416666666667</v>
      </c>
      <c r="N210" s="94">
        <f t="shared" si="98"/>
        <v>2.5000000000000001E-3</v>
      </c>
      <c r="O210" s="94" t="str">
        <f t="shared" si="99"/>
        <v>0.528939191679151-2.35924555103698i</v>
      </c>
      <c r="P210" s="94">
        <f t="shared" si="81"/>
        <v>7.6684515932381805</v>
      </c>
      <c r="Q210" s="94">
        <f t="shared" si="82"/>
        <v>-77.363336585249357</v>
      </c>
      <c r="R210" s="94" t="str">
        <f t="shared" si="83"/>
        <v>-0.369411602085473+1.21783963598193i</v>
      </c>
      <c r="S210" s="94">
        <f t="shared" si="84"/>
        <v>2.0940731511808037</v>
      </c>
      <c r="T210" s="94">
        <f t="shared" si="85"/>
        <v>106.87431013011305</v>
      </c>
      <c r="U210" s="94" t="str">
        <f>IMPRODUCT(COMPLEX(-1,0),IMDIV(COMPLEX(1,C210*Calculations!$B$195*Calculations!$B$197),IMPRODUCT(COMPLEX(0,C210*Calculations!$B$184),COMPLEX((Calculations!$B$197+Calculations!$B$199),C210*Calculations!$B$195*Calculations!$B$197*Calculations!$B$199))))</f>
        <v>-0.298504198399603+1.12593871422781i</v>
      </c>
      <c r="V210" s="94">
        <f t="shared" si="86"/>
        <v>1.3252951672071274</v>
      </c>
      <c r="W210" s="94">
        <f t="shared" si="87"/>
        <v>104.84842900733065</v>
      </c>
      <c r="X210" s="94" t="str">
        <f t="shared" si="88"/>
        <v>-1.26094187971312-0.779465068591003i</v>
      </c>
      <c r="Y210" s="94">
        <f t="shared" si="89"/>
        <v>3.4193683183879262</v>
      </c>
      <c r="Z210" s="94">
        <f t="shared" si="90"/>
        <v>-148.27726086255629</v>
      </c>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row>
    <row r="211" spans="1:93">
      <c r="B211" s="1">
        <v>70000</v>
      </c>
      <c r="C211" s="1">
        <f t="shared" si="91"/>
        <v>439822.97150257102</v>
      </c>
      <c r="D211" s="93" t="str">
        <f t="shared" si="92"/>
        <v>0.00555354191504471-0.000744907926755109i</v>
      </c>
      <c r="E211" s="1">
        <f t="shared" si="93"/>
        <v>-45.031157806548883</v>
      </c>
      <c r="F211" s="1">
        <f t="shared" si="94"/>
        <v>-7.6396020383015903</v>
      </c>
      <c r="G211" s="1" t="str">
        <f t="shared" si="95"/>
        <v>0.0325664436451044-183.788974576338i</v>
      </c>
      <c r="H211" s="1">
        <f t="shared" si="77"/>
        <v>45.286389230106103</v>
      </c>
      <c r="I211" s="1">
        <f t="shared" si="78"/>
        <v>-89.989847488080358</v>
      </c>
      <c r="J211" s="95" t="str">
        <f t="shared" si="96"/>
        <v>-1.978397027629+0.00198364362434444i</v>
      </c>
      <c r="K211" s="94">
        <f t="shared" si="79"/>
        <v>5.9262733832817993</v>
      </c>
      <c r="L211" s="94">
        <f t="shared" si="80"/>
        <v>179.94255229458003</v>
      </c>
      <c r="M211" s="1">
        <f t="shared" si="97"/>
        <v>0.1985416666666667</v>
      </c>
      <c r="N211" s="94">
        <f t="shared" si="98"/>
        <v>2.5000000000000001E-3</v>
      </c>
      <c r="O211" s="94" t="str">
        <f t="shared" si="99"/>
        <v>0.394358056782514-2.05002768383133i</v>
      </c>
      <c r="P211" s="94">
        <f t="shared" si="81"/>
        <v>6.3930035832878112</v>
      </c>
      <c r="Q211" s="94">
        <f t="shared" si="82"/>
        <v>-79.111185810505162</v>
      </c>
      <c r="R211" s="94" t="str">
        <f t="shared" si="83"/>
        <v>-0.232959110463727+0.980334609462503i</v>
      </c>
      <c r="S211" s="94">
        <f t="shared" si="84"/>
        <v>6.6054620527575783E-2</v>
      </c>
      <c r="T211" s="94">
        <f t="shared" si="85"/>
        <v>103.36739053663139</v>
      </c>
      <c r="U211" s="94" t="str">
        <f>IMPRODUCT(COMPLEX(-1,0),IMDIV(COMPLEX(1,C211*Calculations!$B$195*Calculations!$B$197),IMPRODUCT(COMPLEX(0,C211*Calculations!$B$184),COMPLEX((Calculations!$B$197+Calculations!$B$199),C211*Calculations!$B$195*Calculations!$B$197*Calculations!$B$199))))</f>
        <v>-0.223258171027492+0.982328187608383i</v>
      </c>
      <c r="V211" s="94">
        <f t="shared" si="86"/>
        <v>6.3859702631254456E-2</v>
      </c>
      <c r="W211" s="94">
        <f t="shared" si="87"/>
        <v>102.80436394153892</v>
      </c>
      <c r="X211" s="94" t="str">
        <f t="shared" si="88"/>
        <v>-0.911000295236749-0.447710012672243i</v>
      </c>
      <c r="Y211" s="94">
        <f t="shared" si="89"/>
        <v>0.12991432315882648</v>
      </c>
      <c r="Z211" s="94">
        <f t="shared" si="90"/>
        <v>-153.8282455218297</v>
      </c>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row>
    <row r="212" spans="1:93">
      <c r="B212" s="1">
        <v>80000</v>
      </c>
      <c r="C212" s="1">
        <f t="shared" si="91"/>
        <v>502654.82457436691</v>
      </c>
      <c r="D212" s="93" t="str">
        <f t="shared" si="92"/>
        <v>0.00555329939242251-0.00065179473069161i</v>
      </c>
      <c r="E212" s="1">
        <f t="shared" si="93"/>
        <v>-45.049558675735895</v>
      </c>
      <c r="F212" s="1">
        <f t="shared" si="94"/>
        <v>-6.6942192330679884</v>
      </c>
      <c r="G212" s="1" t="str">
        <f t="shared" si="95"/>
        <v>0.0249149958788722-160.808474039755i</v>
      </c>
      <c r="H212" s="1">
        <f t="shared" si="77"/>
        <v>44.126178720329364</v>
      </c>
      <c r="I212" s="1">
        <f t="shared" si="78"/>
        <v>-89.991122830388477</v>
      </c>
      <c r="J212" s="95" t="str">
        <f t="shared" si="96"/>
        <v>-1.97018822999603+0.00175663835444622i</v>
      </c>
      <c r="K212" s="94">
        <f t="shared" si="79"/>
        <v>5.8901578573891369</v>
      </c>
      <c r="L212" s="94">
        <f t="shared" si="80"/>
        <v>179.94891455768661</v>
      </c>
      <c r="M212" s="1">
        <f t="shared" si="97"/>
        <v>0.1985416666666667</v>
      </c>
      <c r="N212" s="94">
        <f t="shared" si="98"/>
        <v>2.5000000000000001E-3</v>
      </c>
      <c r="O212" s="94" t="str">
        <f t="shared" si="99"/>
        <v>0.304857899451934-1.80996103295089i</v>
      </c>
      <c r="P212" s="94">
        <f t="shared" si="81"/>
        <v>5.2748776920094098</v>
      </c>
      <c r="Q212" s="94">
        <f t="shared" si="82"/>
        <v>-80.43921531119868</v>
      </c>
      <c r="R212" s="94" t="str">
        <f t="shared" si="83"/>
        <v>-0.162078657132158+0.823052358532617i</v>
      </c>
      <c r="S212" s="94">
        <f t="shared" si="84"/>
        <v>-1.5262190642337969</v>
      </c>
      <c r="T212" s="94">
        <f t="shared" si="85"/>
        <v>101.14036230794319</v>
      </c>
      <c r="U212" s="94" t="str">
        <f>IMPRODUCT(COMPLEX(-1,0),IMDIV(COMPLEX(1,C212*Calculations!$B$195*Calculations!$B$197),IMPRODUCT(COMPLEX(0,C212*Calculations!$B$184),COMPLEX((Calculations!$B$197+Calculations!$B$199),C212*Calculations!$B$195*Calculations!$B$197*Calculations!$B$199))))</f>
        <v>-0.172953313262096+0.869620814546172i</v>
      </c>
      <c r="V212" s="94">
        <f t="shared" si="86"/>
        <v>-1.0449280812602899</v>
      </c>
      <c r="W212" s="94">
        <f t="shared" si="87"/>
        <v>101.24841415961041</v>
      </c>
      <c r="X212" s="94" t="str">
        <f t="shared" si="88"/>
        <v>-0.687711421681204-0.283296606232216i</v>
      </c>
      <c r="Y212" s="94">
        <f t="shared" si="89"/>
        <v>-2.5711471454940886</v>
      </c>
      <c r="Z212" s="94">
        <f t="shared" si="90"/>
        <v>-157.61122353244636</v>
      </c>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row>
    <row r="213" spans="1:93">
      <c r="B213" s="1">
        <v>90000</v>
      </c>
      <c r="C213" s="1">
        <f t="shared" si="91"/>
        <v>565486.6776461628</v>
      </c>
      <c r="D213" s="93" t="str">
        <f t="shared" si="92"/>
        <v>0.00555313311958441-0.000579373273593396i</v>
      </c>
      <c r="E213" s="1">
        <f t="shared" si="93"/>
        <v>-45.062219461097321</v>
      </c>
      <c r="F213" s="1">
        <f t="shared" si="94"/>
        <v>-5.9562727847725716</v>
      </c>
      <c r="G213" s="1" t="str">
        <f t="shared" si="95"/>
        <v>0.0196758009057806-142.936674079785i</v>
      </c>
      <c r="H213" s="1">
        <f t="shared" si="77"/>
        <v>43.102873532432568</v>
      </c>
      <c r="I213" s="1">
        <f t="shared" si="78"/>
        <v>-89.992113008431346</v>
      </c>
      <c r="J213" s="95" t="str">
        <f t="shared" si="96"/>
        <v>-1.96456069329335+0.00157422195464063i</v>
      </c>
      <c r="K213" s="94">
        <f t="shared" si="79"/>
        <v>5.865311798256184</v>
      </c>
      <c r="L213" s="94">
        <f t="shared" si="80"/>
        <v>179.95408833383425</v>
      </c>
      <c r="M213" s="1">
        <f t="shared" si="97"/>
        <v>0.1985416666666667</v>
      </c>
      <c r="N213" s="94">
        <f t="shared" si="98"/>
        <v>2.5000000000000001E-3</v>
      </c>
      <c r="O213" s="94" t="str">
        <f t="shared" si="99"/>
        <v>0.242487320235929-1.61888110604294i</v>
      </c>
      <c r="P213" s="94">
        <f t="shared" si="81"/>
        <v>4.2806610135551058</v>
      </c>
      <c r="Q213" s="94">
        <f t="shared" si="82"/>
        <v>-81.481171046771507</v>
      </c>
      <c r="R213" s="94" t="str">
        <f t="shared" si="83"/>
        <v>-0.120116450886947+0.711121668238882i</v>
      </c>
      <c r="S213" s="94">
        <f t="shared" si="84"/>
        <v>-2.8389478549053986</v>
      </c>
      <c r="T213" s="94">
        <f t="shared" si="85"/>
        <v>99.587405895887599</v>
      </c>
      <c r="U213" s="94" t="str">
        <f>IMPRODUCT(COMPLEX(-1,0),IMDIV(COMPLEX(1,C213*Calculations!$B$195*Calculations!$B$197),IMPRODUCT(COMPLEX(0,C213*Calculations!$B$184),COMPLEX((Calculations!$B$197+Calculations!$B$199),C213*Calculations!$B$195*Calculations!$B$197*Calculations!$B$199))))</f>
        <v>-0.137771410119463+0.779264938808774i</v>
      </c>
      <c r="V213" s="94">
        <f t="shared" si="86"/>
        <v>-2.0326279784140153</v>
      </c>
      <c r="W213" s="94">
        <f t="shared" si="87"/>
        <v>100.02609506917355</v>
      </c>
      <c r="X213" s="94" t="str">
        <f t="shared" si="88"/>
        <v>-0.537603570468526-0.19157477375012i</v>
      </c>
      <c r="Y213" s="94">
        <f t="shared" si="89"/>
        <v>-4.8715758333194072</v>
      </c>
      <c r="Z213" s="94">
        <f t="shared" si="90"/>
        <v>-160.38649903493882</v>
      </c>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row>
    <row r="214" spans="1:93">
      <c r="B214" s="1">
        <v>100000</v>
      </c>
      <c r="C214" s="1">
        <f t="shared" si="91"/>
        <v>628318.53071795858</v>
      </c>
      <c r="D214" s="93" t="str">
        <f t="shared" si="92"/>
        <v>0.00555301418553814-0.000521436061883422i</v>
      </c>
      <c r="E214" s="1">
        <f t="shared" si="93"/>
        <v>-45.071298347645538</v>
      </c>
      <c r="F214" s="1">
        <f t="shared" si="94"/>
        <v>-5.364426540284307</v>
      </c>
      <c r="G214" s="1" t="str">
        <f t="shared" si="95"/>
        <v>0.0159315348635943-128.640308311192i</v>
      </c>
      <c r="H214" s="1">
        <f t="shared" si="77"/>
        <v>42.187541512125208</v>
      </c>
      <c r="I214" s="1">
        <f t="shared" si="78"/>
        <v>-89.992904170425533</v>
      </c>
      <c r="J214" s="95" t="str">
        <f t="shared" si="96"/>
        <v>-1.96053554297046+0.0014250170162248i</v>
      </c>
      <c r="K214" s="94">
        <f t="shared" si="79"/>
        <v>5.8474966969432494</v>
      </c>
      <c r="L214" s="94">
        <f t="shared" si="80"/>
        <v>179.95835451865267</v>
      </c>
      <c r="M214" s="1">
        <f t="shared" si="97"/>
        <v>0.1985416666666667</v>
      </c>
      <c r="N214" s="94">
        <f t="shared" si="98"/>
        <v>2.5000000000000001E-3</v>
      </c>
      <c r="O214" s="94" t="str">
        <f t="shared" si="99"/>
        <v>0.197359442204615-1.46352238167495i</v>
      </c>
      <c r="P214" s="94">
        <f t="shared" si="81"/>
        <v>3.3862549910355595</v>
      </c>
      <c r="Q214" s="94">
        <f t="shared" si="82"/>
        <v>-82.319860320506706</v>
      </c>
      <c r="R214" s="94" t="str">
        <f t="shared" si="83"/>
        <v>-0.0930095921873818+0.627161603489596i</v>
      </c>
      <c r="S214" s="94">
        <f t="shared" si="84"/>
        <v>-3.9579289517525003</v>
      </c>
      <c r="T214" s="94">
        <f t="shared" si="85"/>
        <v>98.43561889443491</v>
      </c>
      <c r="U214" s="94" t="str">
        <f>IMPRODUCT(COMPLEX(-1,0),IMDIV(COMPLEX(1,C214*Calculations!$B$195*Calculations!$B$197),IMPRODUCT(COMPLEX(0,C214*Calculations!$B$184),COMPLEX((Calculations!$B$197+Calculations!$B$199),C214*Calculations!$B$195*Calculations!$B$197*Calculations!$B$199))))</f>
        <v>-0.112251110533435+0.705430897073081i</v>
      </c>
      <c r="V214" s="94">
        <f t="shared" si="86"/>
        <v>-2.9223140316281104</v>
      </c>
      <c r="W214" s="94">
        <f t="shared" si="87"/>
        <v>99.041341820747178</v>
      </c>
      <c r="X214" s="94" t="str">
        <f t="shared" si="88"/>
        <v>-0.431978742546162-0.136011426528783i</v>
      </c>
      <c r="Y214" s="94">
        <f t="shared" si="89"/>
        <v>-6.8802429833806151</v>
      </c>
      <c r="Z214" s="94">
        <f t="shared" si="90"/>
        <v>-162.52303928481791</v>
      </c>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row>
    <row r="215" spans="1:93">
      <c r="B215" s="1">
        <v>200000</v>
      </c>
      <c r="C215" s="1">
        <f t="shared" si="91"/>
        <v>1256637.0614359172</v>
      </c>
      <c r="D215" s="93" t="str">
        <f t="shared" si="92"/>
        <v>0.00555263390922035-0.000260718215828696i</v>
      </c>
      <c r="E215" s="1">
        <f t="shared" si="93"/>
        <v>-45.100454936445082</v>
      </c>
      <c r="F215" s="1">
        <f t="shared" si="94"/>
        <v>-2.6882899716887718</v>
      </c>
      <c r="G215" s="1" t="str">
        <f t="shared" si="95"/>
        <v>0.00397819726222169-64.3158406910302i</v>
      </c>
      <c r="H215" s="1">
        <f t="shared" si="77"/>
        <v>36.166359032623404</v>
      </c>
      <c r="I215" s="1">
        <f t="shared" si="78"/>
        <v>-89.996456022179672</v>
      </c>
      <c r="J215" s="95" t="str">
        <f t="shared" si="96"/>
        <v>-1.94766673767686+0.00072564303776906i</v>
      </c>
      <c r="K215" s="94">
        <f t="shared" si="79"/>
        <v>5.7902935513305014</v>
      </c>
      <c r="L215" s="94">
        <f t="shared" si="80"/>
        <v>179.97865328766505</v>
      </c>
      <c r="M215" s="1">
        <f t="shared" si="97"/>
        <v>0.1985416666666667</v>
      </c>
      <c r="N215" s="94">
        <f t="shared" si="98"/>
        <v>2.5000000000000001E-3</v>
      </c>
      <c r="O215" s="94" t="str">
        <f t="shared" si="99"/>
        <v>0.0501104926718536-0.742413644557125i</v>
      </c>
      <c r="P215" s="94">
        <f t="shared" si="81"/>
        <v>-2.567340408091745</v>
      </c>
      <c r="Q215" s="94">
        <f t="shared" si="82"/>
        <v>-86.138579147199295</v>
      </c>
      <c r="R215" s="94" t="str">
        <f t="shared" si="83"/>
        <v>-0.0202204371716901+0.294029590879033i</v>
      </c>
      <c r="S215" s="94">
        <f t="shared" si="84"/>
        <v>-10.611688433060763</v>
      </c>
      <c r="T215" s="94">
        <f t="shared" si="85"/>
        <v>93.934041102461677</v>
      </c>
      <c r="U215" s="94" t="str">
        <f>IMPRODUCT(COMPLEX(-1,0),IMDIV(COMPLEX(1,C215*Calculations!$B$195*Calculations!$B$197),IMPRODUCT(COMPLEX(0,C215*Calculations!$B$184),COMPLEX((Calculations!$B$197+Calculations!$B$199),C215*Calculations!$B$195*Calculations!$B$197*Calculations!$B$199))))</f>
        <v>-0.0286005574617336+0.359422577585125i</v>
      </c>
      <c r="V215" s="94">
        <f t="shared" si="86"/>
        <v>-8.8604802481152731</v>
      </c>
      <c r="W215" s="94">
        <f t="shared" si="87"/>
        <v>94.549646314005685</v>
      </c>
      <c r="X215" s="94" t="str">
        <f t="shared" si="88"/>
        <v>-0.105102557664812-0.0156770918575327i</v>
      </c>
      <c r="Y215" s="94">
        <f t="shared" si="89"/>
        <v>-19.472168681175997</v>
      </c>
      <c r="Z215" s="94">
        <f t="shared" si="90"/>
        <v>-171.51631258353268</v>
      </c>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row>
    <row r="216" spans="1:93">
      <c r="B216" s="1">
        <v>300000</v>
      </c>
      <c r="C216" s="1">
        <f t="shared" si="91"/>
        <v>1884955.5921538759</v>
      </c>
      <c r="D216" s="93" t="str">
        <f t="shared" si="92"/>
        <v>0.00555256348762085-0.00017381216671137i</v>
      </c>
      <c r="E216" s="1">
        <f t="shared" si="93"/>
        <v>-45.105875856218077</v>
      </c>
      <c r="F216" s="1">
        <f t="shared" si="94"/>
        <v>-1.7929471194321724</v>
      </c>
      <c r="G216" s="1" t="str">
        <f t="shared" si="95"/>
        <v>0.00176770201403764-42.8766946412017i</v>
      </c>
      <c r="H216" s="1">
        <f t="shared" si="77"/>
        <v>32.644425972784703</v>
      </c>
      <c r="I216" s="1">
        <f t="shared" si="78"/>
        <v>-89.997637834128042</v>
      </c>
      <c r="J216" s="95" t="str">
        <f t="shared" si="96"/>
        <v>-1.94528380667469+0.000485383319135194i</v>
      </c>
      <c r="K216" s="94">
        <f t="shared" si="79"/>
        <v>5.779659701680826</v>
      </c>
      <c r="L216" s="94">
        <f t="shared" si="80"/>
        <v>179.98570367215316</v>
      </c>
      <c r="M216" s="1">
        <f t="shared" si="97"/>
        <v>0.1985416666666667</v>
      </c>
      <c r="N216" s="94">
        <f t="shared" si="98"/>
        <v>2.5000000000000001E-3</v>
      </c>
      <c r="O216" s="94" t="str">
        <f t="shared" si="99"/>
        <v>0.0223359340972684-0.496281962519702i</v>
      </c>
      <c r="P216" s="94">
        <f t="shared" si="81"/>
        <v>-6.07664205872066</v>
      </c>
      <c r="Q216" s="94">
        <f t="shared" si="82"/>
        <v>-87.423054201202163</v>
      </c>
      <c r="R216" s="94" t="str">
        <f t="shared" si="83"/>
        <v>-0.0087634835779582+0.193717970708444i</v>
      </c>
      <c r="S216" s="94">
        <f t="shared" si="84"/>
        <v>-14.247722986032535</v>
      </c>
      <c r="T216" s="94">
        <f t="shared" si="85"/>
        <v>92.590201189358623</v>
      </c>
      <c r="U216" s="94" t="str">
        <f>IMPRODUCT(COMPLEX(-1,0),IMDIV(COMPLEX(1,C216*Calculations!$B$195*Calculations!$B$197),IMPRODUCT(COMPLEX(0,C216*Calculations!$B$184),COMPLEX((Calculations!$B$197+Calculations!$B$199),C216*Calculations!$B$195*Calculations!$B$197*Calculations!$B$199))))</f>
        <v>-0.0127566294492985+0.240461965986891i</v>
      </c>
      <c r="V216" s="94">
        <f t="shared" si="86"/>
        <v>-12.366866702152768</v>
      </c>
      <c r="W216" s="94">
        <f t="shared" si="87"/>
        <v>93.036723536621395</v>
      </c>
      <c r="X216" s="94" t="str">
        <f t="shared" si="88"/>
        <v>-0.0464700115708544-0.00457847286004734i</v>
      </c>
      <c r="Y216" s="94">
        <f t="shared" si="89"/>
        <v>-26.614589688185298</v>
      </c>
      <c r="Z216" s="94">
        <f t="shared" si="90"/>
        <v>-174.37307527401998</v>
      </c>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row>
    <row r="217" spans="1:93">
      <c r="B217" s="1">
        <v>400000</v>
      </c>
      <c r="C217" s="1">
        <f t="shared" si="91"/>
        <v>2513274.1228718343</v>
      </c>
      <c r="D217" s="93" t="str">
        <f t="shared" si="92"/>
        <v>0.00555253884005666-0.000130359131025242i</v>
      </c>
      <c r="E217" s="1">
        <f t="shared" si="93"/>
        <v>-45.107774778183504</v>
      </c>
      <c r="F217" s="1">
        <f t="shared" si="94"/>
        <v>-1.344908413631954</v>
      </c>
      <c r="G217" s="1" t="str">
        <f t="shared" si="95"/>
        <v>0.000994256458885956-32.1573812055203i</v>
      </c>
      <c r="H217" s="1">
        <f t="shared" si="77"/>
        <v>30.14561348335361</v>
      </c>
      <c r="I217" s="1">
        <f t="shared" si="78"/>
        <v>-89.998228503171163</v>
      </c>
      <c r="J217" s="95" t="str">
        <f t="shared" si="96"/>
        <v>-1.94444979419243+0.000364463065012834i</v>
      </c>
      <c r="K217" s="94">
        <f t="shared" si="79"/>
        <v>5.7759348349657733</v>
      </c>
      <c r="L217" s="94">
        <f t="shared" si="80"/>
        <v>179.98926061488888</v>
      </c>
      <c r="M217" s="1">
        <f t="shared" si="97"/>
        <v>0.1985416666666667</v>
      </c>
      <c r="N217" s="94">
        <f t="shared" si="98"/>
        <v>2.5000000000000001E-3</v>
      </c>
      <c r="O217" s="94" t="str">
        <f t="shared" si="99"/>
        <v>0.0125767317047369-0.372564477640096i</v>
      </c>
      <c r="P217" s="94">
        <f t="shared" si="81"/>
        <v>-8.5710249327915999</v>
      </c>
      <c r="Q217" s="94">
        <f t="shared" si="82"/>
        <v>-88.066589382751971</v>
      </c>
      <c r="R217" s="94" t="str">
        <f t="shared" si="83"/>
        <v>-0.00488647260516653+0.144690473443442i</v>
      </c>
      <c r="S217" s="94">
        <f t="shared" si="84"/>
        <v>-16.786250760053903</v>
      </c>
      <c r="T217" s="94">
        <f t="shared" si="85"/>
        <v>91.93425235509423</v>
      </c>
      <c r="U217" s="94" t="str">
        <f>IMPRODUCT(COMPLEX(-1,0),IMDIV(COMPLEX(1,C217*Calculations!$B$195*Calculations!$B$197),IMPRODUCT(COMPLEX(0,C217*Calculations!$B$184),COMPLEX((Calculations!$B$197+Calculations!$B$199),C217*Calculations!$B$195*Calculations!$B$197*Calculations!$B$199))))</f>
        <v>-0.00718455961498225+0.180569859692502i</v>
      </c>
      <c r="V217" s="94">
        <f t="shared" si="86"/>
        <v>-14.860224886059347</v>
      </c>
      <c r="W217" s="94">
        <f t="shared" si="87"/>
        <v>92.278497223436062</v>
      </c>
      <c r="X217" s="94" t="str">
        <f t="shared" si="88"/>
        <v>-0.0260916313347852-0.00192188700488059i</v>
      </c>
      <c r="Y217" s="94">
        <f t="shared" si="89"/>
        <v>-31.646475646113252</v>
      </c>
      <c r="Z217" s="94">
        <f t="shared" si="90"/>
        <v>-175.78725042146971</v>
      </c>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row>
    <row r="218" spans="1:93">
      <c r="B218" s="1">
        <v>500000</v>
      </c>
      <c r="C218" s="1">
        <f t="shared" si="91"/>
        <v>3141592.653589793</v>
      </c>
      <c r="D218" s="93" t="str">
        <f t="shared" si="92"/>
        <v>0.00555252743175472-0.000104287307038839i</v>
      </c>
      <c r="E218" s="1">
        <f t="shared" si="93"/>
        <v>-45.108653989009227</v>
      </c>
      <c r="F218" s="1">
        <f t="shared" si="94"/>
        <v>-1.0760001030598023</v>
      </c>
      <c r="G218" s="1" t="str">
        <f t="shared" si="95"/>
        <v>0.000636301643097818-25.7258532079029i</v>
      </c>
      <c r="H218" s="1">
        <f t="shared" si="77"/>
        <v>28.207395747023227</v>
      </c>
      <c r="I218" s="1">
        <f t="shared" si="78"/>
        <v>-89.998582849775886</v>
      </c>
      <c r="J218" s="95" t="str">
        <f t="shared" si="96"/>
        <v>-1.94406376790445+0.00029172803463173i</v>
      </c>
      <c r="K218" s="94">
        <f t="shared" si="79"/>
        <v>5.7742102231277324</v>
      </c>
      <c r="L218" s="94">
        <f t="shared" si="80"/>
        <v>179.99140214158584</v>
      </c>
      <c r="M218" s="1">
        <f t="shared" si="97"/>
        <v>0.1985416666666667</v>
      </c>
      <c r="N218" s="94">
        <f t="shared" si="98"/>
        <v>2.5000000000000001E-3</v>
      </c>
      <c r="O218" s="94" t="str">
        <f t="shared" si="99"/>
        <v>0.00805289639308431-0.298182489521455i</v>
      </c>
      <c r="P218" s="94">
        <f t="shared" si="81"/>
        <v>-10.507190872027765</v>
      </c>
      <c r="Q218" s="94">
        <f t="shared" si="82"/>
        <v>-88.453011604856016</v>
      </c>
      <c r="R218" s="94" t="str">
        <f t="shared" si="83"/>
        <v>-0.00311471755549529+0.115531816411311i</v>
      </c>
      <c r="S218" s="94">
        <f t="shared" si="84"/>
        <v>-18.742812525624398</v>
      </c>
      <c r="T218" s="94">
        <f t="shared" si="85"/>
        <v>91.544310111526016</v>
      </c>
      <c r="U218" s="94" t="str">
        <f>IMPRODUCT(COMPLEX(-1,0),IMDIV(COMPLEX(1,C218*Calculations!$B$195*Calculations!$B$197),IMPRODUCT(COMPLEX(0,C218*Calculations!$B$184),COMPLEX((Calculations!$B$197+Calculations!$B$199),C218*Calculations!$B$195*Calculations!$B$197*Calculations!$B$199))))</f>
        <v>-0.00460077588954832+0.144538755207922i</v>
      </c>
      <c r="V218" s="94">
        <f t="shared" si="86"/>
        <v>-16.795915769005077</v>
      </c>
      <c r="W218" s="94">
        <f t="shared" si="87"/>
        <v>91.823151630079764</v>
      </c>
      <c r="X218" s="94" t="str">
        <f t="shared" si="88"/>
        <v>-0.016684494813569-0.000981733393716433i</v>
      </c>
      <c r="Y218" s="94">
        <f t="shared" si="89"/>
        <v>-35.538728294629472</v>
      </c>
      <c r="Z218" s="94">
        <f t="shared" si="90"/>
        <v>-176.63253825839422</v>
      </c>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row>
    <row r="219" spans="1:93">
      <c r="B219" s="1">
        <v>600000</v>
      </c>
      <c r="C219" s="1">
        <f t="shared" si="91"/>
        <v>3769911.1843077517</v>
      </c>
      <c r="D219" s="93" t="str">
        <f t="shared" si="92"/>
        <v>0.00555252123465226-0.0000869060902033582i</v>
      </c>
      <c r="E219" s="1">
        <f t="shared" si="93"/>
        <v>-45.109131659643865</v>
      </c>
      <c r="F219" s="1">
        <f t="shared" si="94"/>
        <v>-0.89669997250987976</v>
      </c>
      <c r="G219" s="1" t="str">
        <f t="shared" si="95"/>
        <v>0.000441867656985967-21.4381875777808i</v>
      </c>
      <c r="H219" s="1">
        <f t="shared" si="77"/>
        <v>26.623761332856454</v>
      </c>
      <c r="I219" s="1">
        <f t="shared" si="78"/>
        <v>-89.998819062863731</v>
      </c>
      <c r="J219" s="95" t="str">
        <f t="shared" si="96"/>
        <v>-1.94385407523467+0.000243178028789231i</v>
      </c>
      <c r="K219" s="94">
        <f t="shared" si="79"/>
        <v>5.7732732561205644</v>
      </c>
      <c r="L219" s="94">
        <f t="shared" si="80"/>
        <v>179.99283224248941</v>
      </c>
      <c r="M219" s="1">
        <f t="shared" si="97"/>
        <v>0.1985416666666667</v>
      </c>
      <c r="N219" s="94">
        <f t="shared" si="98"/>
        <v>2.5000000000000001E-3</v>
      </c>
      <c r="O219" s="94" t="str">
        <f t="shared" si="99"/>
        <v>0.00559371918221419-0.248544709481372i</v>
      </c>
      <c r="P219" s="94">
        <f t="shared" si="81"/>
        <v>-12.089710326651367</v>
      </c>
      <c r="Q219" s="94">
        <f t="shared" si="82"/>
        <v>-88.710725301939746</v>
      </c>
      <c r="R219" s="94" t="str">
        <f t="shared" si="83"/>
        <v>-0.00215825574158885+0.0961768628360561i</v>
      </c>
      <c r="S219" s="94">
        <f t="shared" si="84"/>
        <v>-20.336401412874061</v>
      </c>
      <c r="T219" s="94">
        <f t="shared" si="85"/>
        <v>91.285529497649591</v>
      </c>
      <c r="U219" s="94" t="str">
        <f>IMPRODUCT(COMPLEX(-1,0),IMDIV(COMPLEX(1,C219*Calculations!$B$195*Calculations!$B$197),IMPRODUCT(COMPLEX(0,C219*Calculations!$B$184),COMPLEX((Calculations!$B$197+Calculations!$B$199),C219*Calculations!$B$195*Calculations!$B$197*Calculations!$B$199))))</f>
        <v>-0.00319598672648549+0.120486508160045i</v>
      </c>
      <c r="V219" s="94">
        <f t="shared" si="86"/>
        <v>-18.37817696342767</v>
      </c>
      <c r="W219" s="94">
        <f t="shared" si="87"/>
        <v>91.519453290426469</v>
      </c>
      <c r="X219" s="94" t="str">
        <f t="shared" si="88"/>
        <v>-0.0115811166122015-0.00056742067503946i</v>
      </c>
      <c r="Y219" s="94">
        <f t="shared" si="89"/>
        <v>-38.714578376301745</v>
      </c>
      <c r="Z219" s="94">
        <f t="shared" si="90"/>
        <v>-177.19501721192393</v>
      </c>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row>
    <row r="220" spans="1:93">
      <c r="B220" s="1">
        <v>700000</v>
      </c>
      <c r="C220" s="1">
        <f t="shared" si="91"/>
        <v>4398229.7150257099</v>
      </c>
      <c r="D220" s="93" t="str">
        <f t="shared" si="92"/>
        <v>0.00555251749799486-0.000074490934979087i</v>
      </c>
      <c r="E220" s="1">
        <f t="shared" si="93"/>
        <v>-45.109419705368239</v>
      </c>
      <c r="F220" s="1">
        <f t="shared" si="94"/>
        <v>-0.76861714732919661</v>
      </c>
      <c r="G220" s="1" t="str">
        <f t="shared" si="95"/>
        <v>0.000324633703875347-18.3755772436918i</v>
      </c>
      <c r="H220" s="1">
        <f t="shared" si="77"/>
        <v>25.284819816139898</v>
      </c>
      <c r="I220" s="1">
        <f t="shared" si="78"/>
        <v>-89.998987779220698</v>
      </c>
      <c r="J220" s="95" t="str">
        <f t="shared" si="96"/>
        <v>-1.94372763738023+0.000208475177441532i</v>
      </c>
      <c r="K220" s="94">
        <f t="shared" si="79"/>
        <v>5.7727082466439761</v>
      </c>
      <c r="L220" s="94">
        <f t="shared" si="80"/>
        <v>179.99385472145113</v>
      </c>
      <c r="M220" s="1">
        <f t="shared" si="97"/>
        <v>0.1985416666666667</v>
      </c>
      <c r="N220" s="94">
        <f t="shared" si="98"/>
        <v>2.5000000000000001E-3</v>
      </c>
      <c r="O220" s="94" t="str">
        <f t="shared" si="99"/>
        <v>0.00411030499068442-0.213068983802376i</v>
      </c>
      <c r="P220" s="94">
        <f t="shared" si="81"/>
        <v>-13.427979420706091</v>
      </c>
      <c r="Q220" s="94">
        <f t="shared" si="82"/>
        <v>-88.894846554702795</v>
      </c>
      <c r="R220" s="94" t="str">
        <f t="shared" si="83"/>
        <v>-0.0015835612979302+0.0823858644722784i</v>
      </c>
      <c r="S220" s="94">
        <f t="shared" si="84"/>
        <v>-21.681341701272459</v>
      </c>
      <c r="T220" s="94">
        <f t="shared" si="85"/>
        <v>91.101162295697037</v>
      </c>
      <c r="U220" s="94" t="str">
        <f>IMPRODUCT(COMPLEX(-1,0),IMDIV(COMPLEX(1,C220*Calculations!$B$195*Calculations!$B$197),IMPRODUCT(COMPLEX(0,C220*Calculations!$B$184),COMPLEX((Calculations!$B$197+Calculations!$B$199),C220*Calculations!$B$195*Calculations!$B$197*Calculations!$B$199))))</f>
        <v>-0.0023485166389007+0.103293564260692i</v>
      </c>
      <c r="V220" s="94">
        <f t="shared" si="86"/>
        <v>-19.716290264935601</v>
      </c>
      <c r="W220" s="94">
        <f t="shared" si="87"/>
        <v>91.302471389638868</v>
      </c>
      <c r="X220" s="94" t="str">
        <f t="shared" si="88"/>
        <v>-0.00850621056598304-0.000357056264211862i</v>
      </c>
      <c r="Y220" s="94">
        <f t="shared" si="89"/>
        <v>-41.39763196620806</v>
      </c>
      <c r="Z220" s="94">
        <f t="shared" si="90"/>
        <v>-177.5963663146641</v>
      </c>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row>
    <row r="221" spans="1:93">
      <c r="B221" s="1">
        <v>800000</v>
      </c>
      <c r="C221" s="1">
        <f t="shared" si="91"/>
        <v>5026548.2457436686</v>
      </c>
      <c r="D221" s="93" t="str">
        <f t="shared" si="92"/>
        <v>0.00555251507276045-0.000065179568401483i</v>
      </c>
      <c r="E221" s="1">
        <f t="shared" si="93"/>
        <v>-45.109606668348476</v>
      </c>
      <c r="F221" s="1">
        <f t="shared" si="94"/>
        <v>-0.67254975605133605</v>
      </c>
      <c r="G221" s="1" t="str">
        <f t="shared" si="95"/>
        <v>0.000248545811909007-16.0786232116068i</v>
      </c>
      <c r="H221" s="1">
        <f t="shared" si="77"/>
        <v>24.124977161424255</v>
      </c>
      <c r="I221" s="1">
        <f t="shared" si="78"/>
        <v>-89.999114313094509</v>
      </c>
      <c r="J221" s="95" t="str">
        <f t="shared" si="96"/>
        <v>-1.94364557443496+0.000182436717333637i</v>
      </c>
      <c r="K221" s="94">
        <f t="shared" si="79"/>
        <v>5.7723415144661026</v>
      </c>
      <c r="L221" s="94">
        <f t="shared" si="80"/>
        <v>179.99462203704306</v>
      </c>
      <c r="M221" s="1">
        <f t="shared" si="97"/>
        <v>0.1985416666666667</v>
      </c>
      <c r="N221" s="94">
        <f t="shared" si="98"/>
        <v>2.5000000000000001E-3</v>
      </c>
      <c r="O221" s="94" t="str">
        <f t="shared" si="99"/>
        <v>0.00314726726405302-0.186452778124189i</v>
      </c>
      <c r="P221" s="94">
        <f t="shared" si="81"/>
        <v>-14.587385591987598</v>
      </c>
      <c r="Q221" s="94">
        <f t="shared" si="82"/>
        <v>-89.03295617457546</v>
      </c>
      <c r="R221" s="94" t="str">
        <f t="shared" si="83"/>
        <v>-0.00121137410858726+0.0720584342145205i</v>
      </c>
      <c r="S221" s="94">
        <f t="shared" si="84"/>
        <v>-22.845076396700179</v>
      </c>
      <c r="T221" s="94">
        <f t="shared" si="85"/>
        <v>90.963108446249677</v>
      </c>
      <c r="U221" s="94" t="str">
        <f>IMPRODUCT(COMPLEX(-1,0),IMDIV(COMPLEX(1,C221*Calculations!$B$195*Calculations!$B$197),IMPRODUCT(COMPLEX(0,C221*Calculations!$B$184),COMPLEX((Calculations!$B$197+Calculations!$B$199),C221*Calculations!$B$195*Calculations!$B$197*Calculations!$B$199))))</f>
        <v>-0.0017983041299849+0.090392897783401i</v>
      </c>
      <c r="V221" s="94">
        <f t="shared" si="86"/>
        <v>-20.875595292748478</v>
      </c>
      <c r="W221" s="94">
        <f t="shared" si="87"/>
        <v>91.139709528817804</v>
      </c>
      <c r="X221" s="94" t="str">
        <f t="shared" si="88"/>
        <v>-0.00651139225932265-0.000239082595823204i</v>
      </c>
      <c r="Y221" s="94">
        <f t="shared" si="89"/>
        <v>-43.72067168944865</v>
      </c>
      <c r="Z221" s="94">
        <f t="shared" si="90"/>
        <v>-177.89718202493253</v>
      </c>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row>
    <row r="222" spans="1:93">
      <c r="B222" s="1">
        <v>900000</v>
      </c>
      <c r="C222" s="1">
        <f t="shared" si="91"/>
        <v>5654866.7764616273</v>
      </c>
      <c r="D222" s="93" t="str">
        <f t="shared" si="92"/>
        <v>0.00555251341002772-0.0000579373943142974i</v>
      </c>
      <c r="E222" s="1">
        <f t="shared" si="93"/>
        <v>-45.109734854204035</v>
      </c>
      <c r="F222" s="1">
        <f t="shared" si="94"/>
        <v>-0.59782794877901058</v>
      </c>
      <c r="G222" s="1" t="str">
        <f t="shared" si="95"/>
        <v>0.000196380864376296-14.292105330684i</v>
      </c>
      <c r="H222" s="1">
        <f t="shared" si="77"/>
        <v>23.101924165374644</v>
      </c>
      <c r="I222" s="1">
        <f t="shared" si="78"/>
        <v>-89.999212726575635</v>
      </c>
      <c r="J222" s="95" t="str">
        <f t="shared" si="96"/>
        <v>-1.94358931238863+0.000162178730401318i</v>
      </c>
      <c r="K222" s="94">
        <f t="shared" si="79"/>
        <v>5.7720900753146616</v>
      </c>
      <c r="L222" s="94">
        <f t="shared" si="80"/>
        <v>179.99521907395868</v>
      </c>
      <c r="M222" s="1">
        <f t="shared" si="97"/>
        <v>0.1985416666666667</v>
      </c>
      <c r="N222" s="94">
        <f t="shared" si="98"/>
        <v>2.5000000000000001E-3</v>
      </c>
      <c r="O222" s="94" t="str">
        <f t="shared" si="99"/>
        <v>0.00248690035932429-0.165746419005051i</v>
      </c>
      <c r="P222" s="94">
        <f t="shared" si="81"/>
        <v>-15.610139311289617</v>
      </c>
      <c r="Q222" s="94">
        <f t="shared" si="82"/>
        <v>-89.140384424366559</v>
      </c>
      <c r="R222" s="94" t="str">
        <f t="shared" si="83"/>
        <v>-0.00095657226567818+0.0640341561637484i</v>
      </c>
      <c r="S222" s="94">
        <f t="shared" si="84"/>
        <v>-23.870797129761442</v>
      </c>
      <c r="T222" s="94">
        <f t="shared" si="85"/>
        <v>90.855847574787163</v>
      </c>
      <c r="U222" s="94" t="str">
        <f>IMPRODUCT(COMPLEX(-1,0),IMDIV(COMPLEX(1,C222*Calculations!$B$195*Calculations!$B$197),IMPRODUCT(COMPLEX(0,C222*Calculations!$B$184),COMPLEX((Calculations!$B$197+Calculations!$B$199),C222*Calculations!$B$195*Calculations!$B$197*Calculations!$B$199))))</f>
        <v>-0.00142100205983058+0.0803559651863431i</v>
      </c>
      <c r="V222" s="94">
        <f t="shared" si="86"/>
        <v>-21.898279655629413</v>
      </c>
      <c r="W222" s="94">
        <f t="shared" si="87"/>
        <v>91.013103821323128</v>
      </c>
      <c r="X222" s="94" t="str">
        <f t="shared" si="88"/>
        <v>-0.00514416713227112-0.000167858955487257i</v>
      </c>
      <c r="Y222" s="94">
        <f t="shared" si="89"/>
        <v>-45.769076785390858</v>
      </c>
      <c r="Z222" s="94">
        <f t="shared" si="90"/>
        <v>-178.13104860388972</v>
      </c>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row>
    <row r="223" spans="1:93" ht="14.25" thickBot="1">
      <c r="B223" s="135">
        <v>1000000</v>
      </c>
      <c r="C223" s="135">
        <f t="shared" si="91"/>
        <v>6283185.307179586</v>
      </c>
      <c r="D223" s="136" t="str">
        <f t="shared" si="92"/>
        <v>0.00555251222068478-0.0000521436549985173i</v>
      </c>
      <c r="E223" s="135">
        <f t="shared" si="93"/>
        <v>-45.109826547114089</v>
      </c>
      <c r="F223" s="135">
        <f t="shared" si="94"/>
        <v>-0.53804898016853409</v>
      </c>
      <c r="G223" s="135" t="str">
        <f t="shared" si="95"/>
        <v>0.000159067913978314-12.8628920997636i</v>
      </c>
      <c r="H223" s="135">
        <f t="shared" si="77"/>
        <v>22.186772532234468</v>
      </c>
      <c r="I223" s="135">
        <f t="shared" si="78"/>
        <v>-89.999291456380433</v>
      </c>
      <c r="J223" s="137" t="str">
        <f t="shared" si="96"/>
        <v>-1.94354906849719+0.000145969071428987i</v>
      </c>
      <c r="K223" s="116">
        <f t="shared" si="79"/>
        <v>5.7719102179879744</v>
      </c>
      <c r="L223" s="116">
        <f t="shared" si="80"/>
        <v>179.99569683531425</v>
      </c>
      <c r="M223" s="135">
        <f t="shared" si="97"/>
        <v>0.1985416666666667</v>
      </c>
      <c r="N223" s="116">
        <f t="shared" si="98"/>
        <v>2.5000000000000001E-3</v>
      </c>
      <c r="O223" s="116" t="str">
        <f t="shared" si="99"/>
        <v>0.00201448818642566-0.149178612262045i</v>
      </c>
      <c r="P223" s="116">
        <f t="shared" si="81"/>
        <v>-16.525076860983884</v>
      </c>
      <c r="Q223" s="116">
        <f t="shared" si="82"/>
        <v>-89.226332420618661</v>
      </c>
      <c r="R223" s="116" t="str">
        <f t="shared" si="83"/>
        <v>-0.000774497657705416+0.0576192945420932i</v>
      </c>
      <c r="S223" s="116">
        <f t="shared" si="84"/>
        <v>-24.787856663534381</v>
      </c>
      <c r="T223" s="116">
        <f t="shared" si="85"/>
        <v>90.770102708158134</v>
      </c>
      <c r="U223" s="116" t="str">
        <f>IMPRODUCT(COMPLEX(-1,0),IMDIV(COMPLEX(1,C223*Calculations!$B$195*Calculations!$B$197),IMPRODUCT(COMPLEX(0,C223*Calculations!$B$184),COMPLEX((Calculations!$B$197+Calculations!$B$199),C223*Calculations!$B$195*Calculations!$B$197*Calculations!$B$199))))</f>
        <v>-0.00115108108010577+0.0723246971384181i</v>
      </c>
      <c r="V223" s="116">
        <f t="shared" si="86"/>
        <v>-22.813167588698352</v>
      </c>
      <c r="W223" s="116">
        <f t="shared" si="87"/>
        <v>90.911811906923703</v>
      </c>
      <c r="X223" s="116" t="str">
        <f t="shared" si="88"/>
        <v>-0.00416640651748583-0.000122339788324404i</v>
      </c>
      <c r="Y223" s="116">
        <f t="shared" si="89"/>
        <v>-47.601024252232726</v>
      </c>
      <c r="Z223" s="116">
        <f t="shared" si="90"/>
        <v>-178.31808538491816</v>
      </c>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row>
    <row r="224" spans="1:93">
      <c r="A224" s="92" t="s">
        <v>407</v>
      </c>
      <c r="B224" s="126">
        <f>Calculations!B189</f>
        <v>819</v>
      </c>
      <c r="C224" s="127">
        <f t="shared" si="91"/>
        <v>5145.9287665800812</v>
      </c>
      <c r="D224" s="128" t="str">
        <f t="shared" si="92"/>
        <v>0.0130065435959653-0.0627824641789489i</v>
      </c>
      <c r="E224" s="127">
        <f t="shared" si="93"/>
        <v>-23.860728085845437</v>
      </c>
      <c r="F224" s="127">
        <f t="shared" ref="F224" si="100">IMARGUMENT(D224)*(180/PI())</f>
        <v>-78.295694415381163</v>
      </c>
      <c r="G224" s="127" t="str">
        <f t="shared" si="95"/>
        <v>29383.7832226354+24806.9005417721i</v>
      </c>
      <c r="H224" s="127">
        <f t="shared" si="77"/>
        <v>91.699062204989957</v>
      </c>
      <c r="I224" s="127">
        <f t="shared" ref="I224" si="101">IMARGUMENT(G224)*(180/PI())</f>
        <v>40.172321844407904</v>
      </c>
      <c r="J224" s="128" t="str">
        <f t="shared" si="96"/>
        <v>487.156366442614-363.774302976627i</v>
      </c>
      <c r="K224" s="127">
        <f t="shared" si="79"/>
        <v>55.677943160753003</v>
      </c>
      <c r="L224" s="127">
        <f t="shared" ref="L224" si="102">IMARGUMENT(J224)*(180/PI())</f>
        <v>-36.749802934644258</v>
      </c>
      <c r="M224" s="127">
        <f t="shared" si="97"/>
        <v>0.1985416666666667</v>
      </c>
      <c r="N224" s="127">
        <f t="shared" si="98"/>
        <v>2.5000000000000001E-3</v>
      </c>
      <c r="O224" s="127" t="str">
        <f t="shared" si="99"/>
        <v>9.59425855140294-12.6886088220344i</v>
      </c>
      <c r="P224" s="127">
        <f t="shared" si="81"/>
        <v>24.032073559238011</v>
      </c>
      <c r="Q224" s="127">
        <f t="shared" ref="Q224" si="103">IMARGUMENT(O224)*(180/PI())</f>
        <v>-52.905920504913084</v>
      </c>
      <c r="R224" s="127" t="str">
        <f t="shared" ref="R224" si="104">IMDIV(IMPRODUCT(O224,J224,COMPLEX(M224,0)),IMSUM(COMPLEX(1,0),IMPRODUCT(G224,O224,COMPLEX(M224,0),COMPLEX(N224,0))))</f>
        <v>1.42197807779509-6.14145291581869i</v>
      </c>
      <c r="S224" s="127">
        <f t="shared" si="84"/>
        <v>15.992220222818727</v>
      </c>
      <c r="T224" s="127">
        <f t="shared" ref="T224" si="105">IMARGUMENT(R224)*(180/PI())</f>
        <v>-76.963584720743896</v>
      </c>
      <c r="U224" s="129" t="str">
        <f>IMPRODUCT(COMPLEX(-1,0),IMDIV(COMPLEX(1,C224*Calculations!$B$195*Calculations!$B$197),IMPRODUCT(COMPLEX(0,C224*Calculations!$B$184),COMPLEX((Calculations!$B$197+Calculations!$B$199),C224*Calculations!$B$195*Calculations!$B$197*Calculations!$B$199))))</f>
        <v>-4.46571050681632+0.892217916681258i</v>
      </c>
      <c r="V224" s="129">
        <f t="shared" si="86"/>
        <v>13.167799197539779</v>
      </c>
      <c r="W224" s="129">
        <f t="shared" si="87"/>
        <v>168.7014693615009</v>
      </c>
      <c r="X224" s="129" t="str">
        <f t="shared" si="88"/>
        <v>-0.870628116524218+28.694665131426i</v>
      </c>
      <c r="Y224" s="129">
        <f t="shared" si="89"/>
        <v>29.160019420358502</v>
      </c>
      <c r="Z224" s="130">
        <f t="shared" si="90"/>
        <v>91.737884640757002</v>
      </c>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row>
    <row r="225" spans="1:93">
      <c r="A225" t="s">
        <v>449</v>
      </c>
      <c r="B225" s="138">
        <f>Calculations!B200</f>
        <v>120.5719265847692</v>
      </c>
      <c r="C225" s="110">
        <f t="shared" si="91"/>
        <v>757.57575757575762</v>
      </c>
      <c r="D225" s="111" t="str">
        <f t="shared" si="92"/>
        <v>0.216880218405811-0.262038795140574i</v>
      </c>
      <c r="E225" s="110">
        <f t="shared" si="93"/>
        <v>-9.3666153879567933</v>
      </c>
      <c r="F225" s="110">
        <f t="shared" ref="F225:F228" si="106">IMARGUMENT(D225)*(180/PI())</f>
        <v>-50.386648165108696</v>
      </c>
      <c r="G225" s="110" t="str">
        <f t="shared" si="95"/>
        <v>2853.95490877261+1678.18601498338i</v>
      </c>
      <c r="H225" s="110">
        <f t="shared" si="77"/>
        <v>70.398647156218132</v>
      </c>
      <c r="I225" s="110">
        <f t="shared" ref="I225:I228" si="107">IMARGUMENT(G225)*(180/PI())</f>
        <v>30.456431137689211</v>
      </c>
      <c r="J225" s="111" t="str">
        <f t="shared" si="96"/>
        <v>192.356575300871-5.4606773124619i</v>
      </c>
      <c r="K225" s="110">
        <f t="shared" si="79"/>
        <v>45.685639278559847</v>
      </c>
      <c r="L225" s="110">
        <f t="shared" ref="L225:L228" si="108">IMARGUMENT(J225)*(180/PI())</f>
        <v>-1.6260933920177802</v>
      </c>
      <c r="M225" s="110">
        <f t="shared" si="97"/>
        <v>0.1985416666666667</v>
      </c>
      <c r="N225" s="110">
        <f t="shared" si="98"/>
        <v>2.5000000000000001E-3</v>
      </c>
      <c r="O225" s="110" t="str">
        <f t="shared" si="99"/>
        <v>9.62433164363588-82.5802027636969i</v>
      </c>
      <c r="P225" s="110">
        <f t="shared" si="81"/>
        <v>38.396111214669475</v>
      </c>
      <c r="Q225" s="110">
        <f t="shared" ref="Q225:Q228" si="109">IMARGUMENT(O225)*(180/PI())</f>
        <v>-83.352437428407768</v>
      </c>
      <c r="R225" s="110" t="str">
        <f t="shared" ref="R225:R228" si="110">IMDIV(IMPRODUCT(O225,J225,COMPLEX(M225,0)),IMSUM(COMPLEX(1,0),IMPRODUCT(G225,O225,COMPLEX(M225,0),COMPLEX(N225,0))))</f>
        <v>19.5400368901175-12.4079066511891i</v>
      </c>
      <c r="S225" s="110">
        <f t="shared" si="84"/>
        <v>27.289777347018273</v>
      </c>
      <c r="T225" s="110">
        <f t="shared" ref="T225:T228" si="111">IMARGUMENT(R225)*(180/PI())</f>
        <v>-32.415512278273248</v>
      </c>
      <c r="U225" s="94" t="str">
        <f>IMPRODUCT(COMPLEX(-1,0),IMDIV(COMPLEX(1,C225*Calculations!$B$195*Calculations!$B$197),IMPRODUCT(COMPLEX(0,C225*Calculations!$B$184),COMPLEX((Calculations!$B$197+Calculations!$B$199),C225*Calculations!$B$195*Calculations!$B$197*Calculations!$B$199))))</f>
        <v>-4.47710570944035+4.54494064443188i</v>
      </c>
      <c r="V225" s="94">
        <f t="shared" si="86"/>
        <v>16.096046635215441</v>
      </c>
      <c r="W225" s="94">
        <f t="shared" ref="W225:W228" si="112">IMARGUMENT(U225)*(180/PI())</f>
        <v>134.56921278299131</v>
      </c>
      <c r="X225" s="94" t="str">
        <f t="shared" ref="X225:X228" si="113">IMPRODUCT(U225,R225)</f>
        <v>-31.0896114721141+144.359817565835i</v>
      </c>
      <c r="Y225" s="94">
        <f t="shared" si="89"/>
        <v>43.385823982233717</v>
      </c>
      <c r="Z225" s="101">
        <f t="shared" ref="Z225:Z228" si="114">IMARGUMENT(X225)*(180/PI())</f>
        <v>102.15370050471805</v>
      </c>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row>
    <row r="226" spans="1:93">
      <c r="A226" t="s">
        <v>450</v>
      </c>
      <c r="B226" s="29">
        <f>Calculations!B201</f>
        <v>15915.494309189533</v>
      </c>
      <c r="C226" s="110">
        <f t="shared" si="91"/>
        <v>99999.999999999985</v>
      </c>
      <c r="D226" s="111" t="str">
        <f t="shared" si="92"/>
        <v>0.00557252336985938-0.00327616020820884i</v>
      </c>
      <c r="E226" s="110">
        <f t="shared" si="93"/>
        <v>-43.789666805607261</v>
      </c>
      <c r="F226" s="110">
        <f t="shared" si="106"/>
        <v>-30.451833713715793</v>
      </c>
      <c r="G226" s="110" t="str">
        <f t="shared" si="95"/>
        <v>0.667174491366222-811.061163975584i</v>
      </c>
      <c r="H226" s="110">
        <f t="shared" si="77"/>
        <v>58.181075070410714</v>
      </c>
      <c r="I226" s="110">
        <f t="shared" si="107"/>
        <v>-89.952868814794911</v>
      </c>
      <c r="J226" s="111" t="str">
        <f t="shared" si="96"/>
        <v>-2.62298507620355+0.000427070330255088i</v>
      </c>
      <c r="K226" s="110">
        <f t="shared" si="79"/>
        <v>8.3759165076402162</v>
      </c>
      <c r="L226" s="110">
        <f t="shared" si="108"/>
        <v>179.99067119081818</v>
      </c>
      <c r="M226" s="110">
        <f t="shared" si="97"/>
        <v>0.1985416666666667</v>
      </c>
      <c r="N226" s="110">
        <f t="shared" si="98"/>
        <v>2.5000000000000001E-3</v>
      </c>
      <c r="O226" s="110" t="str">
        <f t="shared" si="99"/>
        <v>4.3552036199095-5.41572398190045i</v>
      </c>
      <c r="P226" s="110">
        <f t="shared" si="81"/>
        <v>16.839279316247797</v>
      </c>
      <c r="Q226" s="110">
        <f t="shared" si="109"/>
        <v>-51.194540252823415</v>
      </c>
      <c r="R226" s="110" t="str">
        <f t="shared" si="110"/>
        <v>-0.509543923214261-1.6342533869908i</v>
      </c>
      <c r="S226" s="110">
        <f t="shared" si="84"/>
        <v>4.6692974263701954</v>
      </c>
      <c r="T226" s="110">
        <f t="shared" si="111"/>
        <v>-107.31695826966133</v>
      </c>
      <c r="U226" s="94" t="str">
        <f>IMPRODUCT(COMPLEX(-1,0),IMDIV(COMPLEX(1,C226*Calculations!$B$195*Calculations!$B$197),IMPRODUCT(COMPLEX(0,C226*Calculations!$B$184),COMPLEX((Calculations!$B$197+Calculations!$B$199),C226*Calculations!$B$195*Calculations!$B$197*Calculations!$B$199))))</f>
        <v>-2.25557485831458+2.2727919988194i</v>
      </c>
      <c r="V226" s="94">
        <f t="shared" si="86"/>
        <v>10.108594886313469</v>
      </c>
      <c r="W226" s="94">
        <f t="shared" si="112"/>
        <v>134.78215883032286</v>
      </c>
      <c r="X226" s="94" t="str">
        <f t="shared" si="113"/>
        <v>4.86363248440526+2.52809350008348i</v>
      </c>
      <c r="Y226" s="94">
        <f t="shared" si="89"/>
        <v>14.777892312683669</v>
      </c>
      <c r="Z226" s="101">
        <f t="shared" si="114"/>
        <v>27.465200560661536</v>
      </c>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row>
    <row r="227" spans="1:93">
      <c r="A227" t="s">
        <v>451</v>
      </c>
      <c r="B227" s="29">
        <f>Calculations!B186</f>
        <v>196.49015105278153</v>
      </c>
      <c r="C227" s="110">
        <f t="shared" si="91"/>
        <v>1234.5840301003343</v>
      </c>
      <c r="D227" s="111" t="str">
        <f t="shared" si="92"/>
        <v>0.111045047685932-0.213169703840827i</v>
      </c>
      <c r="E227" s="110">
        <f t="shared" si="93"/>
        <v>-12.382801523923971</v>
      </c>
      <c r="F227" s="110">
        <f t="shared" si="106"/>
        <v>-62.483946528975437</v>
      </c>
      <c r="G227" s="110" t="str">
        <f t="shared" si="95"/>
        <v>3017.2442122029+2803.91540565055i</v>
      </c>
      <c r="H227" s="110">
        <f t="shared" si="77"/>
        <v>72.295718917076343</v>
      </c>
      <c r="I227" s="110">
        <f t="shared" si="107"/>
        <v>42.90121321819629</v>
      </c>
      <c r="J227" s="111" t="str">
        <f t="shared" si="96"/>
        <v>197.523727042941-9.39103989190318i</v>
      </c>
      <c r="K227" s="110">
        <f t="shared" si="79"/>
        <v>45.922191226464513</v>
      </c>
      <c r="L227" s="110">
        <f t="shared" si="108"/>
        <v>-2.7220126374252804</v>
      </c>
      <c r="M227" s="110">
        <f t="shared" si="97"/>
        <v>0.1985416666666667</v>
      </c>
      <c r="N227" s="110">
        <f t="shared" si="98"/>
        <v>2.5000000000000001E-3</v>
      </c>
      <c r="O227" s="110" t="str">
        <f t="shared" si="99"/>
        <v>9.62322520854288-50.7550261061046i</v>
      </c>
      <c r="P227" s="110">
        <f t="shared" si="81"/>
        <v>34.262963606817578</v>
      </c>
      <c r="Q227" s="110">
        <f t="shared" si="109"/>
        <v>-79.264075580469409</v>
      </c>
      <c r="R227" s="110" t="str">
        <f t="shared" si="110"/>
        <v>13.2525897278793-13.6958935036559i</v>
      </c>
      <c r="S227" s="110">
        <f t="shared" si="84"/>
        <v>25.601561630197573</v>
      </c>
      <c r="T227" s="110">
        <f t="shared" si="111"/>
        <v>-45.942433178335108</v>
      </c>
      <c r="U227" s="94" t="str">
        <f>IMPRODUCT(COMPLEX(-1,0),IMDIV(COMPLEX(1,C227*Calculations!$B$195*Calculations!$B$197),IMPRODUCT(COMPLEX(0,C227*Calculations!$B$184),COMPLEX((Calculations!$B$197+Calculations!$B$199),C227*Calculations!$B$195*Calculations!$B$197*Calculations!$B$199))))</f>
        <v>-4.47668669710248+2.82310108849846i</v>
      </c>
      <c r="V227" s="94">
        <f t="shared" si="86"/>
        <v>14.473227766893919</v>
      </c>
      <c r="W227" s="94">
        <f t="shared" si="112"/>
        <v>147.76353088971291</v>
      </c>
      <c r="X227" s="94" t="str">
        <f t="shared" si="113"/>
        <v>-20.6628002788243+98.7256247389482i</v>
      </c>
      <c r="Y227" s="94">
        <f t="shared" si="89"/>
        <v>40.074789397091493</v>
      </c>
      <c r="Z227" s="101">
        <f t="shared" si="114"/>
        <v>101.8210977113778</v>
      </c>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row>
    <row r="228" spans="1:93" ht="14.25" thickBot="1">
      <c r="A228" t="s">
        <v>452</v>
      </c>
      <c r="B228" s="30">
        <f>Calculations!B187</f>
        <v>9208.2502788882321</v>
      </c>
      <c r="C228" s="112">
        <f t="shared" si="91"/>
        <v>57857.14285714287</v>
      </c>
      <c r="D228" s="131" t="str">
        <f t="shared" si="92"/>
        <v>0.00561229815817652-0.00566207910738085i</v>
      </c>
      <c r="E228" s="112">
        <f t="shared" si="93"/>
        <v>-41.968364024658193</v>
      </c>
      <c r="F228" s="112">
        <f t="shared" si="106"/>
        <v>-45.2529824651984</v>
      </c>
      <c r="G228" s="112" t="str">
        <f t="shared" si="95"/>
        <v>2.23059703187984-1411.76647290638i</v>
      </c>
      <c r="H228" s="112">
        <f t="shared" si="77"/>
        <v>62.995268120056565</v>
      </c>
      <c r="I228" s="112">
        <f t="shared" si="107"/>
        <v>-89.909472500003631</v>
      </c>
      <c r="J228" s="131" t="str">
        <f t="shared" si="96"/>
        <v>-3.98734868348664-0.0299361049772264i</v>
      </c>
      <c r="K228" s="112">
        <f t="shared" si="79"/>
        <v>12.013929095699424</v>
      </c>
      <c r="L228" s="112">
        <f t="shared" si="108"/>
        <v>-179.5698444303286</v>
      </c>
      <c r="M228" s="112">
        <f t="shared" si="97"/>
        <v>0.1985416666666667</v>
      </c>
      <c r="N228" s="112">
        <f t="shared" si="98"/>
        <v>2.5000000000000001E-3</v>
      </c>
      <c r="O228" s="112" t="str">
        <f t="shared" si="99"/>
        <v>6.85033231283412-5.43999412124826i</v>
      </c>
      <c r="P228" s="112">
        <f t="shared" si="81"/>
        <v>18.837783033183211</v>
      </c>
      <c r="Q228" s="112">
        <f t="shared" si="109"/>
        <v>-38.453834080959012</v>
      </c>
      <c r="R228" s="112" t="str">
        <f t="shared" si="110"/>
        <v>-0.168052966839197-1.23311569135337i</v>
      </c>
      <c r="S228" s="112">
        <f t="shared" si="84"/>
        <v>1.8999985671710733</v>
      </c>
      <c r="T228" s="112">
        <f t="shared" si="111"/>
        <v>-97.760642098612038</v>
      </c>
      <c r="U228" s="102" t="str">
        <f>IMPRODUCT(COMPLEX(-1,0),IMDIV(COMPLEX(1,C228*Calculations!$B$195*Calculations!$B$197),IMPRODUCT(COMPLEX(0,C228*Calculations!$B$184),COMPLEX((Calculations!$B$197+Calculations!$B$199),C228*Calculations!$B$195*Calculations!$B$197*Calculations!$B$199))))</f>
        <v>-3.36711858428038+1.99254133564341i</v>
      </c>
      <c r="V228" s="102">
        <f t="shared" si="86"/>
        <v>11.849101844833685</v>
      </c>
      <c r="W228" s="102">
        <f t="shared" si="112"/>
        <v>149.38445867262044</v>
      </c>
      <c r="X228" s="102" t="str">
        <f t="shared" si="113"/>
        <v>3.02288825443981+3.81719427791907i</v>
      </c>
      <c r="Y228" s="102">
        <f t="shared" si="89"/>
        <v>13.749100412004761</v>
      </c>
      <c r="Z228" s="103">
        <f t="shared" si="114"/>
        <v>51.623816574008345</v>
      </c>
    </row>
  </sheetData>
  <mergeCells count="47">
    <mergeCell ref="B76:C77"/>
    <mergeCell ref="D77:F77"/>
    <mergeCell ref="J77:L77"/>
    <mergeCell ref="BC166:BN166"/>
    <mergeCell ref="BO166:BZ166"/>
    <mergeCell ref="BC167:BE167"/>
    <mergeCell ref="BF167:BH167"/>
    <mergeCell ref="BI167:BK167"/>
    <mergeCell ref="BL167:BN167"/>
    <mergeCell ref="BO167:BQ167"/>
    <mergeCell ref="BR167:BT167"/>
    <mergeCell ref="BU167:BW167"/>
    <mergeCell ref="BX167:BZ167"/>
    <mergeCell ref="CD166:CO166"/>
    <mergeCell ref="CA167:CC167"/>
    <mergeCell ref="CD167:CF167"/>
    <mergeCell ref="CG167:CI167"/>
    <mergeCell ref="CJ167:CL167"/>
    <mergeCell ref="CM167:CO167"/>
    <mergeCell ref="D5:F6"/>
    <mergeCell ref="G5:I6"/>
    <mergeCell ref="J5:L6"/>
    <mergeCell ref="B5:C6"/>
    <mergeCell ref="CA166:CC166"/>
    <mergeCell ref="AB166:AD166"/>
    <mergeCell ref="B166:C167"/>
    <mergeCell ref="D167:F167"/>
    <mergeCell ref="J167:L167"/>
    <mergeCell ref="D166:F166"/>
    <mergeCell ref="G166:I166"/>
    <mergeCell ref="G167:I167"/>
    <mergeCell ref="J166:L166"/>
    <mergeCell ref="M167:N167"/>
    <mergeCell ref="O167:Q167"/>
    <mergeCell ref="AB167:AD167"/>
    <mergeCell ref="X167:Z167"/>
    <mergeCell ref="G77:I77"/>
    <mergeCell ref="M77:N77"/>
    <mergeCell ref="D76:T76"/>
    <mergeCell ref="O77:Q77"/>
    <mergeCell ref="R77:T77"/>
    <mergeCell ref="U77:W77"/>
    <mergeCell ref="R167:T167"/>
    <mergeCell ref="M166:N166"/>
    <mergeCell ref="O166:Q166"/>
    <mergeCell ref="R166:T166"/>
    <mergeCell ref="U167:W167"/>
  </mergeCells>
  <phoneticPr fontId="20" type="noConversion"/>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40" zoomScaleNormal="40" workbookViewId="0">
      <selection activeCell="K53" sqref="K53:K54"/>
    </sheetView>
  </sheetViews>
  <sheetFormatPr defaultRowHeight="13.5"/>
  <sheetData/>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8"/>
  <sheetViews>
    <sheetView workbookViewId="0">
      <pane ySplit="1" topLeftCell="A2" activePane="bottomLeft" state="frozen"/>
      <selection pane="bottomLeft" activeCell="E24" sqref="E24"/>
    </sheetView>
  </sheetViews>
  <sheetFormatPr defaultRowHeight="13.5"/>
  <cols>
    <col min="1" max="1" width="34.75" style="13" customWidth="1"/>
    <col min="2" max="2" width="9.125" style="6"/>
    <col min="3" max="3" width="12" style="1" bestFit="1" customWidth="1"/>
    <col min="4" max="4" width="9.125" style="7"/>
    <col min="5" max="5" width="9.125" style="14"/>
  </cols>
  <sheetData>
    <row r="1" spans="1:9">
      <c r="A1" s="11" t="s">
        <v>17</v>
      </c>
      <c r="B1" s="8" t="s">
        <v>18</v>
      </c>
      <c r="C1" s="9" t="s">
        <v>19</v>
      </c>
      <c r="D1" s="10" t="s">
        <v>20</v>
      </c>
      <c r="E1" s="12" t="s">
        <v>21</v>
      </c>
    </row>
    <row r="2" spans="1:9">
      <c r="A2" s="238" t="s">
        <v>91</v>
      </c>
      <c r="B2" s="207"/>
      <c r="C2" s="207"/>
      <c r="D2" s="207"/>
      <c r="E2" s="239"/>
    </row>
    <row r="3" spans="1:9">
      <c r="A3" s="13" t="s">
        <v>22</v>
      </c>
      <c r="C3" s="1">
        <f>200*(10^-9)</f>
        <v>2.0000000000000002E-7</v>
      </c>
      <c r="E3" s="14" t="s">
        <v>23</v>
      </c>
    </row>
    <row r="4" spans="1:9">
      <c r="A4" s="13" t="s">
        <v>41</v>
      </c>
      <c r="C4" s="1">
        <f>1*10^-3</f>
        <v>1E-3</v>
      </c>
      <c r="E4" s="14" t="s">
        <v>42</v>
      </c>
    </row>
    <row r="5" spans="1:9">
      <c r="A5" s="13" t="s">
        <v>43</v>
      </c>
      <c r="C5" s="1">
        <v>50</v>
      </c>
      <c r="E5" s="14" t="s">
        <v>42</v>
      </c>
    </row>
    <row r="6" spans="1:9">
      <c r="A6" s="13" t="s">
        <v>185</v>
      </c>
      <c r="C6" s="1">
        <v>0.05</v>
      </c>
      <c r="E6" s="14" t="s">
        <v>1</v>
      </c>
    </row>
    <row r="7" spans="1:9">
      <c r="A7" s="13" t="s">
        <v>46</v>
      </c>
      <c r="C7" s="1">
        <v>0.02</v>
      </c>
      <c r="E7" s="14" t="s">
        <v>42</v>
      </c>
    </row>
    <row r="8" spans="1:9">
      <c r="A8" s="13" t="s">
        <v>47</v>
      </c>
      <c r="C8" s="1">
        <v>6.25E-2</v>
      </c>
      <c r="E8" s="14" t="s">
        <v>42</v>
      </c>
    </row>
    <row r="9" spans="1:9">
      <c r="A9" s="13" t="s">
        <v>64</v>
      </c>
      <c r="C9" s="1">
        <f>100*10^3</f>
        <v>100000</v>
      </c>
      <c r="E9" s="14" t="s">
        <v>56</v>
      </c>
    </row>
    <row r="10" spans="1:9">
      <c r="A10" s="13" t="s">
        <v>45</v>
      </c>
      <c r="C10" s="1">
        <v>1.23</v>
      </c>
      <c r="E10" s="14" t="s">
        <v>1</v>
      </c>
      <c r="I10" t="s">
        <v>70</v>
      </c>
    </row>
    <row r="11" spans="1:9">
      <c r="A11" s="13" t="s">
        <v>69</v>
      </c>
      <c r="C11" s="1">
        <v>2.5</v>
      </c>
      <c r="E11" s="14" t="s">
        <v>1</v>
      </c>
    </row>
    <row r="12" spans="1:9">
      <c r="A12" s="13" t="s">
        <v>66</v>
      </c>
      <c r="C12" s="1">
        <v>1.25</v>
      </c>
      <c r="E12" s="14" t="s">
        <v>1</v>
      </c>
    </row>
    <row r="13" spans="1:9">
      <c r="A13" s="13" t="s">
        <v>180</v>
      </c>
      <c r="C13" s="1">
        <f>25*(10^-6)</f>
        <v>2.4999999999999998E-5</v>
      </c>
      <c r="E13" s="14" t="s">
        <v>4</v>
      </c>
    </row>
    <row r="14" spans="1:9">
      <c r="A14" s="13" t="s">
        <v>65</v>
      </c>
      <c r="C14" s="1">
        <v>8</v>
      </c>
      <c r="E14" s="14" t="s">
        <v>1</v>
      </c>
    </row>
    <row r="15" spans="1:9">
      <c r="A15" s="13" t="s">
        <v>48</v>
      </c>
      <c r="C15" s="1">
        <f>25*(10^-6)</f>
        <v>2.4999999999999998E-5</v>
      </c>
      <c r="E15" s="14" t="s">
        <v>4</v>
      </c>
    </row>
    <row r="16" spans="1:9">
      <c r="A16" s="13" t="s">
        <v>49</v>
      </c>
      <c r="C16" s="1">
        <v>200</v>
      </c>
      <c r="E16" s="14" t="s">
        <v>50</v>
      </c>
    </row>
    <row r="17" spans="1:5">
      <c r="A17" s="13" t="s">
        <v>53</v>
      </c>
      <c r="C17" s="1">
        <f>4*(10^9)</f>
        <v>4000000000</v>
      </c>
      <c r="E17" s="14" t="s">
        <v>51</v>
      </c>
    </row>
    <row r="18" spans="1:5">
      <c r="A18" s="13" t="s">
        <v>52</v>
      </c>
      <c r="C18" s="1">
        <v>1.1850000000000001</v>
      </c>
      <c r="E18" s="14" t="s">
        <v>1</v>
      </c>
    </row>
    <row r="19" spans="1:5">
      <c r="A19" s="13" t="s">
        <v>54</v>
      </c>
      <c r="C19" s="1">
        <f>3*10^6</f>
        <v>3000000</v>
      </c>
      <c r="E19" s="14" t="s">
        <v>56</v>
      </c>
    </row>
    <row r="20" spans="1:5">
      <c r="A20" s="13" t="s">
        <v>55</v>
      </c>
      <c r="C20" s="1">
        <f>1*10^6</f>
        <v>1000000</v>
      </c>
      <c r="E20" s="14" t="s">
        <v>56</v>
      </c>
    </row>
    <row r="21" spans="1:5">
      <c r="A21" s="13" t="s">
        <v>57</v>
      </c>
      <c r="C21" s="1">
        <f>25*(10^-6)</f>
        <v>2.4999999999999998E-5</v>
      </c>
      <c r="E21" s="14" t="s">
        <v>4</v>
      </c>
    </row>
    <row r="22" spans="1:5">
      <c r="A22" s="13" t="s">
        <v>63</v>
      </c>
      <c r="C22" s="1">
        <f>1.1*(10^-6)</f>
        <v>1.1000000000000001E-6</v>
      </c>
      <c r="E22" s="14" t="s">
        <v>4</v>
      </c>
    </row>
    <row r="23" spans="1:5">
      <c r="A23" s="13" t="s">
        <v>62</v>
      </c>
      <c r="C23" s="1">
        <f>3*10^-3</f>
        <v>3.0000000000000001E-3</v>
      </c>
      <c r="E23" s="14" t="s">
        <v>1</v>
      </c>
    </row>
    <row r="24" spans="1:5">
      <c r="A24" s="13" t="s">
        <v>58</v>
      </c>
      <c r="C24" s="1">
        <f>10*10^3</f>
        <v>10000</v>
      </c>
      <c r="E24" s="14" t="s">
        <v>56</v>
      </c>
    </row>
    <row r="25" spans="1:5">
      <c r="A25" s="13" t="s">
        <v>59</v>
      </c>
      <c r="C25" s="1">
        <f>50*10^3</f>
        <v>50000</v>
      </c>
      <c r="E25" s="14" t="s">
        <v>56</v>
      </c>
    </row>
    <row r="26" spans="1:5">
      <c r="A26" s="13" t="s">
        <v>60</v>
      </c>
      <c r="C26" s="1">
        <f>4*(10^-12)</f>
        <v>3.9999999999999999E-12</v>
      </c>
      <c r="E26" s="14" t="s">
        <v>61</v>
      </c>
    </row>
    <row r="27" spans="1:5">
      <c r="A27" s="13" t="s">
        <v>230</v>
      </c>
      <c r="C27" s="1">
        <f>16*(10^-9)</f>
        <v>1.6000000000000001E-8</v>
      </c>
      <c r="E27" s="14" t="s">
        <v>23</v>
      </c>
    </row>
    <row r="28" spans="1:5">
      <c r="A28" s="13" t="s">
        <v>68</v>
      </c>
      <c r="C28" s="1">
        <v>1.5</v>
      </c>
      <c r="E28" s="14" t="s">
        <v>1</v>
      </c>
    </row>
    <row r="29" spans="1:5">
      <c r="A29" s="13" t="s">
        <v>235</v>
      </c>
      <c r="C29" s="1">
        <f>36*(10^-9)</f>
        <v>3.6000000000000005E-8</v>
      </c>
      <c r="E29" s="14" t="s">
        <v>23</v>
      </c>
    </row>
    <row r="30" spans="1:5">
      <c r="A30" s="13" t="s">
        <v>236</v>
      </c>
      <c r="C30" s="1">
        <f>41*(10^-9)</f>
        <v>4.1000000000000003E-8</v>
      </c>
      <c r="E30" s="14" t="s">
        <v>23</v>
      </c>
    </row>
    <row r="31" spans="1:5">
      <c r="A31" s="13" t="s">
        <v>248</v>
      </c>
      <c r="C31" s="1">
        <f>15*(10^-9)</f>
        <v>1.5000000000000002E-8</v>
      </c>
      <c r="E31" s="14" t="s">
        <v>23</v>
      </c>
    </row>
    <row r="32" spans="1:5">
      <c r="A32" s="13" t="s">
        <v>249</v>
      </c>
      <c r="C32" s="1">
        <f>200*(10^-9)</f>
        <v>2.0000000000000002E-7</v>
      </c>
      <c r="E32" s="14" t="s">
        <v>23</v>
      </c>
    </row>
    <row r="33" spans="1:5">
      <c r="A33" s="13" t="s">
        <v>67</v>
      </c>
      <c r="C33" s="1">
        <f>25*(10^-6)</f>
        <v>2.4999999999999998E-5</v>
      </c>
      <c r="E33" s="14" t="s">
        <v>4</v>
      </c>
    </row>
    <row r="34" spans="1:5">
      <c r="A34" s="13" t="s">
        <v>159</v>
      </c>
      <c r="C34" s="1">
        <v>5</v>
      </c>
      <c r="E34" s="14" t="s">
        <v>1</v>
      </c>
    </row>
    <row r="36" spans="1:5">
      <c r="A36" s="13" t="s">
        <v>92</v>
      </c>
      <c r="B36" s="6">
        <v>0</v>
      </c>
      <c r="D36" s="7">
        <v>42</v>
      </c>
      <c r="E36" s="14" t="s">
        <v>1</v>
      </c>
    </row>
    <row r="37" spans="1:5">
      <c r="A37" s="13" t="s">
        <v>93</v>
      </c>
      <c r="B37" s="6">
        <v>3</v>
      </c>
      <c r="D37" s="7">
        <v>42</v>
      </c>
      <c r="E37" s="14" t="s">
        <v>1</v>
      </c>
    </row>
    <row r="38" spans="1:5">
      <c r="A38" s="13" t="s">
        <v>94</v>
      </c>
      <c r="B38" s="6">
        <v>6</v>
      </c>
      <c r="D38" s="7">
        <v>80</v>
      </c>
      <c r="E38" s="14" t="s">
        <v>1</v>
      </c>
    </row>
    <row r="39" spans="1:5">
      <c r="A39" s="13" t="s">
        <v>95</v>
      </c>
      <c r="B39" s="6">
        <v>50000</v>
      </c>
      <c r="D39" s="7">
        <v>500000</v>
      </c>
      <c r="E39" s="14" t="s">
        <v>87</v>
      </c>
    </row>
    <row r="40" spans="1:5">
      <c r="A40" s="13" t="s">
        <v>96</v>
      </c>
      <c r="B40" s="6">
        <v>15</v>
      </c>
      <c r="D40" s="7">
        <v>200</v>
      </c>
      <c r="E40" s="14" t="s">
        <v>97</v>
      </c>
    </row>
    <row r="43" spans="1:5">
      <c r="A43" s="13" t="s">
        <v>105</v>
      </c>
      <c r="C43" s="1">
        <v>14</v>
      </c>
      <c r="E43" s="14" t="s">
        <v>1</v>
      </c>
    </row>
    <row r="44" spans="1:5">
      <c r="A44" s="13" t="s">
        <v>106</v>
      </c>
      <c r="C44" s="1">
        <v>0.625</v>
      </c>
      <c r="E44" s="14" t="s">
        <v>1</v>
      </c>
    </row>
    <row r="46" spans="1:5">
      <c r="A46" s="13" t="s">
        <v>116</v>
      </c>
      <c r="C46" s="1">
        <v>2.5</v>
      </c>
      <c r="E46" s="14" t="s">
        <v>1</v>
      </c>
    </row>
    <row r="48" spans="1:5">
      <c r="A48" s="13" t="s">
        <v>187</v>
      </c>
      <c r="C48" s="1">
        <f>3.3</f>
        <v>3.3</v>
      </c>
      <c r="E48" s="14" t="s">
        <v>1</v>
      </c>
    </row>
  </sheetData>
  <autoFilter ref="A1:E33" xr:uid="{00000000-0009-0000-0000-000004000000}"/>
  <mergeCells count="1">
    <mergeCell ref="A2:E2"/>
  </mergeCells>
  <phoneticPr fontId="20"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
  <sheetViews>
    <sheetView workbookViewId="0">
      <selection activeCell="C4" sqref="C4"/>
    </sheetView>
  </sheetViews>
  <sheetFormatPr defaultRowHeight="13.5"/>
  <sheetData>
    <row r="1" spans="1:7">
      <c r="A1" t="s">
        <v>171</v>
      </c>
      <c r="C1" t="s">
        <v>221</v>
      </c>
      <c r="E1" t="s">
        <v>189</v>
      </c>
      <c r="G1" t="s">
        <v>96</v>
      </c>
    </row>
    <row r="2" spans="1:7" ht="15">
      <c r="A2" s="45" t="s">
        <v>172</v>
      </c>
      <c r="C2" t="s">
        <v>222</v>
      </c>
      <c r="E2">
        <v>1.8</v>
      </c>
      <c r="G2" t="s">
        <v>225</v>
      </c>
    </row>
    <row r="3" spans="1:7">
      <c r="A3" t="s">
        <v>173</v>
      </c>
      <c r="C3" t="s">
        <v>312</v>
      </c>
      <c r="E3">
        <v>3.3</v>
      </c>
      <c r="G3" t="s">
        <v>226</v>
      </c>
    </row>
  </sheetData>
  <phoneticPr fontId="2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workbookViewId="0">
      <selection activeCell="G4" sqref="G4"/>
    </sheetView>
  </sheetViews>
  <sheetFormatPr defaultRowHeight="13.5"/>
  <cols>
    <col min="2" max="2" width="137.25" customWidth="1"/>
  </cols>
  <sheetData>
    <row r="1" spans="1:1">
      <c r="A1" t="s">
        <v>126</v>
      </c>
    </row>
    <row r="2" spans="1:1">
      <c r="A2" t="str">
        <f>"schematic_1"</f>
        <v>schematic_1</v>
      </c>
    </row>
    <row r="4" spans="1:1" ht="343.5" customHeight="1"/>
  </sheetData>
  <phoneticPr fontId="2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16</vt:i4>
      </vt:variant>
    </vt:vector>
  </HeadingPairs>
  <TitlesOfParts>
    <vt:vector size="23" baseType="lpstr">
      <vt:lpstr>Design_Converter</vt:lpstr>
      <vt:lpstr>Calculations</vt:lpstr>
      <vt:lpstr>Compensation</vt:lpstr>
      <vt:lpstr>Comp_Compare</vt:lpstr>
      <vt:lpstr>Constants</vt:lpstr>
      <vt:lpstr>Lists</vt:lpstr>
      <vt:lpstr>Schematic</vt:lpstr>
      <vt:lpstr>Acs</vt:lpstr>
      <vt:lpstr>Fsw</vt:lpstr>
      <vt:lpstr>gm</vt:lpstr>
      <vt:lpstr>I_Channel</vt:lpstr>
      <vt:lpstr>I_Channel_Design</vt:lpstr>
      <vt:lpstr>I_Channel_Peak_No_Ilimit</vt:lpstr>
      <vt:lpstr>I_Channel_Peak_Select</vt:lpstr>
      <vt:lpstr>ISETA_Max</vt:lpstr>
      <vt:lpstr>np</vt:lpstr>
      <vt:lpstr>schematic_1</vt:lpstr>
      <vt:lpstr>V12_Max</vt:lpstr>
      <vt:lpstr>V12_Min</vt:lpstr>
      <vt:lpstr>V12_Nom</vt:lpstr>
      <vt:lpstr>V48_Max</vt:lpstr>
      <vt:lpstr>V48_Min</vt:lpstr>
      <vt:lpstr>V48_Nom</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PPD-NPS</dc:creator>
  <cp:lastModifiedBy>Ji, Feng</cp:lastModifiedBy>
  <cp:lastPrinted>2016-05-24T23:01:03Z</cp:lastPrinted>
  <dcterms:created xsi:type="dcterms:W3CDTF">2016-01-18T23:31:01Z</dcterms:created>
  <dcterms:modified xsi:type="dcterms:W3CDTF">2022-07-08T10:36:32Z</dcterms:modified>
</cp:coreProperties>
</file>