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9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 codeName="{60716B99-48EF-4627-542C-1B4CF24DBC8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Project\零件\BUCK-BOOST\LM5176\"/>
    </mc:Choice>
  </mc:AlternateContent>
  <xr:revisionPtr revIDLastSave="0" documentId="13_ncr:1_{1AE7A18B-C086-4E0E-BB36-AD65D9D063F0}" xr6:coauthVersionLast="47" xr6:coauthVersionMax="47" xr10:uidLastSave="{00000000-0000-0000-0000-000000000000}"/>
  <workbookProtection workbookAlgorithmName="SHA-512" workbookHashValue="wKQkeMAckAXvFum8ri5Jn+JS2dJ/CYWostaWQ9OmZlDWxWdxoNM1ixjkqUiCMMVo6bwXnSaqkFyi3uNYsQi0AQ==" workbookSaltValue="ZrnZfwAC5PJB6BlDrcF99w==" workbookSpinCount="100000" lockStructure="1"/>
  <bookViews>
    <workbookView xWindow="-23148" yWindow="1944" windowWidth="23256" windowHeight="12576" tabRatio="565" xr2:uid="{00000000-000D-0000-FFFF-FFFF00000000}"/>
  </bookViews>
  <sheets>
    <sheet name="Design Converter" sheetId="1" r:id="rId1"/>
    <sheet name="BOM &amp; Schematic" sheetId="16" r:id="rId2"/>
    <sheet name="Licenses" sheetId="23" r:id="rId3"/>
    <sheet name="EVMs" sheetId="14" state="hidden" r:id="rId4"/>
    <sheet name="Variable Management" sheetId="2" state="hidden" r:id="rId5"/>
    <sheet name="Schematic Management" sheetId="22" state="hidden" r:id="rId6"/>
    <sheet name="Efficiency Plot Management" sheetId="19" state="hidden" r:id="rId7"/>
    <sheet name="Efficiency vs VIN Calculations" sheetId="20" state="hidden" r:id="rId8"/>
    <sheet name="Efficiency vs Load Calculations" sheetId="21" state="hidden" r:id="rId9"/>
    <sheet name="Stability Calculations" sheetId="17" state="hidden" r:id="rId10"/>
    <sheet name="Standard Value Calculator" sheetId="8" state="hidden" r:id="rId11"/>
    <sheet name="Snubber" sheetId="11" state="hidden" r:id="rId12"/>
    <sheet name="Parallel Output Caps" sheetId="6" state="hidden" r:id="rId13"/>
  </sheets>
  <externalReferences>
    <externalReference r:id="rId14"/>
  </externalReferences>
  <definedNames>
    <definedName name="_Don1" localSheetId="2">'[1]Variable Management'!$B$48</definedName>
    <definedName name="_Don1">'Variable Management'!$B$48</definedName>
    <definedName name="_Don2" localSheetId="2">'[1]Variable Management'!$B$69</definedName>
    <definedName name="_Don2">'Variable Management'!$B$69</definedName>
    <definedName name="Acs" localSheetId="2">'[1]Variable Management'!$B$294</definedName>
    <definedName name="Acs">'Variable Management'!$B$294</definedName>
    <definedName name="Adc" localSheetId="2">'[1]Stability Calculations'!$Q$3</definedName>
    <definedName name="Adc">'Stability Calculations'!$Q$3</definedName>
    <definedName name="AEA" localSheetId="2">'[1]Variable Management'!$B$292</definedName>
    <definedName name="AEA">'Variable Management'!$B$292</definedName>
    <definedName name="Afb" localSheetId="2">'[1]Variable Management'!$B$293</definedName>
    <definedName name="Afb">'Variable Management'!$B$293</definedName>
    <definedName name="Am" localSheetId="2">'[1]Variable Management'!$B$297</definedName>
    <definedName name="Am">'Variable Management'!$B$297</definedName>
    <definedName name="Am_boost" localSheetId="2">'[1]Variable Management'!$B$296</definedName>
    <definedName name="Am_boost">'Variable Management'!$B$296</definedName>
    <definedName name="Am_buck" localSheetId="2">'[1]Variable Management'!$B$295</definedName>
    <definedName name="Am_buck">'Variable Management'!$B$295</definedName>
    <definedName name="Boost_CS_Threshold" localSheetId="2">'[1]Variable Management'!$B$112</definedName>
    <definedName name="Boost_CS_Threshold">'Variable Management'!$B$112</definedName>
    <definedName name="Boost_CS_Threshold_max">'Variable Management'!$B$113</definedName>
    <definedName name="Boost_CS_Threshold_min">'Variable Management'!$B$111</definedName>
    <definedName name="Buck_CS_threshold" localSheetId="2">'[1]Variable Management'!$B$108</definedName>
    <definedName name="Buck_CS_threshold">'Variable Management'!$B$108</definedName>
    <definedName name="Buck_CS_threshold_max">'Variable Management'!$B$109</definedName>
    <definedName name="Buck_CS_threshold_min">'Variable Management'!$B$107</definedName>
    <definedName name="Cb">'Variable Management'!$B$233</definedName>
    <definedName name="Cbw" localSheetId="2">'[1]Variable Management'!$B$288</definedName>
    <definedName name="Cbw">'Variable Management'!$B$288</definedName>
    <definedName name="Cby">'Variable Management'!$B$232</definedName>
    <definedName name="Cc1ea" localSheetId="2">'[1]Variable Management'!$B$319</definedName>
    <definedName name="Cc1ea">'Variable Management'!$B$318</definedName>
    <definedName name="Cc1ea_u" localSheetId="2">'[1]Variable Management'!$B$324</definedName>
    <definedName name="Cc1ea_u">'Variable Management'!$B$323</definedName>
    <definedName name="Cc2ea" localSheetId="2">'[1]Variable Management'!$B$320</definedName>
    <definedName name="Cc2ea">'Variable Management'!$B$319</definedName>
    <definedName name="Cc2ea_u" localSheetId="2">'[1]Variable Management'!$B$325</definedName>
    <definedName name="Cc2ea_u">'Variable Management'!$B$324</definedName>
    <definedName name="Cdither" localSheetId="2">'[1]Variable Management'!$B$232</definedName>
    <definedName name="Cdither">'Variable Management'!$B$232</definedName>
    <definedName name="CFG">'[1]Variable Management'!$O$10</definedName>
    <definedName name="Cin" localSheetId="2">'[1]Variable Management'!$B$189</definedName>
    <definedName name="Cin">'Variable Management'!$B$189</definedName>
    <definedName name="CinEsrMax" localSheetId="2">'[1]Variable Management'!$B$192</definedName>
    <definedName name="CinEsrMax">'Variable Management'!$B$192</definedName>
    <definedName name="Cinmin" localSheetId="2">'[1]Variable Management'!$B$187</definedName>
    <definedName name="Cinmin">'Variable Management'!$B$187</definedName>
    <definedName name="Constant_Current_Loop_Setpoint" localSheetId="2">'[1]Variable Management'!$B$154</definedName>
    <definedName name="Constant_Current_Loop_Setpoint">'Variable Management'!$B$154</definedName>
    <definedName name="Cout" localSheetId="2">'[1]Variable Management'!$B$169</definedName>
    <definedName name="Cout">'Variable Management'!$B$169</definedName>
    <definedName name="CoutEsr" localSheetId="2">'[1]Variable Management'!$B$173</definedName>
    <definedName name="CoutEsr">'Variable Management'!$B$173</definedName>
    <definedName name="CoutEsrMax" localSheetId="2">'[1]Variable Management'!$B$170</definedName>
    <definedName name="CoutEsrMax">'Variable Management'!$B$170</definedName>
    <definedName name="Coutmin" localSheetId="2">'[1]Variable Management'!$B$167</definedName>
    <definedName name="Coutmin">'Variable Management'!$B$167</definedName>
    <definedName name="CSAmp_gain" localSheetId="2">'[1]Variable Management'!$B$237</definedName>
    <definedName name="CSAmp_gain">'Variable Management'!$B$237</definedName>
    <definedName name="Csb" localSheetId="2">'[1]Variable Management'!$B$230</definedName>
    <definedName name="Csb">'Variable Management'!$B$230</definedName>
    <definedName name="Csby" localSheetId="2">'[1]Variable Management'!$B$231</definedName>
    <definedName name="Csby">'Variable Management'!$B$231</definedName>
    <definedName name="Csideal">'Variable Management'!$B$139</definedName>
    <definedName name="Cslope" localSheetId="2">'[1]Variable Management'!$B$240</definedName>
    <definedName name="Cslope">'Variable Management'!$B$141</definedName>
    <definedName name="Cslope_ideal">'Variable Management'!$B$139</definedName>
    <definedName name="Css" localSheetId="2">'[1]Variable Management'!$B$205</definedName>
    <definedName name="Css">'Variable Management'!$B$205</definedName>
    <definedName name="Css_u" localSheetId="2">'[1]Variable Management'!$B$206</definedName>
    <definedName name="Css_u">'Variable Management'!$B$206</definedName>
    <definedName name="D_max_buck_BB" localSheetId="2">'[1]Variable Management'!$B$34</definedName>
    <definedName name="D_max_buck_BB">'Variable Management'!$B$34</definedName>
    <definedName name="D_max_buck_enterBB">'Variable Management'!$B$38</definedName>
    <definedName name="D_max_exitBB_to_buck" localSheetId="2">'[1]Variable Management'!$B$37</definedName>
    <definedName name="D_max_exitBB_to_buck">'Variable Management'!$B$37</definedName>
    <definedName name="D_min_boost">'Variable Management'!$B$32</definedName>
    <definedName name="D_min_boost_exitBB_to_buck" localSheetId="2">'[1]Variable Management'!$B$36</definedName>
    <definedName name="D_min_boost_exitBB_to_buck">'Variable Management'!$B$36</definedName>
    <definedName name="Deadtime" localSheetId="2">'[1]Variable Management'!$B$362</definedName>
    <definedName name="Deadtime">'Variable Management'!$B$361</definedName>
    <definedName name="DITHER" localSheetId="2">'[1]Variable Management'!$O$10</definedName>
    <definedName name="DITHER">'Variable Management'!$O$10</definedName>
    <definedName name="Doff1">'Variable Management'!$B$49</definedName>
    <definedName name="Doff2" localSheetId="2">'[1]Variable Management'!$B$70</definedName>
    <definedName name="Doff2">'Variable Management'!$B$70</definedName>
    <definedName name="Don_buckboost" localSheetId="2">'[1]Variable Management'!$B$54</definedName>
    <definedName name="Don_buckboost">'Variable Management'!$B$54</definedName>
    <definedName name="Don_Vinmax" localSheetId="2">'[1]Variable Management'!$B$53</definedName>
    <definedName name="Don_Vinmax">'Variable Management'!$B$53</definedName>
    <definedName name="Don_Vinmax_2" localSheetId="2">'[1]Variable Management'!$B$74</definedName>
    <definedName name="Don_Vinmax_2">'Variable Management'!$B$74</definedName>
    <definedName name="Don_Vinmin" localSheetId="2">'[1]Variable Management'!$B$51</definedName>
    <definedName name="Don_Vinmin">'Variable Management'!$B$51</definedName>
    <definedName name="Don_Vinmin_2" localSheetId="2">'[1]Variable Management'!$B$72</definedName>
    <definedName name="Don_Vinmin_2">'Variable Management'!$B$72</definedName>
    <definedName name="Don_Vinnom" localSheetId="2">'[1]Variable Management'!$B$52</definedName>
    <definedName name="Don_Vinnom">'Variable Management'!$B$52</definedName>
    <definedName name="Don_Vinnom_2" localSheetId="2">'[1]Variable Management'!$B$73</definedName>
    <definedName name="Don_Vinnom_2">'Variable Management'!$B$73</definedName>
    <definedName name="EFF_IOUT">'Efficiency Plot Management'!$B$5</definedName>
    <definedName name="EFF_VIN">'Efficiency Plot Management'!$B$7</definedName>
    <definedName name="Efficiency" localSheetId="2">'[1]Variable Management'!$B$16</definedName>
    <definedName name="Efficiency">'Variable Management'!$B$16</definedName>
    <definedName name="Fcross" localSheetId="2">'[1]Variable Management'!$B$317</definedName>
    <definedName name="Fcross">'Variable Management'!$B$316</definedName>
    <definedName name="Fdither">'Variable Management'!$B$230</definedName>
    <definedName name="Fesr" localSheetId="2">'[1]Variable Management'!$B$312</definedName>
    <definedName name="Fesr">'Variable Management'!$B$312</definedName>
    <definedName name="Fload_boost">'[1]Variable Management'!$B$307</definedName>
    <definedName name="Fload_buck">'[1]Variable Management'!$B$306</definedName>
    <definedName name="Fload_u">'Variable Management'!$B$306</definedName>
    <definedName name="Fp_dominant" localSheetId="2">'[1]Variable Management'!$B$308</definedName>
    <definedName name="Fp_dominant">'Variable Management'!$B$308</definedName>
    <definedName name="Fp1_u" localSheetId="2">'[1]Variable Management'!$B$310</definedName>
    <definedName name="Fp1_u">'Variable Management'!$B$310</definedName>
    <definedName name="Fp2_u" localSheetId="2">'[1]Variable Management'!$B$311</definedName>
    <definedName name="Fp2_u">'Variable Management'!$B$311</definedName>
    <definedName name="Frhp" localSheetId="2">'[1]Variable Management'!$B$313</definedName>
    <definedName name="Frhp">'Variable Management'!$B$313</definedName>
    <definedName name="Frhp_Vinmin">'[1]Variable Management'!$B$314</definedName>
    <definedName name="Fsw" localSheetId="2">'[1]Variable Management'!$B$22</definedName>
    <definedName name="Fsw">'Variable Management'!$B$22</definedName>
    <definedName name="Fz1_u" localSheetId="2">'[1]Variable Management'!$B$330</definedName>
    <definedName name="Fz1_u">'Variable Management'!$B$329</definedName>
    <definedName name="GBW" localSheetId="2">'[1]Variable Management'!$B$287</definedName>
    <definedName name="GBW">'Variable Management'!$B$287</definedName>
    <definedName name="GdrvDelay">[1]Timings!$B$2</definedName>
    <definedName name="Gfs_Q1" localSheetId="2">'[1]Variable Management'!$B$373</definedName>
    <definedName name="Gfs_Q1">'Variable Management'!$B$372</definedName>
    <definedName name="Gfs_Q2" localSheetId="2">'[1]Variable Management'!$D$373</definedName>
    <definedName name="Gfs_Q2">'Variable Management'!$D$372</definedName>
    <definedName name="Gfs_Q3" localSheetId="2">'[1]Variable Management'!$B$390</definedName>
    <definedName name="Gfs_Q3">'Variable Management'!$B$389</definedName>
    <definedName name="Gfs_Q4" localSheetId="2">'[1]Variable Management'!$D$390</definedName>
    <definedName name="Gfs_Q4">'Variable Management'!$D$389</definedName>
    <definedName name="gm" localSheetId="2">'[1]Variable Management'!$B$239</definedName>
    <definedName name="gm">'Variable Management'!$B$239</definedName>
    <definedName name="gm_slopecomp" localSheetId="2">'[1]Variable Management'!$B$241</definedName>
    <definedName name="gm_slopecomp">'Variable Management'!$B$241</definedName>
    <definedName name="I_T12_FSW">[1]Timings!$B$17</definedName>
    <definedName name="I_T12_max">[1]Timings!$B$12</definedName>
    <definedName name="I_T23_FSW">[1]Timings!$B$18</definedName>
    <definedName name="I_T23_max">[1]Timings!$B$13</definedName>
    <definedName name="Iconst">[1]Timings!$B$9</definedName>
    <definedName name="Icoutrms">'Variable Management'!$B$160</definedName>
    <definedName name="Ifsw_2M">[1]Timings!$B$8</definedName>
    <definedName name="Iin_Vinmax" localSheetId="2">'[1]Variable Management'!$B$20</definedName>
    <definedName name="Iin_Vinmax">'Variable Management'!$B$20</definedName>
    <definedName name="Iin_Vinmin" localSheetId="2">'[1]Variable Management'!$B$18</definedName>
    <definedName name="Iin_Vinmin">'Variable Management'!$B$18</definedName>
    <definedName name="Iin_Vinnom" localSheetId="2">'[1]Variable Management'!$B$19</definedName>
    <definedName name="Iin_Vinnom">'Variable Management'!$B$19</definedName>
    <definedName name="IL_peak_OCP" localSheetId="2">'[1]Variable Management'!$B$137</definedName>
    <definedName name="IL_peak_OCP">'Variable Management'!$B$137</definedName>
    <definedName name="IlDir">[1]Timings!$B$6</definedName>
    <definedName name="Ilimit_DC" localSheetId="2">'[1]Variable Management'!$B$100</definedName>
    <definedName name="Ilimit_DC">'Variable Management'!$B$100</definedName>
    <definedName name="IlNeg">[1]Timings!$B$5</definedName>
    <definedName name="ILpeak_OCP_Vinmax">'Variable Management'!$B$134</definedName>
    <definedName name="ILpeak_OCP_Vinmin">'Variable Management'!$B$132</definedName>
    <definedName name="ILpeak_OCP_Vinnom">'Variable Management'!$B$133</definedName>
    <definedName name="IlPos">[1]Timings!$B$4</definedName>
    <definedName name="Iout" localSheetId="2">'[1]Variable Management'!$B$13</definedName>
    <definedName name="Iout">'Variable Management'!$B$13</definedName>
    <definedName name="Iout_OCP_Vinmax" localSheetId="2">'[1]Variable Management'!$B$129</definedName>
    <definedName name="Iout_OCP_Vinmax">'Variable Management'!$B$129</definedName>
    <definedName name="Iout_OCP_Vinmin" localSheetId="2">'[1]Variable Management'!$B$127</definedName>
    <definedName name="Iout_OCP_Vinmin">'Variable Management'!$B$127</definedName>
    <definedName name="Iout_OCP_Vinnom" localSheetId="2">'[1]Variable Management'!$B$128</definedName>
    <definedName name="Iout_OCP_Vinnom">'Variable Management'!$B$128</definedName>
    <definedName name="Iout_threshold" localSheetId="2">'[1]Variable Management'!$B$155</definedName>
    <definedName name="Iout_threshold">'Variable Management'!$B$155</definedName>
    <definedName name="Iq" localSheetId="2">'[1]Variable Management'!$B$364</definedName>
    <definedName name="Iq">'Variable Management'!$B$363</definedName>
    <definedName name="Ireverse" localSheetId="2">'[1]Variable Management'!$B$402</definedName>
    <definedName name="Ireverse">'Variable Management'!$B$401</definedName>
    <definedName name="Iripple_edgebuckboost" localSheetId="2">'[1]Variable Management'!$B$81</definedName>
    <definedName name="Iripple_edgebuckboost">'Variable Management'!$B$81</definedName>
    <definedName name="Iripple_Vinmax" localSheetId="2">'[1]Variable Management'!$B$80</definedName>
    <definedName name="Iripple_Vinmax">'Variable Management'!$B$80</definedName>
    <definedName name="Iripple_Vinmin" localSheetId="2">'[1]Variable Management'!$B$78</definedName>
    <definedName name="Iripple_Vinmin">'Variable Management'!$B$78</definedName>
    <definedName name="Iripple_Vinnom" localSheetId="2">'[1]Variable Management'!$B$79</definedName>
    <definedName name="Iripple_Vinnom">'Variable Management'!$B$79</definedName>
    <definedName name="Isc_const" localSheetId="2">'[1]Variable Management'!$B$242</definedName>
    <definedName name="Isc_const">'Variable Management'!$B$242</definedName>
    <definedName name="Islope_fixed" localSheetId="2">'[1]Variable Management'!$B$143</definedName>
    <definedName name="Islope_fixed">'Variable Management'!$B$143</definedName>
    <definedName name="Iss" localSheetId="2">'[1]Variable Management'!$B$204</definedName>
    <definedName name="Iss">'Variable Management'!$B$204</definedName>
    <definedName name="Iuvlo_hys">'Variable Management'!$B$223</definedName>
    <definedName name="Iuvlo1" localSheetId="2">'[1]Variable Management'!$B$221</definedName>
    <definedName name="Iuvlo1">'Variable Management'!$B$221</definedName>
    <definedName name="Iuvlo2" localSheetId="2">'[1]Variable Management'!$B$222</definedName>
    <definedName name="Iuvlo2">'Variable Management'!$B$222</definedName>
    <definedName name="k" localSheetId="2">'[1]Variable Management'!$B$279</definedName>
    <definedName name="k">'Variable Management'!$B$279</definedName>
    <definedName name="K_1" localSheetId="2">'[1]Variable Management'!$B$283</definedName>
    <definedName name="K_1">'Variable Management'!$B$283</definedName>
    <definedName name="k_boost" localSheetId="2">'[1]Variable Management'!$B$276</definedName>
    <definedName name="k_boost">'Variable Management'!$B$276</definedName>
    <definedName name="k_buck" localSheetId="2">'[1]Variable Management'!$B$274</definedName>
    <definedName name="k_buck">'Variable Management'!$B$274</definedName>
    <definedName name="K_SL" localSheetId="2">'[1]Variable Management'!$B$251</definedName>
    <definedName name="K_SL">'Variable Management'!$B$251</definedName>
    <definedName name="KD">'Variable Management'!$B$284</definedName>
    <definedName name="Kgain_12">[1]Timings!$B$14</definedName>
    <definedName name="KM" localSheetId="2">'[1]Variable Management'!$B$282</definedName>
    <definedName name="KM">'Variable Management'!$B$282</definedName>
    <definedName name="Kratio_23">[1]Timings!$B$15</definedName>
    <definedName name="Lf" localSheetId="2">'[1]Variable Management'!$B$66</definedName>
    <definedName name="Lf">'Variable Management'!$B$66</definedName>
    <definedName name="Lopt" localSheetId="2">'[1]Variable Management'!$B$64</definedName>
    <definedName name="Lopt">'Variable Management'!$B$64</definedName>
    <definedName name="Ltc" localSheetId="2">'[1]Variable Management'!$B$350</definedName>
    <definedName name="Ltc">'Variable Management'!$B$349</definedName>
    <definedName name="MaxTlRise">[1]Timings!$B$41</definedName>
    <definedName name="MaxToffBoost">[1]Timings!$B$35</definedName>
    <definedName name="MaxTonBoost">[1]Timings!$B$34</definedName>
    <definedName name="MaxTonBuck">[1]Timings!$B$30</definedName>
    <definedName name="mc" localSheetId="2">'[1]Variable Management'!$B$278</definedName>
    <definedName name="mc">'Variable Management'!$B$278</definedName>
    <definedName name="mc_boost" localSheetId="2">'[1]Variable Management'!$B$275</definedName>
    <definedName name="mc_boost">'Variable Management'!$B$275</definedName>
    <definedName name="mc_buck" localSheetId="2">'[1]Variable Management'!$B$273</definedName>
    <definedName name="mc_buck">'Variable Management'!$B$273</definedName>
    <definedName name="MinT1FallCtrl">[1]Timings!$B$25</definedName>
    <definedName name="MinT1RiseCtrl">[1]Timings!$B$26</definedName>
    <definedName name="MinTlFall">[1]Timings!$B$37</definedName>
    <definedName name="MinTlRise">[1]Timings!$B$36</definedName>
    <definedName name="MinToffBoost">[1]Timings!$B$33</definedName>
    <definedName name="MinToffBuck">[1]Timings!$B$29</definedName>
    <definedName name="MinTonBoost">[1]Timings!$B$32</definedName>
    <definedName name="MinTonBuck">[1]Timings!$B$28</definedName>
    <definedName name="Pi" localSheetId="2">'[1]Variable Management'!$B$236</definedName>
    <definedName name="Pi">'Variable Management'!$B$236</definedName>
    <definedName name="PICTURE" localSheetId="2">INDIRECT('[1]Efficiency Plot Management'!$A$2)</definedName>
    <definedName name="PICTURE">INDIRECT('Efficiency Plot Management'!$A$2)</definedName>
    <definedName name="PICTURE2" localSheetId="0">INDIRECT('Schematic Management'!$A$2)</definedName>
    <definedName name="PICTURE2" localSheetId="5">INDIRECT('Schematic Management'!$A$2)</definedName>
    <definedName name="PICTURE2">INDIRECT('[1]Schematic Management'!$A$2)</definedName>
    <definedName name="Pin" localSheetId="2">'[1]Variable Management'!$B$17</definedName>
    <definedName name="Pin">'Variable Management'!$B$17</definedName>
    <definedName name="PLOT_TYPE" localSheetId="2">'[1]Variable Management'!$L$10</definedName>
    <definedName name="PLOT_TYPE">'Variable Management'!$L$10</definedName>
    <definedName name="pole1" localSheetId="2">'[1]Stability Calculations'!$K$4</definedName>
    <definedName name="pole1">'Stability Calculations'!$K$4</definedName>
    <definedName name="Pole2" localSheetId="2">'[1]Stability Calculations'!$C$5</definedName>
    <definedName name="Pole2">'Stability Calculations'!$C$5</definedName>
    <definedName name="pole3" localSheetId="2">'[1]Stability Calculations'!$N$3</definedName>
    <definedName name="pole3">'Stability Calculations'!$N$3</definedName>
    <definedName name="pole4" localSheetId="2">'[1]Stability Calculations'!$C$7</definedName>
    <definedName name="pole4">'Stability Calculations'!$C$7</definedName>
    <definedName name="Pout" localSheetId="2">'[1]Variable Management'!$B$15</definedName>
    <definedName name="Pout">'Variable Management'!$B$15</definedName>
    <definedName name="_xlnm.Print_Area" localSheetId="1">'BOM &amp; Schematic'!$A$1:$J$81</definedName>
    <definedName name="_xlnm.Print_Area" localSheetId="0">'Design Converter'!$A$1:$Q$114</definedName>
    <definedName name="pterm1" localSheetId="2">'[1]Stability Calculations'!$N$4</definedName>
    <definedName name="pterm1">'Stability Calculations'!$N$4</definedName>
    <definedName name="pterm2" localSheetId="2">'[1]Stability Calculations'!$N$5</definedName>
    <definedName name="pterm2">'Stability Calculations'!$N$5</definedName>
    <definedName name="Q" localSheetId="2">'[1]Variable Management'!$B$280</definedName>
    <definedName name="Q">'Variable Management'!$B$280</definedName>
    <definedName name="Qg_Q1" localSheetId="2">'[1]Variable Management'!$B$369</definedName>
    <definedName name="Qg_Q1">'Variable Management'!$B$368</definedName>
    <definedName name="Qg_Q2" localSheetId="2">'[1]Variable Management'!$D$369</definedName>
    <definedName name="Qg_Q2">'Variable Management'!$D$368</definedName>
    <definedName name="Qg_Q3" localSheetId="2">'[1]Variable Management'!$B$386</definedName>
    <definedName name="Qg_Q3">'Variable Management'!$B$385</definedName>
    <definedName name="Qg_Q4" localSheetId="2">'[1]Variable Management'!$D$386</definedName>
    <definedName name="Qg_Q4">'Variable Management'!$D$385</definedName>
    <definedName name="Qgd_Q1" localSheetId="2">'[1]Variable Management'!$B$370</definedName>
    <definedName name="Qgd_Q1">'Variable Management'!$B$369</definedName>
    <definedName name="Qgd_Q2">'Variable Management'!$D$369</definedName>
    <definedName name="Qgd_Q3">'Variable Management'!$B$386</definedName>
    <definedName name="Qgd_Q4" localSheetId="2">'[1]Variable Management'!$D$387</definedName>
    <definedName name="Qgd_Q4">'Variable Management'!$D$386</definedName>
    <definedName name="Qgs_Q1" localSheetId="2">'[1]Variable Management'!$B$371</definedName>
    <definedName name="Qgs_Q1">'Variable Management'!$B$370</definedName>
    <definedName name="Qgs_Q2">'Variable Management'!$D$370</definedName>
    <definedName name="Qgs_Q3">'Variable Management'!$B$387</definedName>
    <definedName name="Qgs_Q4" localSheetId="2">'[1]Variable Management'!$D$388</definedName>
    <definedName name="Qgs_Q4">'Variable Management'!$D$387</definedName>
    <definedName name="Qrr_Q1">'Variable Management'!$B$377</definedName>
    <definedName name="Qrr_Q2" localSheetId="2">'[1]Variable Management'!$D$378</definedName>
    <definedName name="Qrr_Q2">'Variable Management'!$D$377</definedName>
    <definedName name="Qrr_Q3" localSheetId="2">'[1]Variable Management'!$B$395</definedName>
    <definedName name="Qrr_Q3">'Variable Management'!$B$394</definedName>
    <definedName name="Qrr_Q4">'Variable Management'!$D$394</definedName>
    <definedName name="QrrSky_Q2" localSheetId="2">'[1]Variable Management'!$B$401</definedName>
    <definedName name="QrrSky_Q2">'Variable Management'!$B$400</definedName>
    <definedName name="QrrSky_Q3" localSheetId="2">'[1]Variable Management'!$D$401</definedName>
    <definedName name="QrrSky_Q3">'Variable Management'!$D$400</definedName>
    <definedName name="radconv" localSheetId="2">'[1]Stability Calculations'!$Q$6</definedName>
    <definedName name="radconv">'Stability Calculations'!$Q$6</definedName>
    <definedName name="Rcea1" localSheetId="2">'[1]Variable Management'!$B$318</definedName>
    <definedName name="Rcea1">'Variable Management'!$B$317</definedName>
    <definedName name="Rcea1_u" localSheetId="2">'[1]Variable Management'!$B$323</definedName>
    <definedName name="Rcea1_u">'Variable Management'!$B$322</definedName>
    <definedName name="RCinEsr" localSheetId="2">'[1]Variable Management'!$B$194</definedName>
    <definedName name="RCinEsr">'Variable Management'!$B$194</definedName>
    <definedName name="RCoutEsr" localSheetId="2">'[1]Variable Management'!$B$173</definedName>
    <definedName name="RCoutEsr">'Variable Management'!$B$173</definedName>
    <definedName name="Rdcr" localSheetId="2">'[1]Variable Management'!$B$67</definedName>
    <definedName name="Rdcr">'Variable Management'!$B$67</definedName>
    <definedName name="Rdson1" localSheetId="2">'[1]Variable Management'!$B$367</definedName>
    <definedName name="Rdson1">'Variable Management'!$B$366</definedName>
    <definedName name="Rdson2" localSheetId="2">'[1]Variable Management'!$D$367</definedName>
    <definedName name="Rdson2">'Variable Management'!$D$366</definedName>
    <definedName name="Rdson3" localSheetId="2">'[1]Variable Management'!$B$384</definedName>
    <definedName name="Rdson3">'Variable Management'!$B$383</definedName>
    <definedName name="Rdson4" localSheetId="2">'[1]Variable Management'!$D$384</definedName>
    <definedName name="Rdson4">'Variable Management'!$D$383</definedName>
    <definedName name="RdsonBotTc" localSheetId="2">'[1]Variable Management'!$B$385</definedName>
    <definedName name="RdsonBotTc">'Variable Management'!$B$384</definedName>
    <definedName name="RdsonDRB" localSheetId="2">'[1]Variable Management'!$B$359</definedName>
    <definedName name="RdsonDRB">'Variable Management'!$B$358</definedName>
    <definedName name="RdsonDRB2" localSheetId="2">'[1]Variable Management'!$B$360</definedName>
    <definedName name="RdsonDRB2">'Variable Management'!$B$359</definedName>
    <definedName name="RdsonDRT" localSheetId="2">'[1]Variable Management'!$B$356</definedName>
    <definedName name="RdsonDRT">'Variable Management'!$B$355</definedName>
    <definedName name="RdsonDRT2" localSheetId="2">'[1]Variable Management'!$B$357</definedName>
    <definedName name="RdsonDRT2">'Variable Management'!$B$356</definedName>
    <definedName name="RdsonTopTc" localSheetId="2">'[1]Variable Management'!$B$368</definedName>
    <definedName name="RdsonTopTc">'Variable Management'!$B$367</definedName>
    <definedName name="Rfadj" localSheetId="2">'[1]Variable Management'!$B$26</definedName>
    <definedName name="Rfadj">'Variable Management'!$B$25</definedName>
    <definedName name="Rfb1_" localSheetId="2">'[1]Variable Management'!$B$333</definedName>
    <definedName name="Rfb1_">'Variable Management'!$B$332</definedName>
    <definedName name="Rfb2_" localSheetId="2">'[1]Variable Management'!$B$334</definedName>
    <definedName name="Rfb2_">'Variable Management'!$B$333</definedName>
    <definedName name="Rfb2_u" localSheetId="2">'[1]Variable Management'!$B$335</definedName>
    <definedName name="Rfb2_u">'Variable Management'!$B$334</definedName>
    <definedName name="Rfets">'Variable Management'!$B$338</definedName>
    <definedName name="Rgate1" localSheetId="2">'[1]Variable Management'!$B$372</definedName>
    <definedName name="Rgate1">'Variable Management'!$B$371</definedName>
    <definedName name="Rgate2" localSheetId="2">'[1]Variable Management'!$D$372</definedName>
    <definedName name="Rgate2">'Variable Management'!$D$371</definedName>
    <definedName name="Rgate3">'Variable Management'!$B$388</definedName>
    <definedName name="Rgate4" localSheetId="2">'[1]Variable Management'!$D$389</definedName>
    <definedName name="Rgate4">'Variable Management'!$D$388</definedName>
    <definedName name="Ri" localSheetId="2">'[1]Variable Management'!$B$238</definedName>
    <definedName name="Ri">'Variable Management'!$B$238</definedName>
    <definedName name="Ro" localSheetId="2">'[1]Variable Management'!$B$303</definedName>
    <definedName name="Ro">'Variable Management'!$B$303</definedName>
    <definedName name="RoEA" localSheetId="2">'[1]Variable Management'!$B$289</definedName>
    <definedName name="RoEA">'Variable Management'!$B$289</definedName>
    <definedName name="Rout" localSheetId="2">'[1]Variable Management'!$B$14</definedName>
    <definedName name="Rout">'Variable Management'!$B$14</definedName>
    <definedName name="Rpg">'Variable Management'!$B$225</definedName>
    <definedName name="Rs" localSheetId="2">'[1]Variable Management'!$B$122</definedName>
    <definedName name="Rs">'Variable Management'!$B$122</definedName>
    <definedName name="Rs_ideal" localSheetId="2">'[1]Variable Management'!$B$121</definedName>
    <definedName name="Rs_ideal">'Variable Management'!$B$121</definedName>
    <definedName name="Rsb">'Variable Management'!$B$226</definedName>
    <definedName name="Rshunt" localSheetId="2">'[1]Variable Management'!$B$156</definedName>
    <definedName name="Rshunt">'Variable Management'!$B$156</definedName>
    <definedName name="Rshunt_std" localSheetId="2">'[1]Standard Value Calculator'!$O$21</definedName>
    <definedName name="Rshunt_std">'Standard Value Calculator'!$O$21</definedName>
    <definedName name="Rslope">'[1]Variable Management'!$B$141</definedName>
    <definedName name="Rslope_ideal">'[1]Variable Management'!$B$139</definedName>
    <definedName name="Ruvlo1" localSheetId="2">'[1]Variable Management'!$B$212</definedName>
    <definedName name="Ruvlo1">'Variable Management'!$B$212</definedName>
    <definedName name="Ruvlo2" localSheetId="2">'[1]Variable Management'!$B$213</definedName>
    <definedName name="Ruvlo2">'Variable Management'!$B$213</definedName>
    <definedName name="SCH_DITH">'Schematic Management'!$B$5</definedName>
    <definedName name="SCH_NO_DITH">'Schematic Management'!$B$8</definedName>
    <definedName name="SCH_WITH_DITH">'Schematic Management'!$B$5</definedName>
    <definedName name="Se" localSheetId="2">'[1]Variable Management'!$B$246</definedName>
    <definedName name="Se">'Variable Management'!$B$246</definedName>
    <definedName name="Se_ext" localSheetId="2">'[1]Variable Management'!$B$254</definedName>
    <definedName name="Se_ext">'Variable Management'!$B$254</definedName>
    <definedName name="Se_fixed" localSheetId="2">'[1]Variable Management'!$B$244</definedName>
    <definedName name="Se_fixed">'Variable Management'!$B$244</definedName>
    <definedName name="Se_proportional" localSheetId="2">'[1]Variable Management'!$B$245</definedName>
    <definedName name="Se_proportional">'Variable Management'!$B$245</definedName>
    <definedName name="Sf" localSheetId="2">'[1]Variable Management'!$B$256</definedName>
    <definedName name="Sf">'Variable Management'!$B$256</definedName>
    <definedName name="Sn" localSheetId="2">'[1]Variable Management'!$B$255</definedName>
    <definedName name="Sn">'Variable Management'!$B$255</definedName>
    <definedName name="T1_to_T2_Fsw">[1]Timings!$B$20</definedName>
    <definedName name="T12_min">[1]Timings!$B$10</definedName>
    <definedName name="T2_to_T3_Fsw">[1]Timings!$B$21</definedName>
    <definedName name="T23_min">[1]Timings!$B$11</definedName>
    <definedName name="T3_to_T4_Fsw">[1]Timings!$B$22</definedName>
    <definedName name="Ta" localSheetId="2">'[1]Variable Management'!$B$348</definedName>
    <definedName name="Ta">'Variable Management'!$B$347</definedName>
    <definedName name="TBubo">[1]Timings!$B$39</definedName>
    <definedName name="Tf_boost" localSheetId="2">'[1]Variable Management'!$D$409</definedName>
    <definedName name="Tf_boost">'Variable Management'!$D$408</definedName>
    <definedName name="Tf_buck" localSheetId="2">'[1]Variable Management'!$B$409</definedName>
    <definedName name="Tf_buck">'Variable Management'!$B$408</definedName>
    <definedName name="ThetaCa" localSheetId="2">'[1]Variable Management'!$B$351</definedName>
    <definedName name="ThetaCa">'Variable Management'!$B$350</definedName>
    <definedName name="ThetaJA_Q1" localSheetId="2">'[1]Variable Management'!$B$380</definedName>
    <definedName name="ThetaJA_Q1">'Variable Management'!$B$379</definedName>
    <definedName name="ThetaJA_Q2" localSheetId="2">'[1]Variable Management'!$D$380</definedName>
    <definedName name="ThetaJA_Q2">'Variable Management'!$D$379</definedName>
    <definedName name="ThetaJA_Q3" localSheetId="2">'[1]Variable Management'!$B$397</definedName>
    <definedName name="ThetaJA_Q3">'Variable Management'!$B$396</definedName>
    <definedName name="ThetaJA_Q4" localSheetId="2">'[1]Variable Management'!$D$397</definedName>
    <definedName name="ThetaJA_Q4">'Variable Management'!$D$396</definedName>
    <definedName name="ThetaJaCtrl" localSheetId="2">'[1]Variable Management'!$B$405</definedName>
    <definedName name="ThetaJaCtrl">'Variable Management'!$B$404</definedName>
    <definedName name="TL">'Variable Management'!$B$96</definedName>
    <definedName name="Toff_min_buck">'Variable Management'!$B$28</definedName>
    <definedName name="Toff_Vinmax" localSheetId="2">'[1]Variable Management'!$B$262</definedName>
    <definedName name="Toff_Vinmax">'Variable Management'!$B$262</definedName>
    <definedName name="Ton_min_boost">'Variable Management'!$B$29</definedName>
    <definedName name="Ton_Vinmin" localSheetId="2">'[1]Variable Management'!$B$264</definedName>
    <definedName name="Ton_Vinmin">'Variable Management'!$B$264</definedName>
    <definedName name="TonBubo">[1]Timings!$B$40</definedName>
    <definedName name="Tr_boost" localSheetId="2">'[1]Variable Management'!$D$408</definedName>
    <definedName name="Tr_boost">'Variable Management'!$D$407</definedName>
    <definedName name="Tr_buck" localSheetId="2">'[1]Variable Management'!$B$408</definedName>
    <definedName name="Tr_buck">'Variable Management'!$B$407</definedName>
    <definedName name="Trr_Q1">'Variable Management'!$B$378</definedName>
    <definedName name="Trr_Q2" localSheetId="2">'[1]Variable Management'!$D$379</definedName>
    <definedName name="Trr_Q2">'Variable Management'!$D$378</definedName>
    <definedName name="Trr_Q3">'Variable Management'!$B$395</definedName>
    <definedName name="Trr_Q4">'Variable Management'!$D$395</definedName>
    <definedName name="Ts">'Variable Management'!$B$23</definedName>
    <definedName name="Tss" localSheetId="2">'[1]Variable Management'!$B$203</definedName>
    <definedName name="Tss">'Variable Management'!$B$203</definedName>
    <definedName name="V_sc_fixed" localSheetId="2">'[1]Variable Management'!$B$248</definedName>
    <definedName name="V_sc_fixed">'Variable Management'!$B$248</definedName>
    <definedName name="V_sc_proportional">'Variable Management'!$B$249</definedName>
    <definedName name="V_sc_total">'Variable Management'!$B$250</definedName>
    <definedName name="Vdd" localSheetId="2">'[1]Variable Management'!$B$354</definedName>
    <definedName name="Vdd">'Variable Management'!$B$353</definedName>
    <definedName name="VfdSky_Q2" localSheetId="2">'[1]Variable Management'!$B$400</definedName>
    <definedName name="VfdSky_Q2">'Variable Management'!$B$399</definedName>
    <definedName name="VfdSky_Q3" localSheetId="2">'[1]Variable Management'!$D$400</definedName>
    <definedName name="VfdSky_Q3">'Variable Management'!$D$399</definedName>
    <definedName name="Vin" localSheetId="2">'[1]Variable Management'!$B$8</definedName>
    <definedName name="Vin">'Variable Management'!$B$8</definedName>
    <definedName name="VIN_BB_to_boost">'[1]Variable Management'!$B$40</definedName>
    <definedName name="VIN_BB_to_buck" localSheetId="2">'[1]Variable Management'!$B$43</definedName>
    <definedName name="VIN_BB_to_buck">'Variable Management'!$B$43</definedName>
    <definedName name="VIN_boost_to_BB" localSheetId="2">'[1]Variable Management'!$B$41</definedName>
    <definedName name="VIN_boost_to_BB">'Variable Management'!$B$41</definedName>
    <definedName name="VIN_edgebuckboost" localSheetId="2">'[1]Variable Management'!$B$10</definedName>
    <definedName name="VIN_edgebuckboost">'Variable Management'!$B$10</definedName>
    <definedName name="VIN_max" localSheetId="2">'[1]Variable Management'!$B$9</definedName>
    <definedName name="VIN_max">'Variable Management'!$B$9</definedName>
    <definedName name="VIN_min" localSheetId="2">'[1]Variable Management'!$B$7</definedName>
    <definedName name="VIN_min">'Variable Management'!$B$7</definedName>
    <definedName name="VIN_nom" localSheetId="2">'[1]Variable Management'!$B$8</definedName>
    <definedName name="VIN_nom">'Variable Management'!$B$8</definedName>
    <definedName name="Vinripple1" localSheetId="2">'[1]Variable Management'!$B$183</definedName>
    <definedName name="Vinripple1">'Variable Management'!$B$183</definedName>
    <definedName name="Vinripple2" localSheetId="2">'[1]Variable Management'!$B$198</definedName>
    <definedName name="Vinripple2">'Variable Management'!$B$198</definedName>
    <definedName name="VINuvlo_off">'Variable Management'!$B$211</definedName>
    <definedName name="VINuvlo_on" localSheetId="2">'[1]Variable Management'!$B$210</definedName>
    <definedName name="VINuvlo_on">'Variable Management'!$B$210</definedName>
    <definedName name="Vout" localSheetId="2">'[1]Variable Management'!$B$12</definedName>
    <definedName name="Vout">'Variable Management'!$B$12</definedName>
    <definedName name="Vref" localSheetId="2">'[1]Variable Management'!$B$24</definedName>
    <definedName name="Vref">'Variable Management'!$B$24</definedName>
    <definedName name="Vripple1" localSheetId="2">'[1]Variable Management'!$B$76</definedName>
    <definedName name="Vripple1">'Variable Management'!$B$76</definedName>
    <definedName name="Vripple2" localSheetId="2">'[1]Variable Management'!$B$174</definedName>
    <definedName name="Vripple2">'Variable Management'!$B$174</definedName>
    <definedName name="Vsd_Q1" localSheetId="2">'[1]Variable Management'!$B$377</definedName>
    <definedName name="Vsd_Q1">'Variable Management'!$B$376</definedName>
    <definedName name="Vsd_Q2" localSheetId="2">'[1]Variable Management'!$D$377</definedName>
    <definedName name="Vsd_Q2">'Variable Management'!$D$376</definedName>
    <definedName name="Vsd_Q3" localSheetId="2">'[1]Variable Management'!$B$394</definedName>
    <definedName name="Vsd_Q3">'Variable Management'!$B$393</definedName>
    <definedName name="Vsd_Q4" localSheetId="2">'[1]Variable Management'!$D$394</definedName>
    <definedName name="Vsd_Q4">'Variable Management'!$D$393</definedName>
    <definedName name="Vsp_Q1" localSheetId="2">'[1]Variable Management'!$B$375</definedName>
    <definedName name="Vsp_Q1">'Variable Management'!$B$374</definedName>
    <definedName name="Vsp_Q2">'Variable Management'!$D$374</definedName>
    <definedName name="Vsp_Q3">'Variable Management'!$B$391</definedName>
    <definedName name="Vsp_Q4" localSheetId="2">'[1]Variable Management'!$D$392</definedName>
    <definedName name="Vsp_Q4">'Variable Management'!$D$391</definedName>
    <definedName name="Vth_Q1" localSheetId="2">'[1]Variable Management'!$B$374</definedName>
    <definedName name="Vth_Q1">'Variable Management'!$B$373</definedName>
    <definedName name="Vth_Q2" localSheetId="2">'[1]Variable Management'!$D$374</definedName>
    <definedName name="Vth_Q2">'Variable Management'!$D$373</definedName>
    <definedName name="Vth_Q3" localSheetId="2">'[1]Variable Management'!$B$391</definedName>
    <definedName name="Vth_Q3">'Variable Management'!$B$390</definedName>
    <definedName name="Vth_Q4" localSheetId="2">'[1]Variable Management'!$D$391</definedName>
    <definedName name="Vth_Q4">'Variable Management'!$D$390</definedName>
    <definedName name="Vuvlo_hys">'Variable Management'!$B$220</definedName>
    <definedName name="Vuvlo_off" localSheetId="2">'[1]Variable Management'!$B$219</definedName>
    <definedName name="Vuvlo_off">'Variable Management'!$B$219</definedName>
    <definedName name="Vuvlo_on" localSheetId="2">'[1]Variable Management'!$B$218</definedName>
    <definedName name="Vuvlo_on">'Variable Management'!$B$218</definedName>
    <definedName name="With_RCS">'[1]Variable Management'!$B$157</definedName>
    <definedName name="z_RHP" localSheetId="2">'[1]Stability Calculations'!$K$5</definedName>
    <definedName name="z_RHP">'Stability Calculations'!$K$5</definedName>
    <definedName name="Zero1" localSheetId="2">'[1]Stability Calculations'!$K$3</definedName>
    <definedName name="Zero1">'Stability Calculations'!$K$3</definedName>
    <definedName name="Zero2" localSheetId="2">'[1]Stability Calculations'!$C$4</definedName>
    <definedName name="Zero2">'Stability Calculations'!$C$4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0" i="2" l="1"/>
  <c r="B291" i="2" s="1"/>
  <c r="D61" i="1" l="1"/>
  <c r="C450" i="2"/>
  <c r="F60" i="1"/>
  <c r="F61" i="1"/>
  <c r="A2" i="22"/>
  <c r="B353" i="2" l="1"/>
  <c r="B68" i="21" l="1"/>
  <c r="B69" i="21" s="1"/>
  <c r="B60" i="21"/>
  <c r="B55" i="21"/>
  <c r="B35" i="21"/>
  <c r="B33" i="21"/>
  <c r="B30" i="21"/>
  <c r="B28" i="21"/>
  <c r="B27" i="21"/>
  <c r="B21" i="21"/>
  <c r="B15" i="21"/>
  <c r="B29" i="2"/>
  <c r="B60" i="20"/>
  <c r="B55" i="20"/>
  <c r="B35" i="20"/>
  <c r="B33" i="20"/>
  <c r="B30" i="20"/>
  <c r="B28" i="20"/>
  <c r="B27" i="20"/>
  <c r="B21" i="20"/>
  <c r="B15" i="20"/>
  <c r="A2" i="19"/>
  <c r="D400" i="2" l="1"/>
  <c r="D399" i="2"/>
  <c r="D396" i="2"/>
  <c r="D394" i="2"/>
  <c r="D393" i="2"/>
  <c r="D390" i="2"/>
  <c r="D389" i="2"/>
  <c r="D387" i="2"/>
  <c r="D386" i="2"/>
  <c r="D385" i="2"/>
  <c r="D383" i="2"/>
  <c r="D379" i="2"/>
  <c r="D377" i="2"/>
  <c r="B54" i="21" s="1"/>
  <c r="D376" i="2"/>
  <c r="B53" i="21" s="1"/>
  <c r="D373" i="2"/>
  <c r="D372" i="2"/>
  <c r="D371" i="2"/>
  <c r="B52" i="21" s="1"/>
  <c r="D370" i="2"/>
  <c r="D369" i="2"/>
  <c r="D368" i="2"/>
  <c r="B51" i="21" s="1"/>
  <c r="D366" i="2"/>
  <c r="B49" i="21" s="1"/>
  <c r="B56" i="20" l="1"/>
  <c r="B56" i="21"/>
  <c r="B52" i="20"/>
  <c r="B54" i="20"/>
  <c r="B51" i="20"/>
  <c r="B53" i="20"/>
  <c r="B49" i="20"/>
  <c r="K175" i="2"/>
  <c r="B389" i="2"/>
  <c r="B390" i="2"/>
  <c r="B386" i="2"/>
  <c r="B387" i="2"/>
  <c r="B377" i="2"/>
  <c r="B438" i="2"/>
  <c r="A55" i="16"/>
  <c r="C72" i="16" l="1"/>
  <c r="B424" i="2"/>
  <c r="A424" i="2"/>
  <c r="A426" i="2"/>
  <c r="B434" i="2"/>
  <c r="A56" i="16"/>
  <c r="A433" i="2"/>
  <c r="V13" i="17"/>
  <c r="V14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31" i="17"/>
  <c r="V32" i="17"/>
  <c r="V33" i="17"/>
  <c r="V34" i="17"/>
  <c r="V35" i="17"/>
  <c r="V36" i="17"/>
  <c r="V37" i="17"/>
  <c r="V38" i="17"/>
  <c r="V39" i="17"/>
  <c r="V40" i="17"/>
  <c r="V41" i="17"/>
  <c r="V42" i="17"/>
  <c r="V43" i="17"/>
  <c r="V44" i="17"/>
  <c r="V45" i="17"/>
  <c r="V46" i="17"/>
  <c r="V47" i="17"/>
  <c r="V48" i="17"/>
  <c r="V49" i="17"/>
  <c r="V50" i="17"/>
  <c r="V51" i="17"/>
  <c r="V52" i="17"/>
  <c r="V53" i="17"/>
  <c r="V54" i="17"/>
  <c r="V55" i="17"/>
  <c r="V56" i="17"/>
  <c r="V57" i="17"/>
  <c r="V58" i="17"/>
  <c r="V59" i="17"/>
  <c r="V60" i="17"/>
  <c r="V61" i="17"/>
  <c r="V62" i="17"/>
  <c r="V63" i="17"/>
  <c r="V64" i="17"/>
  <c r="V65" i="17"/>
  <c r="V66" i="17"/>
  <c r="V67" i="17"/>
  <c r="V68" i="17"/>
  <c r="V69" i="17"/>
  <c r="V70" i="17"/>
  <c r="V71" i="17"/>
  <c r="V72" i="17"/>
  <c r="V73" i="17"/>
  <c r="V74" i="17"/>
  <c r="V75" i="17"/>
  <c r="V76" i="17"/>
  <c r="V77" i="17"/>
  <c r="V78" i="17"/>
  <c r="V79" i="17"/>
  <c r="V80" i="17"/>
  <c r="V81" i="17"/>
  <c r="V82" i="17"/>
  <c r="V83" i="17"/>
  <c r="V84" i="17"/>
  <c r="V85" i="17"/>
  <c r="V86" i="17"/>
  <c r="V87" i="17"/>
  <c r="V88" i="17"/>
  <c r="V89" i="17"/>
  <c r="V90" i="17"/>
  <c r="V91" i="17"/>
  <c r="V92" i="17"/>
  <c r="V93" i="17"/>
  <c r="V94" i="17"/>
  <c r="V95" i="17"/>
  <c r="V96" i="17"/>
  <c r="V97" i="17"/>
  <c r="V98" i="17"/>
  <c r="V99" i="17"/>
  <c r="V100" i="17"/>
  <c r="V101" i="17"/>
  <c r="V102" i="17"/>
  <c r="V103" i="17"/>
  <c r="V104" i="17"/>
  <c r="V105" i="17"/>
  <c r="V106" i="17"/>
  <c r="V107" i="17"/>
  <c r="V108" i="17"/>
  <c r="V109" i="17"/>
  <c r="V110" i="17"/>
  <c r="V111" i="17"/>
  <c r="V112" i="17"/>
  <c r="V113" i="17"/>
  <c r="V114" i="17"/>
  <c r="V115" i="17"/>
  <c r="V116" i="17"/>
  <c r="V117" i="17"/>
  <c r="V118" i="17"/>
  <c r="V119" i="17"/>
  <c r="V120" i="17"/>
  <c r="V121" i="17"/>
  <c r="V122" i="17"/>
  <c r="V123" i="17"/>
  <c r="V124" i="17"/>
  <c r="V125" i="17"/>
  <c r="V126" i="17"/>
  <c r="V127" i="17"/>
  <c r="V128" i="17"/>
  <c r="V129" i="17"/>
  <c r="V130" i="17"/>
  <c r="V131" i="17"/>
  <c r="V132" i="17"/>
  <c r="V133" i="17"/>
  <c r="V134" i="17"/>
  <c r="V135" i="17"/>
  <c r="V136" i="17"/>
  <c r="V137" i="17"/>
  <c r="V138" i="17"/>
  <c r="V139" i="17"/>
  <c r="V140" i="17"/>
  <c r="V141" i="17"/>
  <c r="V142" i="17"/>
  <c r="V143" i="17"/>
  <c r="V144" i="17"/>
  <c r="V145" i="17"/>
  <c r="V146" i="17"/>
  <c r="V147" i="17"/>
  <c r="V148" i="17"/>
  <c r="V149" i="17"/>
  <c r="V150" i="17"/>
  <c r="V151" i="17"/>
  <c r="V152" i="17"/>
  <c r="V153" i="17"/>
  <c r="V154" i="17"/>
  <c r="V155" i="17"/>
  <c r="V156" i="17"/>
  <c r="V157" i="17"/>
  <c r="V158" i="17"/>
  <c r="V159" i="17"/>
  <c r="V160" i="17"/>
  <c r="V161" i="17"/>
  <c r="V162" i="17"/>
  <c r="V163" i="17"/>
  <c r="V164" i="17"/>
  <c r="V165" i="17"/>
  <c r="V166" i="17"/>
  <c r="V167" i="17"/>
  <c r="V168" i="17"/>
  <c r="V169" i="17"/>
  <c r="V170" i="17"/>
  <c r="V171" i="17"/>
  <c r="V172" i="17"/>
  <c r="V173" i="17"/>
  <c r="V174" i="17"/>
  <c r="V175" i="17"/>
  <c r="V176" i="17"/>
  <c r="V177" i="17"/>
  <c r="V178" i="17"/>
  <c r="V179" i="17"/>
  <c r="V180" i="17"/>
  <c r="V181" i="17"/>
  <c r="V182" i="17"/>
  <c r="V183" i="17"/>
  <c r="V184" i="17"/>
  <c r="V185" i="17"/>
  <c r="V186" i="17"/>
  <c r="V187" i="17"/>
  <c r="V188" i="17"/>
  <c r="V189" i="17"/>
  <c r="V190" i="17"/>
  <c r="V191" i="17"/>
  <c r="V192" i="17"/>
  <c r="V193" i="17"/>
  <c r="V194" i="17"/>
  <c r="V195" i="17"/>
  <c r="V196" i="17"/>
  <c r="V197" i="17"/>
  <c r="V198" i="17"/>
  <c r="V199" i="17"/>
  <c r="V200" i="17"/>
  <c r="V201" i="17"/>
  <c r="V202" i="17"/>
  <c r="V203" i="17"/>
  <c r="V204" i="17"/>
  <c r="V205" i="17"/>
  <c r="V206" i="17"/>
  <c r="V207" i="17"/>
  <c r="V208" i="17"/>
  <c r="V209" i="17"/>
  <c r="V210" i="17"/>
  <c r="V211" i="17"/>
  <c r="V212" i="17"/>
  <c r="V213" i="17"/>
  <c r="V214" i="17"/>
  <c r="V215" i="17"/>
  <c r="V216" i="17"/>
  <c r="V217" i="17"/>
  <c r="V218" i="17"/>
  <c r="V219" i="17"/>
  <c r="V220" i="17"/>
  <c r="V221" i="17"/>
  <c r="V222" i="17"/>
  <c r="V223" i="17"/>
  <c r="V224" i="17"/>
  <c r="V225" i="17"/>
  <c r="V226" i="17"/>
  <c r="V227" i="17"/>
  <c r="V228" i="17"/>
  <c r="V229" i="17"/>
  <c r="V230" i="17"/>
  <c r="V231" i="17"/>
  <c r="V232" i="17"/>
  <c r="V233" i="17"/>
  <c r="V234" i="17"/>
  <c r="V235" i="17"/>
  <c r="V236" i="17"/>
  <c r="V237" i="17"/>
  <c r="V238" i="17"/>
  <c r="V239" i="17"/>
  <c r="V240" i="17"/>
  <c r="V241" i="17"/>
  <c r="V242" i="17"/>
  <c r="V243" i="17"/>
  <c r="V244" i="17"/>
  <c r="V245" i="17"/>
  <c r="V246" i="17"/>
  <c r="V247" i="17"/>
  <c r="V248" i="17"/>
  <c r="V249" i="17"/>
  <c r="V250" i="17"/>
  <c r="V251" i="17"/>
  <c r="V252" i="17"/>
  <c r="V253" i="17"/>
  <c r="V254" i="17"/>
  <c r="V255" i="17"/>
  <c r="V256" i="17"/>
  <c r="V257" i="17"/>
  <c r="V258" i="17"/>
  <c r="V259" i="17"/>
  <c r="V260" i="17"/>
  <c r="V261" i="17"/>
  <c r="V262" i="17"/>
  <c r="V263" i="17"/>
  <c r="V264" i="17"/>
  <c r="V265" i="17"/>
  <c r="V266" i="17"/>
  <c r="V267" i="17"/>
  <c r="V268" i="17"/>
  <c r="V269" i="17"/>
  <c r="V270" i="17"/>
  <c r="V271" i="17"/>
  <c r="V272" i="17"/>
  <c r="V273" i="17"/>
  <c r="V274" i="17"/>
  <c r="V275" i="17"/>
  <c r="V276" i="17"/>
  <c r="V277" i="17"/>
  <c r="V278" i="17"/>
  <c r="V279" i="17"/>
  <c r="V280" i="17"/>
  <c r="V281" i="17"/>
  <c r="V282" i="17"/>
  <c r="V283" i="17"/>
  <c r="V284" i="17"/>
  <c r="V285" i="17"/>
  <c r="V286" i="17"/>
  <c r="V287" i="17"/>
  <c r="V288" i="17"/>
  <c r="V289" i="17"/>
  <c r="V290" i="17"/>
  <c r="V291" i="17"/>
  <c r="V292" i="17"/>
  <c r="V293" i="17"/>
  <c r="V294" i="17"/>
  <c r="V295" i="17"/>
  <c r="V296" i="17"/>
  <c r="V297" i="17"/>
  <c r="V298" i="17"/>
  <c r="V299" i="17"/>
  <c r="V300" i="17"/>
  <c r="V301" i="17"/>
  <c r="V302" i="17"/>
  <c r="V303" i="17"/>
  <c r="V304" i="17"/>
  <c r="V305" i="17"/>
  <c r="V306" i="17"/>
  <c r="V307" i="17"/>
  <c r="V308" i="17"/>
  <c r="V309" i="17"/>
  <c r="V310" i="17"/>
  <c r="V311" i="17"/>
  <c r="V312" i="17"/>
  <c r="V313" i="17"/>
  <c r="V314" i="17"/>
  <c r="V315" i="17"/>
  <c r="V316" i="17"/>
  <c r="V317" i="17"/>
  <c r="V318" i="17"/>
  <c r="V319" i="17"/>
  <c r="V320" i="17"/>
  <c r="V321" i="17"/>
  <c r="V322" i="17"/>
  <c r="V323" i="17"/>
  <c r="V324" i="17"/>
  <c r="V325" i="17"/>
  <c r="V326" i="17"/>
  <c r="V327" i="17"/>
  <c r="V328" i="17"/>
  <c r="V329" i="17"/>
  <c r="V330" i="17"/>
  <c r="V331" i="17"/>
  <c r="V332" i="17"/>
  <c r="V333" i="17"/>
  <c r="V334" i="17"/>
  <c r="V335" i="17"/>
  <c r="V336" i="17"/>
  <c r="V337" i="17"/>
  <c r="V338" i="17"/>
  <c r="V339" i="17"/>
  <c r="V340" i="17"/>
  <c r="V341" i="17"/>
  <c r="V342" i="17"/>
  <c r="V343" i="17"/>
  <c r="V344" i="17"/>
  <c r="V345" i="17"/>
  <c r="V346" i="17"/>
  <c r="V347" i="17"/>
  <c r="V348" i="17"/>
  <c r="V349" i="17"/>
  <c r="V350" i="17"/>
  <c r="V351" i="17"/>
  <c r="V352" i="17"/>
  <c r="V353" i="17"/>
  <c r="V354" i="17"/>
  <c r="V355" i="17"/>
  <c r="V356" i="17"/>
  <c r="V357" i="17"/>
  <c r="V358" i="17"/>
  <c r="V359" i="17"/>
  <c r="V360" i="17"/>
  <c r="V361" i="17"/>
  <c r="V362" i="17"/>
  <c r="V363" i="17"/>
  <c r="V364" i="17"/>
  <c r="V365" i="17"/>
  <c r="V366" i="17"/>
  <c r="V367" i="17"/>
  <c r="V368" i="17"/>
  <c r="V369" i="17"/>
  <c r="V370" i="17"/>
  <c r="V371" i="17"/>
  <c r="V372" i="17"/>
  <c r="V373" i="17"/>
  <c r="V374" i="17"/>
  <c r="V375" i="17"/>
  <c r="V376" i="17"/>
  <c r="V377" i="17"/>
  <c r="V378" i="17"/>
  <c r="V379" i="17"/>
  <c r="V380" i="17"/>
  <c r="V381" i="17"/>
  <c r="V382" i="17"/>
  <c r="V383" i="17"/>
  <c r="V384" i="17"/>
  <c r="V385" i="17"/>
  <c r="V386" i="17"/>
  <c r="V387" i="17"/>
  <c r="V388" i="17"/>
  <c r="V389" i="17"/>
  <c r="V390" i="17"/>
  <c r="V391" i="17"/>
  <c r="V392" i="17"/>
  <c r="V393" i="17"/>
  <c r="V394" i="17"/>
  <c r="V395" i="17"/>
  <c r="V396" i="17"/>
  <c r="V397" i="17"/>
  <c r="V398" i="17"/>
  <c r="V399" i="17"/>
  <c r="V400" i="17"/>
  <c r="V401" i="17"/>
  <c r="V402" i="17"/>
  <c r="V403" i="17"/>
  <c r="V404" i="17"/>
  <c r="V405" i="17"/>
  <c r="V406" i="17"/>
  <c r="V407" i="17"/>
  <c r="V408" i="17"/>
  <c r="V409" i="17"/>
  <c r="V410" i="17"/>
  <c r="V411" i="17"/>
  <c r="V412" i="17"/>
  <c r="V413" i="17"/>
  <c r="V414" i="17"/>
  <c r="V415" i="17"/>
  <c r="V416" i="17"/>
  <c r="V417" i="17"/>
  <c r="V418" i="17"/>
  <c r="V419" i="17"/>
  <c r="V420" i="17"/>
  <c r="V421" i="17"/>
  <c r="V422" i="17"/>
  <c r="V423" i="17"/>
  <c r="V424" i="17"/>
  <c r="V425" i="17"/>
  <c r="V426" i="17"/>
  <c r="V427" i="17"/>
  <c r="V428" i="17"/>
  <c r="V429" i="17"/>
  <c r="V430" i="17"/>
  <c r="V431" i="17"/>
  <c r="V432" i="17"/>
  <c r="V433" i="17"/>
  <c r="V434" i="17"/>
  <c r="V435" i="17"/>
  <c r="V436" i="17"/>
  <c r="V437" i="17"/>
  <c r="V438" i="17"/>
  <c r="V439" i="17"/>
  <c r="V440" i="17"/>
  <c r="V441" i="17"/>
  <c r="V442" i="17"/>
  <c r="V443" i="17"/>
  <c r="V444" i="17"/>
  <c r="V445" i="17"/>
  <c r="V446" i="17"/>
  <c r="V447" i="17"/>
  <c r="V448" i="17"/>
  <c r="V449" i="17"/>
  <c r="V450" i="17"/>
  <c r="V451" i="17"/>
  <c r="V452" i="17"/>
  <c r="V453" i="17"/>
  <c r="V454" i="17"/>
  <c r="V455" i="17"/>
  <c r="V456" i="17"/>
  <c r="V457" i="17"/>
  <c r="V458" i="17"/>
  <c r="V459" i="17"/>
  <c r="V460" i="17"/>
  <c r="V461" i="17"/>
  <c r="V462" i="17"/>
  <c r="V463" i="17"/>
  <c r="V464" i="17"/>
  <c r="V465" i="17"/>
  <c r="V466" i="17"/>
  <c r="V467" i="17"/>
  <c r="V468" i="17"/>
  <c r="V469" i="17"/>
  <c r="V470" i="17"/>
  <c r="V471" i="17"/>
  <c r="V472" i="17"/>
  <c r="V473" i="17"/>
  <c r="V474" i="17"/>
  <c r="V475" i="17"/>
  <c r="V476" i="17"/>
  <c r="V477" i="17"/>
  <c r="V478" i="17"/>
  <c r="V479" i="17"/>
  <c r="V480" i="17"/>
  <c r="V481" i="17"/>
  <c r="V482" i="17"/>
  <c r="V483" i="17"/>
  <c r="V484" i="17"/>
  <c r="V485" i="17"/>
  <c r="V486" i="17"/>
  <c r="V487" i="17"/>
  <c r="V488" i="17"/>
  <c r="V489" i="17"/>
  <c r="V490" i="17"/>
  <c r="V491" i="17"/>
  <c r="V492" i="17"/>
  <c r="V493" i="17"/>
  <c r="V494" i="17"/>
  <c r="V495" i="17"/>
  <c r="V496" i="17"/>
  <c r="V497" i="17"/>
  <c r="V498" i="17"/>
  <c r="V499" i="17"/>
  <c r="V500" i="17"/>
  <c r="V501" i="17"/>
  <c r="V502" i="17"/>
  <c r="V503" i="17"/>
  <c r="V504" i="17"/>
  <c r="V505" i="17"/>
  <c r="V506" i="17"/>
  <c r="V507" i="17"/>
  <c r="V508" i="17"/>
  <c r="V509" i="17"/>
  <c r="V510" i="17"/>
  <c r="V511" i="17"/>
  <c r="V512" i="17"/>
  <c r="V513" i="17"/>
  <c r="V514" i="17"/>
  <c r="V515" i="17"/>
  <c r="V516" i="17"/>
  <c r="V517" i="17"/>
  <c r="V518" i="17"/>
  <c r="V519" i="17"/>
  <c r="V520" i="17"/>
  <c r="V521" i="17"/>
  <c r="V522" i="17"/>
  <c r="V523" i="17"/>
  <c r="V524" i="17"/>
  <c r="V525" i="17"/>
  <c r="V526" i="17"/>
  <c r="V527" i="17"/>
  <c r="V528" i="17"/>
  <c r="V529" i="17"/>
  <c r="V530" i="17"/>
  <c r="V531" i="17"/>
  <c r="V532" i="17"/>
  <c r="V533" i="17"/>
  <c r="V534" i="17"/>
  <c r="V535" i="17"/>
  <c r="V536" i="17"/>
  <c r="V537" i="17"/>
  <c r="V538" i="17"/>
  <c r="V539" i="17"/>
  <c r="V540" i="17"/>
  <c r="V541" i="17"/>
  <c r="V542" i="17"/>
  <c r="V543" i="17"/>
  <c r="V544" i="17"/>
  <c r="V545" i="17"/>
  <c r="V546" i="17"/>
  <c r="V547" i="17"/>
  <c r="V548" i="17"/>
  <c r="V549" i="17"/>
  <c r="V550" i="17"/>
  <c r="V551" i="17"/>
  <c r="V552" i="17"/>
  <c r="V553" i="17"/>
  <c r="V554" i="17"/>
  <c r="V555" i="17"/>
  <c r="V556" i="17"/>
  <c r="V557" i="17"/>
  <c r="V558" i="17"/>
  <c r="V559" i="17"/>
  <c r="V560" i="17"/>
  <c r="V561" i="17"/>
  <c r="V562" i="17"/>
  <c r="V563" i="17"/>
  <c r="V564" i="17"/>
  <c r="V565" i="17"/>
  <c r="V566" i="17"/>
  <c r="V567" i="17"/>
  <c r="V568" i="17"/>
  <c r="V569" i="17"/>
  <c r="V570" i="17"/>
  <c r="V571" i="17"/>
  <c r="V572" i="17"/>
  <c r="V573" i="17"/>
  <c r="V574" i="17"/>
  <c r="V575" i="17"/>
  <c r="V576" i="17"/>
  <c r="V577" i="17"/>
  <c r="V578" i="17"/>
  <c r="V579" i="17"/>
  <c r="V580" i="17"/>
  <c r="V581" i="17"/>
  <c r="V582" i="17"/>
  <c r="V583" i="17"/>
  <c r="V584" i="17"/>
  <c r="V585" i="17"/>
  <c r="V586" i="17"/>
  <c r="V587" i="17"/>
  <c r="V588" i="17"/>
  <c r="V589" i="17"/>
  <c r="V590" i="17"/>
  <c r="V591" i="17"/>
  <c r="V592" i="17"/>
  <c r="V593" i="17"/>
  <c r="V594" i="17"/>
  <c r="V595" i="17"/>
  <c r="V596" i="17"/>
  <c r="V597" i="17"/>
  <c r="V598" i="17"/>
  <c r="V599" i="17"/>
  <c r="V600" i="17"/>
  <c r="V601" i="17"/>
  <c r="V602" i="17"/>
  <c r="V603" i="17"/>
  <c r="V604" i="17"/>
  <c r="V605" i="17"/>
  <c r="V606" i="17"/>
  <c r="V607" i="17"/>
  <c r="V608" i="17"/>
  <c r="V609" i="17"/>
  <c r="V610" i="17"/>
  <c r="V611" i="17"/>
  <c r="V612" i="17"/>
  <c r="V613" i="17"/>
  <c r="I3" i="17" l="1"/>
  <c r="B447" i="2"/>
  <c r="A447" i="2"/>
  <c r="B288" i="2"/>
  <c r="B122" i="2"/>
  <c r="B125" i="2" l="1"/>
  <c r="C65" i="16"/>
  <c r="B238" i="2"/>
  <c r="B124" i="2"/>
  <c r="B326" i="2"/>
  <c r="B446" i="2"/>
  <c r="A446" i="2"/>
  <c r="B445" i="2"/>
  <c r="A445" i="2"/>
  <c r="L294" i="2" l="1"/>
  <c r="B300" i="2"/>
  <c r="AE687" i="17" l="1"/>
  <c r="B14" i="17" l="1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372" i="17"/>
  <c r="B373" i="17"/>
  <c r="B374" i="17"/>
  <c r="B375" i="17"/>
  <c r="B376" i="17"/>
  <c r="B377" i="17"/>
  <c r="B378" i="17"/>
  <c r="B379" i="17"/>
  <c r="B380" i="17"/>
  <c r="B381" i="17"/>
  <c r="B382" i="17"/>
  <c r="B383" i="17"/>
  <c r="B384" i="17"/>
  <c r="B385" i="17"/>
  <c r="B386" i="17"/>
  <c r="B387" i="17"/>
  <c r="B388" i="17"/>
  <c r="B389" i="17"/>
  <c r="B390" i="17"/>
  <c r="B391" i="17"/>
  <c r="B392" i="17"/>
  <c r="B393" i="17"/>
  <c r="B394" i="17"/>
  <c r="B395" i="17"/>
  <c r="B396" i="17"/>
  <c r="B397" i="17"/>
  <c r="B398" i="17"/>
  <c r="B399" i="17"/>
  <c r="B400" i="17"/>
  <c r="B401" i="17"/>
  <c r="B402" i="17"/>
  <c r="B403" i="17"/>
  <c r="B404" i="17"/>
  <c r="B405" i="17"/>
  <c r="B406" i="17"/>
  <c r="B407" i="17"/>
  <c r="B408" i="17"/>
  <c r="B409" i="17"/>
  <c r="B410" i="17"/>
  <c r="B411" i="17"/>
  <c r="B412" i="17"/>
  <c r="B413" i="17"/>
  <c r="B414" i="17"/>
  <c r="B415" i="17"/>
  <c r="B416" i="17"/>
  <c r="B417" i="17"/>
  <c r="B418" i="17"/>
  <c r="B419" i="17"/>
  <c r="B420" i="17"/>
  <c r="B421" i="17"/>
  <c r="B422" i="17"/>
  <c r="B423" i="17"/>
  <c r="B424" i="17"/>
  <c r="B425" i="17"/>
  <c r="B426" i="17"/>
  <c r="B427" i="17"/>
  <c r="B428" i="17"/>
  <c r="B429" i="17"/>
  <c r="B430" i="17"/>
  <c r="B431" i="17"/>
  <c r="B432" i="17"/>
  <c r="B433" i="17"/>
  <c r="B434" i="17"/>
  <c r="B435" i="17"/>
  <c r="B436" i="17"/>
  <c r="B437" i="17"/>
  <c r="B438" i="17"/>
  <c r="B439" i="17"/>
  <c r="B440" i="17"/>
  <c r="B441" i="17"/>
  <c r="B442" i="17"/>
  <c r="B443" i="17"/>
  <c r="B444" i="17"/>
  <c r="B445" i="17"/>
  <c r="B446" i="17"/>
  <c r="B447" i="17"/>
  <c r="B448" i="17"/>
  <c r="B449" i="17"/>
  <c r="B450" i="17"/>
  <c r="B451" i="17"/>
  <c r="B452" i="17"/>
  <c r="B453" i="17"/>
  <c r="B454" i="17"/>
  <c r="B455" i="17"/>
  <c r="B456" i="17"/>
  <c r="B457" i="17"/>
  <c r="B458" i="17"/>
  <c r="B459" i="17"/>
  <c r="B460" i="17"/>
  <c r="B461" i="17"/>
  <c r="B462" i="17"/>
  <c r="B463" i="17"/>
  <c r="B464" i="17"/>
  <c r="B465" i="17"/>
  <c r="B466" i="17"/>
  <c r="B467" i="17"/>
  <c r="B468" i="17"/>
  <c r="B469" i="17"/>
  <c r="B470" i="17"/>
  <c r="B471" i="17"/>
  <c r="B472" i="17"/>
  <c r="B473" i="17"/>
  <c r="B474" i="17"/>
  <c r="B475" i="17"/>
  <c r="B476" i="17"/>
  <c r="B477" i="17"/>
  <c r="B478" i="17"/>
  <c r="B479" i="17"/>
  <c r="B480" i="17"/>
  <c r="B481" i="17"/>
  <c r="B482" i="17"/>
  <c r="B483" i="17"/>
  <c r="B484" i="17"/>
  <c r="B485" i="17"/>
  <c r="B486" i="17"/>
  <c r="B487" i="17"/>
  <c r="B488" i="17"/>
  <c r="B489" i="17"/>
  <c r="B490" i="17"/>
  <c r="B491" i="17"/>
  <c r="B492" i="17"/>
  <c r="B493" i="17"/>
  <c r="B494" i="17"/>
  <c r="B495" i="17"/>
  <c r="B496" i="17"/>
  <c r="B497" i="17"/>
  <c r="B498" i="17"/>
  <c r="B499" i="17"/>
  <c r="B500" i="17"/>
  <c r="B501" i="17"/>
  <c r="B502" i="17"/>
  <c r="B503" i="17"/>
  <c r="B504" i="17"/>
  <c r="B505" i="17"/>
  <c r="B506" i="17"/>
  <c r="B507" i="17"/>
  <c r="B508" i="17"/>
  <c r="B509" i="17"/>
  <c r="B510" i="17"/>
  <c r="B511" i="17"/>
  <c r="B512" i="17"/>
  <c r="B513" i="17"/>
  <c r="B514" i="17"/>
  <c r="B515" i="17"/>
  <c r="B516" i="17"/>
  <c r="B517" i="17"/>
  <c r="B518" i="17"/>
  <c r="B519" i="17"/>
  <c r="B520" i="17"/>
  <c r="B521" i="17"/>
  <c r="B522" i="17"/>
  <c r="B523" i="17"/>
  <c r="B524" i="17"/>
  <c r="B525" i="17"/>
  <c r="B526" i="17"/>
  <c r="B527" i="17"/>
  <c r="B528" i="17"/>
  <c r="B529" i="17"/>
  <c r="B530" i="17"/>
  <c r="B531" i="17"/>
  <c r="B532" i="17"/>
  <c r="B533" i="17"/>
  <c r="B534" i="17"/>
  <c r="B535" i="17"/>
  <c r="B536" i="17"/>
  <c r="B537" i="17"/>
  <c r="B538" i="17"/>
  <c r="B539" i="17"/>
  <c r="B540" i="17"/>
  <c r="B541" i="17"/>
  <c r="B542" i="17"/>
  <c r="B543" i="17"/>
  <c r="B544" i="17"/>
  <c r="B545" i="17"/>
  <c r="B546" i="17"/>
  <c r="B547" i="17"/>
  <c r="B548" i="17"/>
  <c r="B549" i="17"/>
  <c r="B550" i="17"/>
  <c r="B551" i="17"/>
  <c r="B552" i="17"/>
  <c r="B553" i="17"/>
  <c r="B554" i="17"/>
  <c r="B555" i="17"/>
  <c r="B556" i="17"/>
  <c r="B557" i="17"/>
  <c r="B558" i="17"/>
  <c r="B559" i="17"/>
  <c r="B560" i="17"/>
  <c r="B561" i="17"/>
  <c r="B562" i="17"/>
  <c r="B563" i="17"/>
  <c r="B564" i="17"/>
  <c r="B565" i="17"/>
  <c r="B566" i="17"/>
  <c r="B567" i="17"/>
  <c r="B568" i="17"/>
  <c r="B569" i="17"/>
  <c r="B570" i="17"/>
  <c r="B571" i="17"/>
  <c r="B572" i="17"/>
  <c r="B573" i="17"/>
  <c r="B574" i="17"/>
  <c r="B575" i="17"/>
  <c r="B576" i="17"/>
  <c r="B577" i="17"/>
  <c r="B578" i="17"/>
  <c r="B579" i="17"/>
  <c r="B580" i="17"/>
  <c r="B581" i="17"/>
  <c r="B582" i="17"/>
  <c r="B583" i="17"/>
  <c r="B584" i="17"/>
  <c r="B585" i="17"/>
  <c r="B586" i="17"/>
  <c r="B587" i="17"/>
  <c r="B588" i="17"/>
  <c r="B589" i="17"/>
  <c r="B590" i="17"/>
  <c r="B591" i="17"/>
  <c r="B592" i="17"/>
  <c r="B593" i="17"/>
  <c r="B594" i="17"/>
  <c r="B595" i="17"/>
  <c r="B596" i="17"/>
  <c r="B597" i="17"/>
  <c r="B598" i="17"/>
  <c r="B599" i="17"/>
  <c r="B600" i="17"/>
  <c r="B601" i="17"/>
  <c r="B602" i="17"/>
  <c r="B603" i="17"/>
  <c r="B604" i="17"/>
  <c r="B605" i="17"/>
  <c r="B606" i="17"/>
  <c r="B607" i="17"/>
  <c r="B608" i="17"/>
  <c r="B609" i="17"/>
  <c r="B610" i="17"/>
  <c r="B611" i="17"/>
  <c r="B612" i="17"/>
  <c r="B613" i="17"/>
  <c r="B13" i="17"/>
  <c r="B292" i="2"/>
  <c r="C6" i="17" s="1"/>
  <c r="Q6" i="17"/>
  <c r="B428" i="2" l="1"/>
  <c r="A428" i="2"/>
  <c r="B230" i="2"/>
  <c r="B231" i="2" s="1"/>
  <c r="B169" i="2"/>
  <c r="B154" i="2"/>
  <c r="B141" i="2"/>
  <c r="C52" i="16" s="1"/>
  <c r="B100" i="2"/>
  <c r="B212" i="2"/>
  <c r="B8" i="2"/>
  <c r="B9" i="2"/>
  <c r="N47" i="1" l="1"/>
  <c r="N84" i="1"/>
  <c r="H11" i="21"/>
  <c r="H13" i="21"/>
  <c r="H15" i="21"/>
  <c r="H17" i="21"/>
  <c r="H19" i="21"/>
  <c r="H21" i="21"/>
  <c r="H23" i="21"/>
  <c r="H25" i="21"/>
  <c r="H27" i="21"/>
  <c r="H29" i="21"/>
  <c r="H31" i="21"/>
  <c r="H33" i="21"/>
  <c r="H35" i="21"/>
  <c r="H37" i="21"/>
  <c r="H39" i="21"/>
  <c r="H41" i="21"/>
  <c r="H43" i="21"/>
  <c r="H45" i="21"/>
  <c r="H47" i="21"/>
  <c r="H49" i="21"/>
  <c r="H51" i="21"/>
  <c r="H53" i="21"/>
  <c r="H55" i="21"/>
  <c r="H57" i="21"/>
  <c r="H59" i="21"/>
  <c r="H61" i="21"/>
  <c r="H63" i="21"/>
  <c r="H65" i="21"/>
  <c r="H67" i="21"/>
  <c r="H69" i="21"/>
  <c r="H71" i="21"/>
  <c r="H73" i="21"/>
  <c r="H75" i="21"/>
  <c r="H77" i="21"/>
  <c r="H79" i="21"/>
  <c r="H81" i="21"/>
  <c r="H83" i="21"/>
  <c r="H85" i="21"/>
  <c r="H87" i="21"/>
  <c r="H89" i="21"/>
  <c r="H91" i="21"/>
  <c r="H93" i="21"/>
  <c r="H95" i="21"/>
  <c r="H97" i="21"/>
  <c r="H99" i="21"/>
  <c r="H101" i="21"/>
  <c r="H103" i="21"/>
  <c r="H105" i="21"/>
  <c r="H107" i="21"/>
  <c r="H109" i="21"/>
  <c r="H10" i="21"/>
  <c r="H12" i="21"/>
  <c r="H14" i="21"/>
  <c r="H16" i="21"/>
  <c r="H18" i="21"/>
  <c r="H20" i="21"/>
  <c r="H22" i="21"/>
  <c r="H24" i="21"/>
  <c r="H26" i="21"/>
  <c r="H28" i="21"/>
  <c r="H30" i="21"/>
  <c r="H32" i="21"/>
  <c r="H34" i="21"/>
  <c r="H36" i="21"/>
  <c r="H38" i="21"/>
  <c r="H40" i="21"/>
  <c r="H42" i="21"/>
  <c r="H44" i="21"/>
  <c r="H46" i="21"/>
  <c r="H48" i="21"/>
  <c r="H50" i="21"/>
  <c r="H52" i="21"/>
  <c r="H54" i="21"/>
  <c r="H56" i="21"/>
  <c r="H58" i="21"/>
  <c r="H60" i="21"/>
  <c r="H62" i="21"/>
  <c r="H64" i="21"/>
  <c r="H66" i="21"/>
  <c r="H68" i="21"/>
  <c r="H70" i="21"/>
  <c r="H72" i="21"/>
  <c r="H74" i="21"/>
  <c r="H76" i="21"/>
  <c r="H78" i="21"/>
  <c r="H80" i="21"/>
  <c r="H82" i="21"/>
  <c r="H84" i="21"/>
  <c r="H86" i="21"/>
  <c r="H88" i="21"/>
  <c r="H90" i="21"/>
  <c r="H92" i="21"/>
  <c r="H94" i="21"/>
  <c r="H96" i="21"/>
  <c r="H98" i="21"/>
  <c r="H100" i="21"/>
  <c r="H102" i="21"/>
  <c r="H104" i="21"/>
  <c r="H106" i="21"/>
  <c r="H108" i="21"/>
  <c r="H9" i="21"/>
  <c r="B11" i="21"/>
  <c r="B24" i="20"/>
  <c r="B24" i="21"/>
  <c r="B11" i="20"/>
  <c r="B156" i="2"/>
  <c r="B464" i="2" s="1"/>
  <c r="B435" i="2"/>
  <c r="B244" i="2"/>
  <c r="I255" i="2"/>
  <c r="A449" i="2"/>
  <c r="B299" i="2"/>
  <c r="B294" i="2"/>
  <c r="B474" i="2"/>
  <c r="B449" i="2"/>
  <c r="B471" i="2"/>
  <c r="G144" i="2"/>
  <c r="BU17" i="21" l="1"/>
  <c r="B16" i="21"/>
  <c r="BU16" i="21"/>
  <c r="BU15" i="21"/>
  <c r="BU14" i="21"/>
  <c r="BU13" i="21"/>
  <c r="BU12" i="21"/>
  <c r="BU11" i="21"/>
  <c r="BU9" i="21"/>
  <c r="BT17" i="20"/>
  <c r="BT16" i="20"/>
  <c r="B16" i="20"/>
  <c r="BT14" i="20"/>
  <c r="BT12" i="20"/>
  <c r="BT9" i="20"/>
  <c r="BT15" i="20"/>
  <c r="BT13" i="20"/>
  <c r="BT11" i="20"/>
  <c r="N21" i="8"/>
  <c r="A464" i="2"/>
  <c r="N6" i="8"/>
  <c r="E37" i="1"/>
  <c r="F3" i="17"/>
  <c r="CE17" i="21" l="1"/>
  <c r="CC17" i="21"/>
  <c r="CA17" i="21"/>
  <c r="BY17" i="21"/>
  <c r="BW17" i="21"/>
  <c r="CD17" i="21"/>
  <c r="CB17" i="21"/>
  <c r="BZ17" i="21"/>
  <c r="BX17" i="21"/>
  <c r="BV17" i="21"/>
  <c r="CD9" i="21"/>
  <c r="CB9" i="21"/>
  <c r="BZ9" i="21"/>
  <c r="BX9" i="21"/>
  <c r="BV9" i="21"/>
  <c r="CE9" i="21"/>
  <c r="CC9" i="21"/>
  <c r="CA9" i="21"/>
  <c r="BY9" i="21"/>
  <c r="BW9" i="21"/>
  <c r="CD11" i="21"/>
  <c r="CB11" i="21"/>
  <c r="BZ11" i="21"/>
  <c r="BX11" i="21"/>
  <c r="BV11" i="21"/>
  <c r="CE11" i="21"/>
  <c r="CC11" i="21"/>
  <c r="CA11" i="21"/>
  <c r="BY11" i="21"/>
  <c r="BW11" i="21"/>
  <c r="CD12" i="21"/>
  <c r="CB12" i="21"/>
  <c r="BZ12" i="21"/>
  <c r="BX12" i="21"/>
  <c r="BV12" i="21"/>
  <c r="CE12" i="21"/>
  <c r="CC12" i="21"/>
  <c r="CA12" i="21"/>
  <c r="BY12" i="21"/>
  <c r="BW12" i="21"/>
  <c r="CD13" i="21"/>
  <c r="CB13" i="21"/>
  <c r="BZ13" i="21"/>
  <c r="BX13" i="21"/>
  <c r="BV13" i="21"/>
  <c r="CE13" i="21"/>
  <c r="CC13" i="21"/>
  <c r="CA13" i="21"/>
  <c r="BY13" i="21"/>
  <c r="BW13" i="21"/>
  <c r="CD14" i="21"/>
  <c r="CB14" i="21"/>
  <c r="BZ14" i="21"/>
  <c r="BX14" i="21"/>
  <c r="BV14" i="21"/>
  <c r="CE14" i="21"/>
  <c r="CC14" i="21"/>
  <c r="CA14" i="21"/>
  <c r="BY14" i="21"/>
  <c r="BW14" i="21"/>
  <c r="CD15" i="21"/>
  <c r="CB15" i="21"/>
  <c r="BZ15" i="21"/>
  <c r="BX15" i="21"/>
  <c r="BV15" i="21"/>
  <c r="CE15" i="21"/>
  <c r="CC15" i="21"/>
  <c r="CA15" i="21"/>
  <c r="BY15" i="21"/>
  <c r="BW15" i="21"/>
  <c r="CD16" i="21"/>
  <c r="CB16" i="21"/>
  <c r="BZ16" i="21"/>
  <c r="BX16" i="21"/>
  <c r="BV16" i="21"/>
  <c r="CE16" i="21"/>
  <c r="CC16" i="21"/>
  <c r="CA16" i="21"/>
  <c r="BY16" i="21"/>
  <c r="BW16" i="21"/>
  <c r="CC9" i="20"/>
  <c r="CA9" i="20"/>
  <c r="BY9" i="20"/>
  <c r="BW9" i="20"/>
  <c r="BU9" i="20"/>
  <c r="CD9" i="20"/>
  <c r="CB9" i="20"/>
  <c r="BZ9" i="20"/>
  <c r="BX9" i="20"/>
  <c r="BV9" i="20"/>
  <c r="CD12" i="20"/>
  <c r="CB12" i="20"/>
  <c r="BZ12" i="20"/>
  <c r="BX12" i="20"/>
  <c r="BV12" i="20"/>
  <c r="CC12" i="20"/>
  <c r="CA12" i="20"/>
  <c r="BY12" i="20"/>
  <c r="BW12" i="20"/>
  <c r="BU12" i="20"/>
  <c r="CD14" i="20"/>
  <c r="CB14" i="20"/>
  <c r="BZ14" i="20"/>
  <c r="BX14" i="20"/>
  <c r="BV14" i="20"/>
  <c r="CC14" i="20"/>
  <c r="CA14" i="20"/>
  <c r="BY14" i="20"/>
  <c r="BW14" i="20"/>
  <c r="BU14" i="20"/>
  <c r="CC11" i="20"/>
  <c r="CA11" i="20"/>
  <c r="BY11" i="20"/>
  <c r="BW11" i="20"/>
  <c r="BU11" i="20"/>
  <c r="CD11" i="20"/>
  <c r="CB11" i="20"/>
  <c r="BZ11" i="20"/>
  <c r="BX11" i="20"/>
  <c r="BV11" i="20"/>
  <c r="CC13" i="20"/>
  <c r="CA13" i="20"/>
  <c r="BY13" i="20"/>
  <c r="BW13" i="20"/>
  <c r="BU13" i="20"/>
  <c r="CD13" i="20"/>
  <c r="CB13" i="20"/>
  <c r="BZ13" i="20"/>
  <c r="BX13" i="20"/>
  <c r="BV13" i="20"/>
  <c r="CC15" i="20"/>
  <c r="CA15" i="20"/>
  <c r="BY15" i="20"/>
  <c r="BW15" i="20"/>
  <c r="BU15" i="20"/>
  <c r="CD15" i="20"/>
  <c r="CB15" i="20"/>
  <c r="BZ15" i="20"/>
  <c r="BX15" i="20"/>
  <c r="BV15" i="20"/>
  <c r="CD16" i="20"/>
  <c r="CB16" i="20"/>
  <c r="BZ16" i="20"/>
  <c r="BX16" i="20"/>
  <c r="BV16" i="20"/>
  <c r="CC16" i="20"/>
  <c r="CA16" i="20"/>
  <c r="BY16" i="20"/>
  <c r="BW16" i="20"/>
  <c r="BU16" i="20"/>
  <c r="CD17" i="20"/>
  <c r="CB17" i="20"/>
  <c r="BZ17" i="20"/>
  <c r="BX17" i="20"/>
  <c r="BV17" i="20"/>
  <c r="CC17" i="20"/>
  <c r="BY17" i="20"/>
  <c r="BU17" i="20"/>
  <c r="CA17" i="20"/>
  <c r="BW17" i="20"/>
  <c r="B22" i="2"/>
  <c r="B25" i="2" s="1"/>
  <c r="B13" i="21" l="1"/>
  <c r="B78" i="21"/>
  <c r="B23" i="2"/>
  <c r="B36" i="2" s="1"/>
  <c r="B13" i="20"/>
  <c r="B78" i="20"/>
  <c r="B414" i="2"/>
  <c r="B251" i="2"/>
  <c r="B314" i="2"/>
  <c r="B248" i="2"/>
  <c r="N3" i="17"/>
  <c r="N5" i="17" s="1"/>
  <c r="N19" i="8"/>
  <c r="H3" i="8" s="1"/>
  <c r="D62" i="16"/>
  <c r="B32" i="2" l="1"/>
  <c r="B37" i="2"/>
  <c r="B33" i="2"/>
  <c r="B54" i="2" s="1"/>
  <c r="B34" i="2"/>
  <c r="B38" i="2"/>
  <c r="A626" i="17"/>
  <c r="C636" i="17"/>
  <c r="I63" i="16"/>
  <c r="I62" i="16"/>
  <c r="D63" i="16" l="1"/>
  <c r="C68" i="16"/>
  <c r="D68" i="16" s="1"/>
  <c r="D70" i="16"/>
  <c r="D74" i="16"/>
  <c r="C61" i="16"/>
  <c r="D59" i="16"/>
  <c r="D56" i="16"/>
  <c r="D55" i="16"/>
  <c r="D58" i="16"/>
  <c r="D53" i="16"/>
  <c r="D49" i="16"/>
  <c r="B451" i="2"/>
  <c r="B210" i="2"/>
  <c r="B213" i="2" s="1"/>
  <c r="B220" i="2"/>
  <c r="B223" i="2"/>
  <c r="F71" i="1" l="1"/>
  <c r="N16" i="8" l="1"/>
  <c r="O16" i="8" s="1"/>
  <c r="E212" i="2" s="1"/>
  <c r="H212" i="2" s="1"/>
  <c r="D77" i="1"/>
  <c r="G212" i="2" l="1"/>
  <c r="N17" i="8"/>
  <c r="O17" i="8" s="1"/>
  <c r="E213" i="2" s="1"/>
  <c r="B216" i="2" l="1"/>
  <c r="E63" i="1" s="1"/>
  <c r="E65" i="1"/>
  <c r="G213" i="2"/>
  <c r="D72" i="16"/>
  <c r="H213" i="2"/>
  <c r="B215" i="2"/>
  <c r="C73" i="16" l="1"/>
  <c r="D73" i="16" s="1"/>
  <c r="B425" i="2"/>
  <c r="A425" i="2"/>
  <c r="B173" i="2"/>
  <c r="B316" i="2"/>
  <c r="B320" i="2" s="1"/>
  <c r="B12" i="2"/>
  <c r="BK8" i="21" s="1"/>
  <c r="B13" i="2"/>
  <c r="B66" i="2"/>
  <c r="B139" i="2" s="1"/>
  <c r="B183" i="2"/>
  <c r="B400" i="2"/>
  <c r="B371" i="2"/>
  <c r="B42" i="21" s="1"/>
  <c r="B426" i="2"/>
  <c r="B433" i="2"/>
  <c r="B67" i="2"/>
  <c r="B19" i="21" s="1"/>
  <c r="B7" i="2"/>
  <c r="L72" i="2" s="1"/>
  <c r="B189" i="2"/>
  <c r="B366" i="2"/>
  <c r="B37" i="21" s="1"/>
  <c r="B383" i="2"/>
  <c r="B332" i="2"/>
  <c r="N9" i="8" s="1"/>
  <c r="B396" i="2"/>
  <c r="B399" i="2"/>
  <c r="B58" i="21" s="1"/>
  <c r="B393" i="2"/>
  <c r="B203" i="2"/>
  <c r="B368" i="2"/>
  <c r="B385" i="2"/>
  <c r="B394" i="2"/>
  <c r="B376" i="2"/>
  <c r="B369" i="2"/>
  <c r="B370" i="2"/>
  <c r="B41" i="21" s="1"/>
  <c r="B373" i="2"/>
  <c r="B372" i="2"/>
  <c r="B43" i="21" s="1"/>
  <c r="B473" i="2"/>
  <c r="B379" i="2"/>
  <c r="B349" i="2"/>
  <c r="B194" i="2"/>
  <c r="B367" i="2"/>
  <c r="B384" i="2"/>
  <c r="D6" i="6"/>
  <c r="D7" i="6"/>
  <c r="D9" i="6"/>
  <c r="D10" i="6"/>
  <c r="D2" i="11"/>
  <c r="D3" i="11"/>
  <c r="B5" i="11"/>
  <c r="D5" i="11" s="1"/>
  <c r="A34" i="8"/>
  <c r="A46" i="8" s="1"/>
  <c r="A58" i="8" s="1"/>
  <c r="A70" i="8" s="1"/>
  <c r="A82" i="8" s="1"/>
  <c r="A94" i="8" s="1"/>
  <c r="A106" i="8" s="1"/>
  <c r="A118" i="8" s="1"/>
  <c r="A130" i="8" s="1"/>
  <c r="A142" i="8" s="1"/>
  <c r="A154" i="8" s="1"/>
  <c r="A35" i="8"/>
  <c r="A47" i="8" s="1"/>
  <c r="A59" i="8" s="1"/>
  <c r="A71" i="8" s="1"/>
  <c r="A83" i="8" s="1"/>
  <c r="A95" i="8" s="1"/>
  <c r="A107" i="8" s="1"/>
  <c r="A119" i="8" s="1"/>
  <c r="A131" i="8" s="1"/>
  <c r="A143" i="8" s="1"/>
  <c r="A155" i="8" s="1"/>
  <c r="A36" i="8"/>
  <c r="A48" i="8" s="1"/>
  <c r="A60" i="8" s="1"/>
  <c r="A72" i="8" s="1"/>
  <c r="A84" i="8" s="1"/>
  <c r="A96" i="8" s="1"/>
  <c r="A108" i="8" s="1"/>
  <c r="A120" i="8" s="1"/>
  <c r="A132" i="8" s="1"/>
  <c r="A144" i="8" s="1"/>
  <c r="A156" i="8" s="1"/>
  <c r="A37" i="8"/>
  <c r="A49" i="8" s="1"/>
  <c r="A61" i="8" s="1"/>
  <c r="A73" i="8" s="1"/>
  <c r="A85" i="8" s="1"/>
  <c r="A97" i="8" s="1"/>
  <c r="A109" i="8" s="1"/>
  <c r="A121" i="8" s="1"/>
  <c r="A133" i="8" s="1"/>
  <c r="A145" i="8" s="1"/>
  <c r="A157" i="8" s="1"/>
  <c r="A38" i="8"/>
  <c r="A39" i="8"/>
  <c r="A40" i="8"/>
  <c r="A41" i="8"/>
  <c r="A42" i="8"/>
  <c r="A54" i="8" s="1"/>
  <c r="A66" i="8" s="1"/>
  <c r="A78" i="8" s="1"/>
  <c r="A90" i="8" s="1"/>
  <c r="A102" i="8" s="1"/>
  <c r="A114" i="8" s="1"/>
  <c r="A126" i="8" s="1"/>
  <c r="A138" i="8" s="1"/>
  <c r="A150" i="8" s="1"/>
  <c r="A43" i="8"/>
  <c r="A55" i="8" s="1"/>
  <c r="A67" i="8" s="1"/>
  <c r="A79" i="8" s="1"/>
  <c r="A91" i="8" s="1"/>
  <c r="A103" i="8" s="1"/>
  <c r="A115" i="8" s="1"/>
  <c r="A127" i="8" s="1"/>
  <c r="A139" i="8" s="1"/>
  <c r="A151" i="8" s="1"/>
  <c r="A44" i="8"/>
  <c r="A56" i="8" s="1"/>
  <c r="A68" i="8" s="1"/>
  <c r="A80" i="8" s="1"/>
  <c r="A92" i="8" s="1"/>
  <c r="A104" i="8" s="1"/>
  <c r="A116" i="8" s="1"/>
  <c r="A128" i="8" s="1"/>
  <c r="A140" i="8" s="1"/>
  <c r="A152" i="8" s="1"/>
  <c r="A45" i="8"/>
  <c r="A57" i="8" s="1"/>
  <c r="A69" i="8" s="1"/>
  <c r="A81" i="8" s="1"/>
  <c r="A93" i="8" s="1"/>
  <c r="A105" i="8" s="1"/>
  <c r="A117" i="8" s="1"/>
  <c r="A129" i="8" s="1"/>
  <c r="A141" i="8" s="1"/>
  <c r="A153" i="8" s="1"/>
  <c r="A50" i="8"/>
  <c r="A62" i="8" s="1"/>
  <c r="A74" i="8" s="1"/>
  <c r="A86" i="8" s="1"/>
  <c r="A98" i="8" s="1"/>
  <c r="A110" i="8" s="1"/>
  <c r="A122" i="8" s="1"/>
  <c r="A134" i="8" s="1"/>
  <c r="A146" i="8" s="1"/>
  <c r="A158" i="8" s="1"/>
  <c r="A51" i="8"/>
  <c r="A63" i="8" s="1"/>
  <c r="A75" i="8" s="1"/>
  <c r="A87" i="8" s="1"/>
  <c r="A99" i="8" s="1"/>
  <c r="A111" i="8" s="1"/>
  <c r="A123" i="8" s="1"/>
  <c r="A135" i="8" s="1"/>
  <c r="A147" i="8" s="1"/>
  <c r="A159" i="8" s="1"/>
  <c r="A52" i="8"/>
  <c r="A64" i="8" s="1"/>
  <c r="A76" i="8" s="1"/>
  <c r="A88" i="8" s="1"/>
  <c r="A100" i="8" s="1"/>
  <c r="A112" i="8" s="1"/>
  <c r="A124" i="8" s="1"/>
  <c r="A136" i="8" s="1"/>
  <c r="A148" i="8" s="1"/>
  <c r="A53" i="8"/>
  <c r="A65" i="8" s="1"/>
  <c r="A77" i="8" s="1"/>
  <c r="A89" i="8" s="1"/>
  <c r="A101" i="8" s="1"/>
  <c r="A113" i="8" s="1"/>
  <c r="A125" i="8" s="1"/>
  <c r="A137" i="8" s="1"/>
  <c r="A149" i="8" s="1"/>
  <c r="I3" i="8"/>
  <c r="J3" i="8"/>
  <c r="B76" i="2"/>
  <c r="B165" i="2" s="1"/>
  <c r="A431" i="2"/>
  <c r="B431" i="2"/>
  <c r="A451" i="2"/>
  <c r="B472" i="2"/>
  <c r="B475" i="2" l="1"/>
  <c r="A46" i="16"/>
  <c r="AX9" i="21"/>
  <c r="AX10" i="21"/>
  <c r="AX11" i="21"/>
  <c r="AX12" i="21"/>
  <c r="AX13" i="21"/>
  <c r="AX14" i="21"/>
  <c r="AX15" i="21"/>
  <c r="AX16" i="21"/>
  <c r="AX17" i="21"/>
  <c r="AX18" i="21"/>
  <c r="AX19" i="21"/>
  <c r="AX20" i="21"/>
  <c r="AX21" i="21"/>
  <c r="AX22" i="21"/>
  <c r="AX23" i="21"/>
  <c r="AX24" i="21"/>
  <c r="AX25" i="21"/>
  <c r="AX26" i="21"/>
  <c r="AX27" i="21"/>
  <c r="AX28" i="21"/>
  <c r="AX29" i="21"/>
  <c r="AX30" i="21"/>
  <c r="AX31" i="21"/>
  <c r="AX32" i="21"/>
  <c r="AX33" i="21"/>
  <c r="AX34" i="21"/>
  <c r="AX35" i="21"/>
  <c r="AX36" i="21"/>
  <c r="AX37" i="21"/>
  <c r="AX38" i="21"/>
  <c r="AX39" i="21"/>
  <c r="AX40" i="21"/>
  <c r="AX41" i="21"/>
  <c r="AX42" i="21"/>
  <c r="AX43" i="21"/>
  <c r="AX44" i="21"/>
  <c r="AX45" i="21"/>
  <c r="AX46" i="21"/>
  <c r="AX47" i="21"/>
  <c r="AX48" i="21"/>
  <c r="AX49" i="21"/>
  <c r="AX50" i="21"/>
  <c r="AX51" i="21"/>
  <c r="AX52" i="21"/>
  <c r="AX53" i="21"/>
  <c r="AX54" i="21"/>
  <c r="AX55" i="21"/>
  <c r="AX56" i="21"/>
  <c r="AX57" i="21"/>
  <c r="AX58" i="21"/>
  <c r="AX59" i="21"/>
  <c r="AX60" i="21"/>
  <c r="AX61" i="21"/>
  <c r="AX62" i="21"/>
  <c r="AX63" i="21"/>
  <c r="AX64" i="21"/>
  <c r="AX65" i="21"/>
  <c r="AX66" i="21"/>
  <c r="AX67" i="21"/>
  <c r="AX68" i="21"/>
  <c r="AX69" i="21"/>
  <c r="AX70" i="21"/>
  <c r="AX71" i="21"/>
  <c r="AX72" i="21"/>
  <c r="AX73" i="21"/>
  <c r="AX74" i="21"/>
  <c r="AX75" i="21"/>
  <c r="AX76" i="21"/>
  <c r="AX77" i="21"/>
  <c r="AX78" i="21"/>
  <c r="AX79" i="21"/>
  <c r="AX80" i="21"/>
  <c r="AX81" i="21"/>
  <c r="AX82" i="21"/>
  <c r="AX83" i="21"/>
  <c r="AX84" i="21"/>
  <c r="AX85" i="21"/>
  <c r="AX86" i="21"/>
  <c r="AX87" i="21"/>
  <c r="AX88" i="21"/>
  <c r="AX89" i="21"/>
  <c r="AX90" i="21"/>
  <c r="AX91" i="21"/>
  <c r="AX92" i="21"/>
  <c r="AX93" i="21"/>
  <c r="AX94" i="21"/>
  <c r="AX95" i="21"/>
  <c r="AX96" i="21"/>
  <c r="AX97" i="21"/>
  <c r="AX98" i="21"/>
  <c r="AX99" i="21"/>
  <c r="AX100" i="21"/>
  <c r="AX101" i="21"/>
  <c r="AX102" i="21"/>
  <c r="AX103" i="21"/>
  <c r="AX104" i="21"/>
  <c r="AX105" i="21"/>
  <c r="AX106" i="21"/>
  <c r="AX107" i="21"/>
  <c r="AX108" i="21"/>
  <c r="AX109" i="21"/>
  <c r="B4" i="11"/>
  <c r="D4" i="11" s="1"/>
  <c r="B6" i="11" s="1"/>
  <c r="D6" i="11" s="1"/>
  <c r="B38" i="21"/>
  <c r="B38" i="20"/>
  <c r="B20" i="21"/>
  <c r="B20" i="20"/>
  <c r="B44" i="20"/>
  <c r="B44" i="21"/>
  <c r="B40" i="20"/>
  <c r="B40" i="21"/>
  <c r="B39" i="21"/>
  <c r="B77" i="21"/>
  <c r="AZ108" i="21"/>
  <c r="AZ104" i="21"/>
  <c r="AZ100" i="21"/>
  <c r="AZ96" i="21"/>
  <c r="AZ92" i="21"/>
  <c r="AZ88" i="21"/>
  <c r="AZ84" i="21"/>
  <c r="AZ80" i="21"/>
  <c r="AZ79" i="21"/>
  <c r="AZ73" i="21"/>
  <c r="AZ59" i="21"/>
  <c r="AZ52" i="21"/>
  <c r="AZ45" i="21"/>
  <c r="AZ37" i="21"/>
  <c r="AZ28" i="21"/>
  <c r="AZ69" i="21"/>
  <c r="AZ64" i="21"/>
  <c r="AZ60" i="21"/>
  <c r="AZ51" i="21"/>
  <c r="AZ42" i="21"/>
  <c r="AZ35" i="21"/>
  <c r="AZ27" i="21"/>
  <c r="AZ20" i="21"/>
  <c r="AZ16" i="21"/>
  <c r="AZ14" i="21"/>
  <c r="AZ12" i="21"/>
  <c r="AZ9" i="21"/>
  <c r="AZ173" i="20"/>
  <c r="AZ156" i="20"/>
  <c r="AZ141" i="20"/>
  <c r="AZ124" i="20"/>
  <c r="AZ207" i="20"/>
  <c r="AZ197" i="20"/>
  <c r="AZ179" i="20"/>
  <c r="AZ163" i="20"/>
  <c r="AZ147" i="20"/>
  <c r="AZ131" i="20"/>
  <c r="AZ116" i="20"/>
  <c r="AZ194" i="20"/>
  <c r="AZ180" i="20"/>
  <c r="AZ161" i="20"/>
  <c r="AZ144" i="20"/>
  <c r="AZ128" i="20"/>
  <c r="AZ114" i="20"/>
  <c r="AZ202" i="20"/>
  <c r="AZ109" i="21"/>
  <c r="AZ105" i="21"/>
  <c r="AZ101" i="21"/>
  <c r="AZ97" i="21"/>
  <c r="AZ93" i="21"/>
  <c r="AZ89" i="21"/>
  <c r="AZ85" i="21"/>
  <c r="AZ81" i="21"/>
  <c r="AZ72" i="21"/>
  <c r="AZ74" i="21"/>
  <c r="AZ68" i="21"/>
  <c r="AZ54" i="21"/>
  <c r="AZ47" i="21"/>
  <c r="AZ39" i="21"/>
  <c r="AZ29" i="21"/>
  <c r="AZ23" i="21"/>
  <c r="AZ65" i="21"/>
  <c r="AZ61" i="21"/>
  <c r="AZ53" i="21"/>
  <c r="AZ44" i="21"/>
  <c r="AZ36" i="21"/>
  <c r="AZ30" i="21"/>
  <c r="AZ21" i="21"/>
  <c r="AZ17" i="21"/>
  <c r="AZ181" i="20"/>
  <c r="AZ168" i="20"/>
  <c r="AZ152" i="20"/>
  <c r="AZ135" i="20"/>
  <c r="AZ120" i="20"/>
  <c r="AZ205" i="20"/>
  <c r="AZ193" i="20"/>
  <c r="AZ175" i="20"/>
  <c r="AZ159" i="20"/>
  <c r="AZ145" i="20"/>
  <c r="AZ129" i="20"/>
  <c r="AZ112" i="20"/>
  <c r="AZ189" i="20"/>
  <c r="AZ176" i="20"/>
  <c r="AZ157" i="20"/>
  <c r="AZ142" i="20"/>
  <c r="AZ125" i="20"/>
  <c r="AZ209" i="20"/>
  <c r="AZ185" i="20"/>
  <c r="AZ106" i="21"/>
  <c r="AZ102" i="21"/>
  <c r="AZ98" i="21"/>
  <c r="AZ94" i="21"/>
  <c r="AZ90" i="21"/>
  <c r="AZ86" i="21"/>
  <c r="AZ82" i="21"/>
  <c r="AZ75" i="21"/>
  <c r="AZ76" i="21"/>
  <c r="AZ70" i="21"/>
  <c r="AZ56" i="21"/>
  <c r="AZ48" i="21"/>
  <c r="AZ41" i="21"/>
  <c r="AZ33" i="21"/>
  <c r="AZ25" i="21"/>
  <c r="AZ66" i="21"/>
  <c r="AZ62" i="21"/>
  <c r="AZ55" i="21"/>
  <c r="AZ46" i="21"/>
  <c r="AZ38" i="21"/>
  <c r="AZ31" i="21"/>
  <c r="AZ22" i="21"/>
  <c r="AZ19" i="21"/>
  <c r="AZ15" i="21"/>
  <c r="AZ13" i="21"/>
  <c r="AZ11" i="21"/>
  <c r="AZ184" i="20"/>
  <c r="AZ164" i="20"/>
  <c r="AZ148" i="20"/>
  <c r="AZ133" i="20"/>
  <c r="AZ115" i="20"/>
  <c r="AZ203" i="20"/>
  <c r="AZ190" i="20"/>
  <c r="AZ171" i="20"/>
  <c r="AZ155" i="20"/>
  <c r="AZ139" i="20"/>
  <c r="AZ123" i="20"/>
  <c r="AZ208" i="20"/>
  <c r="AZ187" i="20"/>
  <c r="AZ172" i="20"/>
  <c r="AZ153" i="20"/>
  <c r="AZ136" i="20"/>
  <c r="AZ122" i="20"/>
  <c r="AZ206" i="20"/>
  <c r="AZ196" i="20"/>
  <c r="AZ107" i="21"/>
  <c r="AZ103" i="21"/>
  <c r="AZ99" i="21"/>
  <c r="AZ95" i="21"/>
  <c r="AZ91" i="21"/>
  <c r="AZ87" i="21"/>
  <c r="AZ83" i="21"/>
  <c r="AZ77" i="21"/>
  <c r="AZ78" i="21"/>
  <c r="AZ71" i="21"/>
  <c r="AZ57" i="21"/>
  <c r="AZ50" i="21"/>
  <c r="AZ43" i="21"/>
  <c r="AZ34" i="21"/>
  <c r="AZ26" i="21"/>
  <c r="AZ67" i="21"/>
  <c r="AZ63" i="21"/>
  <c r="AZ58" i="21"/>
  <c r="AZ49" i="21"/>
  <c r="AZ40" i="21"/>
  <c r="AZ32" i="21"/>
  <c r="AZ24" i="21"/>
  <c r="AZ18" i="21"/>
  <c r="AZ10" i="21"/>
  <c r="AZ177" i="20"/>
  <c r="AZ160" i="20"/>
  <c r="AZ143" i="20"/>
  <c r="AZ127" i="20"/>
  <c r="AZ111" i="20"/>
  <c r="AZ201" i="20"/>
  <c r="AZ183" i="20"/>
  <c r="AZ167" i="20"/>
  <c r="AZ151" i="20"/>
  <c r="AZ137" i="20"/>
  <c r="AZ119" i="20"/>
  <c r="AZ198" i="20"/>
  <c r="AZ169" i="20"/>
  <c r="AZ165" i="20"/>
  <c r="AZ149" i="20"/>
  <c r="AZ134" i="20"/>
  <c r="AZ204" i="20"/>
  <c r="AZ186" i="20"/>
  <c r="AZ170" i="20"/>
  <c r="AZ154" i="20"/>
  <c r="AZ138" i="20"/>
  <c r="AZ121" i="20"/>
  <c r="AZ199" i="20"/>
  <c r="AZ191" i="20"/>
  <c r="AZ174" i="20"/>
  <c r="AZ158" i="20"/>
  <c r="AZ140" i="20"/>
  <c r="AZ126" i="20"/>
  <c r="AZ110" i="20"/>
  <c r="AZ188" i="20"/>
  <c r="AZ118" i="20"/>
  <c r="AZ200" i="20"/>
  <c r="AZ178" i="20"/>
  <c r="AZ162" i="20"/>
  <c r="AZ146" i="20"/>
  <c r="AZ130" i="20"/>
  <c r="AZ113" i="20"/>
  <c r="AZ192" i="20"/>
  <c r="AZ182" i="20"/>
  <c r="AZ166" i="20"/>
  <c r="AZ150" i="20"/>
  <c r="AZ132" i="20"/>
  <c r="AZ117" i="20"/>
  <c r="AZ195" i="20"/>
  <c r="B59" i="20"/>
  <c r="B59" i="21"/>
  <c r="B18" i="20"/>
  <c r="B18" i="21"/>
  <c r="B12" i="21"/>
  <c r="BC9" i="21"/>
  <c r="BF8" i="21"/>
  <c r="L9" i="21"/>
  <c r="BE8" i="21"/>
  <c r="BL8" i="21"/>
  <c r="B25" i="20"/>
  <c r="B25" i="21"/>
  <c r="B50" i="21"/>
  <c r="B50" i="20"/>
  <c r="B23" i="20"/>
  <c r="B23" i="21"/>
  <c r="B47" i="20"/>
  <c r="B47" i="21"/>
  <c r="B46" i="20"/>
  <c r="B46" i="21"/>
  <c r="K21" i="20"/>
  <c r="BC21" i="20" s="1"/>
  <c r="K23" i="20"/>
  <c r="BC23" i="20" s="1"/>
  <c r="K22" i="20"/>
  <c r="BC22" i="20" s="1"/>
  <c r="K13" i="21"/>
  <c r="K15" i="21"/>
  <c r="K17" i="21"/>
  <c r="K19" i="21"/>
  <c r="K21" i="21"/>
  <c r="K23" i="21"/>
  <c r="K25" i="21"/>
  <c r="K27" i="21"/>
  <c r="K29" i="21"/>
  <c r="K31" i="21"/>
  <c r="K33" i="21"/>
  <c r="K35" i="21"/>
  <c r="K37" i="21"/>
  <c r="K39" i="21"/>
  <c r="K41" i="21"/>
  <c r="K43" i="21"/>
  <c r="K45" i="21"/>
  <c r="K47" i="21"/>
  <c r="K49" i="21"/>
  <c r="K51" i="21"/>
  <c r="K53" i="21"/>
  <c r="K55" i="21"/>
  <c r="K57" i="21"/>
  <c r="K59" i="21"/>
  <c r="K61" i="21"/>
  <c r="K63" i="21"/>
  <c r="K65" i="21"/>
  <c r="K67" i="21"/>
  <c r="K69" i="21"/>
  <c r="K71" i="21"/>
  <c r="K73" i="21"/>
  <c r="K75" i="21"/>
  <c r="K77" i="21"/>
  <c r="K79" i="21"/>
  <c r="K81" i="21"/>
  <c r="K83" i="21"/>
  <c r="K85" i="21"/>
  <c r="K87" i="21"/>
  <c r="K89" i="21"/>
  <c r="K91" i="21"/>
  <c r="K93" i="21"/>
  <c r="K95" i="21"/>
  <c r="K97" i="21"/>
  <c r="K99" i="21"/>
  <c r="K101" i="21"/>
  <c r="K103" i="21"/>
  <c r="K105" i="21"/>
  <c r="K107" i="21"/>
  <c r="K109" i="21"/>
  <c r="K10" i="21"/>
  <c r="B14" i="21"/>
  <c r="K189" i="20"/>
  <c r="BC189" i="20" s="1"/>
  <c r="K190" i="20"/>
  <c r="BC190" i="20" s="1"/>
  <c r="K191" i="20"/>
  <c r="BC191" i="20" s="1"/>
  <c r="K192" i="20"/>
  <c r="BC192" i="20" s="1"/>
  <c r="K194" i="20"/>
  <c r="BC194" i="20" s="1"/>
  <c r="K117" i="20"/>
  <c r="BC117" i="20" s="1"/>
  <c r="K118" i="20"/>
  <c r="BC118" i="20" s="1"/>
  <c r="K119" i="20"/>
  <c r="BC119" i="20" s="1"/>
  <c r="K120" i="20"/>
  <c r="BC120" i="20" s="1"/>
  <c r="K121" i="20"/>
  <c r="BC121" i="20" s="1"/>
  <c r="K122" i="20"/>
  <c r="BC122" i="20" s="1"/>
  <c r="K123" i="20"/>
  <c r="BC123" i="20" s="1"/>
  <c r="K124" i="20"/>
  <c r="BC124" i="20" s="1"/>
  <c r="K125" i="20"/>
  <c r="BC125" i="20" s="1"/>
  <c r="K126" i="20"/>
  <c r="BC126" i="20" s="1"/>
  <c r="K127" i="20"/>
  <c r="BC127" i="20" s="1"/>
  <c r="K128" i="20"/>
  <c r="BC128" i="20" s="1"/>
  <c r="K129" i="20"/>
  <c r="BC129" i="20" s="1"/>
  <c r="K130" i="20"/>
  <c r="BC130" i="20" s="1"/>
  <c r="K131" i="20"/>
  <c r="BC131" i="20" s="1"/>
  <c r="K132" i="20"/>
  <c r="BC132" i="20" s="1"/>
  <c r="K133" i="20"/>
  <c r="BC133" i="20" s="1"/>
  <c r="K140" i="20"/>
  <c r="BC140" i="20" s="1"/>
  <c r="K141" i="20"/>
  <c r="BC141" i="20" s="1"/>
  <c r="K151" i="20"/>
  <c r="BC151" i="20" s="1"/>
  <c r="K152" i="20"/>
  <c r="BC152" i="20" s="1"/>
  <c r="K153" i="20"/>
  <c r="BC153" i="20" s="1"/>
  <c r="K154" i="20"/>
  <c r="BC154" i="20" s="1"/>
  <c r="K159" i="20"/>
  <c r="BC159" i="20" s="1"/>
  <c r="K160" i="20"/>
  <c r="BC160" i="20" s="1"/>
  <c r="K161" i="20"/>
  <c r="BC161" i="20" s="1"/>
  <c r="K162" i="20"/>
  <c r="BC162" i="20" s="1"/>
  <c r="K167" i="20"/>
  <c r="BC167" i="20" s="1"/>
  <c r="K168" i="20"/>
  <c r="BC168" i="20" s="1"/>
  <c r="K169" i="20"/>
  <c r="BC169" i="20" s="1"/>
  <c r="K170" i="20"/>
  <c r="BC170" i="20" s="1"/>
  <c r="K175" i="20"/>
  <c r="BC175" i="20" s="1"/>
  <c r="K176" i="20"/>
  <c r="BC176" i="20" s="1"/>
  <c r="K177" i="20"/>
  <c r="BC177" i="20" s="1"/>
  <c r="K178" i="20"/>
  <c r="BC178" i="20" s="1"/>
  <c r="K183" i="20"/>
  <c r="BC183" i="20" s="1"/>
  <c r="K184" i="20"/>
  <c r="BC184" i="20" s="1"/>
  <c r="K14" i="21"/>
  <c r="K16" i="21"/>
  <c r="K18" i="21"/>
  <c r="K20" i="21"/>
  <c r="K22" i="21"/>
  <c r="K24" i="21"/>
  <c r="K26" i="21"/>
  <c r="K28" i="21"/>
  <c r="K30" i="21"/>
  <c r="K32" i="21"/>
  <c r="K34" i="21"/>
  <c r="K36" i="21"/>
  <c r="K38" i="21"/>
  <c r="K40" i="21"/>
  <c r="K42" i="21"/>
  <c r="K44" i="21"/>
  <c r="K46" i="21"/>
  <c r="K48" i="21"/>
  <c r="K50" i="21"/>
  <c r="K52" i="21"/>
  <c r="K54" i="21"/>
  <c r="K56" i="21"/>
  <c r="K58" i="21"/>
  <c r="K60" i="21"/>
  <c r="K62" i="21"/>
  <c r="K64" i="21"/>
  <c r="K66" i="21"/>
  <c r="K68" i="21"/>
  <c r="K70" i="21"/>
  <c r="K72" i="21"/>
  <c r="K74" i="21"/>
  <c r="K76" i="21"/>
  <c r="K78" i="21"/>
  <c r="K80" i="21"/>
  <c r="K82" i="21"/>
  <c r="K84" i="21"/>
  <c r="K86" i="21"/>
  <c r="K88" i="21"/>
  <c r="K90" i="21"/>
  <c r="K92" i="21"/>
  <c r="K94" i="21"/>
  <c r="K96" i="21"/>
  <c r="K98" i="21"/>
  <c r="K100" i="21"/>
  <c r="K102" i="21"/>
  <c r="K104" i="21"/>
  <c r="K106" i="21"/>
  <c r="K108" i="21"/>
  <c r="K12" i="21"/>
  <c r="K11" i="21"/>
  <c r="K185" i="20"/>
  <c r="BC185" i="20" s="1"/>
  <c r="K186" i="20"/>
  <c r="BC186" i="20" s="1"/>
  <c r="K187" i="20"/>
  <c r="BC187" i="20" s="1"/>
  <c r="K188" i="20"/>
  <c r="BC188" i="20" s="1"/>
  <c r="K193" i="20"/>
  <c r="BC193" i="20" s="1"/>
  <c r="K195" i="20"/>
  <c r="BC195" i="20" s="1"/>
  <c r="K196" i="20"/>
  <c r="BC196" i="20" s="1"/>
  <c r="K197" i="20"/>
  <c r="BC197" i="20" s="1"/>
  <c r="K198" i="20"/>
  <c r="BC198" i="20" s="1"/>
  <c r="K199" i="20"/>
  <c r="BC199" i="20" s="1"/>
  <c r="K200" i="20"/>
  <c r="BC200" i="20" s="1"/>
  <c r="K201" i="20"/>
  <c r="BC201" i="20" s="1"/>
  <c r="K202" i="20"/>
  <c r="BC202" i="20" s="1"/>
  <c r="K203" i="20"/>
  <c r="BC203" i="20" s="1"/>
  <c r="K204" i="20"/>
  <c r="BC204" i="20" s="1"/>
  <c r="K205" i="20"/>
  <c r="BC205" i="20" s="1"/>
  <c r="K206" i="20"/>
  <c r="BC206" i="20" s="1"/>
  <c r="K207" i="20"/>
  <c r="BC207" i="20" s="1"/>
  <c r="K208" i="20"/>
  <c r="BC208" i="20" s="1"/>
  <c r="K209" i="20"/>
  <c r="BC209" i="20" s="1"/>
  <c r="K110" i="20"/>
  <c r="BC110" i="20" s="1"/>
  <c r="K111" i="20"/>
  <c r="BC111" i="20" s="1"/>
  <c r="K112" i="20"/>
  <c r="BC112" i="20" s="1"/>
  <c r="K113" i="20"/>
  <c r="BC113" i="20" s="1"/>
  <c r="K114" i="20"/>
  <c r="BC114" i="20" s="1"/>
  <c r="K115" i="20"/>
  <c r="BC115" i="20" s="1"/>
  <c r="K116" i="20"/>
  <c r="BC116" i="20" s="1"/>
  <c r="K134" i="20"/>
  <c r="BC134" i="20" s="1"/>
  <c r="K135" i="20"/>
  <c r="BC135" i="20" s="1"/>
  <c r="K136" i="20"/>
  <c r="BC136" i="20" s="1"/>
  <c r="K137" i="20"/>
  <c r="BC137" i="20" s="1"/>
  <c r="K138" i="20"/>
  <c r="BC138" i="20" s="1"/>
  <c r="K139" i="20"/>
  <c r="BC139" i="20" s="1"/>
  <c r="K142" i="20"/>
  <c r="BC142" i="20" s="1"/>
  <c r="K143" i="20"/>
  <c r="BC143" i="20" s="1"/>
  <c r="K144" i="20"/>
  <c r="BC144" i="20" s="1"/>
  <c r="K145" i="20"/>
  <c r="BC145" i="20" s="1"/>
  <c r="K146" i="20"/>
  <c r="BC146" i="20" s="1"/>
  <c r="K147" i="20"/>
  <c r="BC147" i="20" s="1"/>
  <c r="K148" i="20"/>
  <c r="BC148" i="20" s="1"/>
  <c r="K149" i="20"/>
  <c r="BC149" i="20" s="1"/>
  <c r="K150" i="20"/>
  <c r="BC150" i="20" s="1"/>
  <c r="K155" i="20"/>
  <c r="BC155" i="20" s="1"/>
  <c r="K156" i="20"/>
  <c r="BC156" i="20" s="1"/>
  <c r="K157" i="20"/>
  <c r="BC157" i="20" s="1"/>
  <c r="K158" i="20"/>
  <c r="BC158" i="20" s="1"/>
  <c r="K163" i="20"/>
  <c r="BC163" i="20" s="1"/>
  <c r="K164" i="20"/>
  <c r="BC164" i="20" s="1"/>
  <c r="K165" i="20"/>
  <c r="BC165" i="20" s="1"/>
  <c r="K166" i="20"/>
  <c r="BC166" i="20" s="1"/>
  <c r="K171" i="20"/>
  <c r="BC171" i="20" s="1"/>
  <c r="K172" i="20"/>
  <c r="BC172" i="20" s="1"/>
  <c r="K173" i="20"/>
  <c r="BC173" i="20" s="1"/>
  <c r="K174" i="20"/>
  <c r="BC174" i="20" s="1"/>
  <c r="K179" i="20"/>
  <c r="BC179" i="20" s="1"/>
  <c r="K180" i="20"/>
  <c r="BC180" i="20" s="1"/>
  <c r="K181" i="20"/>
  <c r="BC181" i="20" s="1"/>
  <c r="K182" i="20"/>
  <c r="BC182" i="20" s="1"/>
  <c r="B22" i="20"/>
  <c r="B22" i="21"/>
  <c r="H10" i="20"/>
  <c r="AX10" i="20" s="1"/>
  <c r="H14" i="20"/>
  <c r="AX14" i="20" s="1"/>
  <c r="H18" i="20"/>
  <c r="AX18" i="20" s="1"/>
  <c r="H22" i="20"/>
  <c r="AX22" i="20" s="1"/>
  <c r="H26" i="20"/>
  <c r="AX26" i="20" s="1"/>
  <c r="H30" i="20"/>
  <c r="AX30" i="20" s="1"/>
  <c r="H34" i="20"/>
  <c r="AX34" i="20" s="1"/>
  <c r="H38" i="20"/>
  <c r="AX38" i="20" s="1"/>
  <c r="H42" i="20"/>
  <c r="AX42" i="20" s="1"/>
  <c r="H46" i="20"/>
  <c r="AX46" i="20" s="1"/>
  <c r="H50" i="20"/>
  <c r="AX50" i="20" s="1"/>
  <c r="H54" i="20"/>
  <c r="AX54" i="20" s="1"/>
  <c r="H58" i="20"/>
  <c r="AX58" i="20" s="1"/>
  <c r="H62" i="20"/>
  <c r="AX62" i="20" s="1"/>
  <c r="H66" i="20"/>
  <c r="AX66" i="20" s="1"/>
  <c r="H70" i="20"/>
  <c r="AX70" i="20" s="1"/>
  <c r="H74" i="20"/>
  <c r="AX74" i="20" s="1"/>
  <c r="H78" i="20"/>
  <c r="AX78" i="20" s="1"/>
  <c r="H82" i="20"/>
  <c r="AX82" i="20" s="1"/>
  <c r="H86" i="20"/>
  <c r="AX86" i="20" s="1"/>
  <c r="H90" i="20"/>
  <c r="AX90" i="20" s="1"/>
  <c r="H94" i="20"/>
  <c r="AX94" i="20" s="1"/>
  <c r="H98" i="20"/>
  <c r="AX98" i="20" s="1"/>
  <c r="H102" i="20"/>
  <c r="AX102" i="20" s="1"/>
  <c r="H106" i="20"/>
  <c r="AX106" i="20" s="1"/>
  <c r="H110" i="20"/>
  <c r="AX110" i="20" s="1"/>
  <c r="H114" i="20"/>
  <c r="AX114" i="20" s="1"/>
  <c r="H118" i="20"/>
  <c r="AX118" i="20" s="1"/>
  <c r="H122" i="20"/>
  <c r="AX122" i="20" s="1"/>
  <c r="H126" i="20"/>
  <c r="AX126" i="20" s="1"/>
  <c r="H130" i="20"/>
  <c r="AX130" i="20" s="1"/>
  <c r="H134" i="20"/>
  <c r="AX134" i="20" s="1"/>
  <c r="H138" i="20"/>
  <c r="AX138" i="20" s="1"/>
  <c r="H142" i="20"/>
  <c r="AX142" i="20" s="1"/>
  <c r="H146" i="20"/>
  <c r="AX146" i="20" s="1"/>
  <c r="H150" i="20"/>
  <c r="AX150" i="20" s="1"/>
  <c r="H154" i="20"/>
  <c r="AX154" i="20" s="1"/>
  <c r="H158" i="20"/>
  <c r="AX158" i="20" s="1"/>
  <c r="H162" i="20"/>
  <c r="AX162" i="20" s="1"/>
  <c r="H166" i="20"/>
  <c r="AX166" i="20" s="1"/>
  <c r="H170" i="20"/>
  <c r="AX170" i="20" s="1"/>
  <c r="H174" i="20"/>
  <c r="AX174" i="20" s="1"/>
  <c r="H178" i="20"/>
  <c r="AX178" i="20" s="1"/>
  <c r="H13" i="20"/>
  <c r="AX13" i="20" s="1"/>
  <c r="H17" i="20"/>
  <c r="AX17" i="20" s="1"/>
  <c r="H21" i="20"/>
  <c r="AX21" i="20" s="1"/>
  <c r="H25" i="20"/>
  <c r="AX25" i="20" s="1"/>
  <c r="H29" i="20"/>
  <c r="AX29" i="20" s="1"/>
  <c r="H33" i="20"/>
  <c r="AX33" i="20" s="1"/>
  <c r="H37" i="20"/>
  <c r="AX37" i="20" s="1"/>
  <c r="H41" i="20"/>
  <c r="AX41" i="20" s="1"/>
  <c r="H45" i="20"/>
  <c r="AX45" i="20" s="1"/>
  <c r="H49" i="20"/>
  <c r="AX49" i="20" s="1"/>
  <c r="H53" i="20"/>
  <c r="AX53" i="20" s="1"/>
  <c r="H57" i="20"/>
  <c r="AX57" i="20" s="1"/>
  <c r="H61" i="20"/>
  <c r="AX61" i="20" s="1"/>
  <c r="H65" i="20"/>
  <c r="AX65" i="20" s="1"/>
  <c r="H69" i="20"/>
  <c r="AX69" i="20" s="1"/>
  <c r="H73" i="20"/>
  <c r="AX73" i="20" s="1"/>
  <c r="H77" i="20"/>
  <c r="AX77" i="20" s="1"/>
  <c r="H81" i="20"/>
  <c r="AX81" i="20" s="1"/>
  <c r="H85" i="20"/>
  <c r="AX85" i="20" s="1"/>
  <c r="H89" i="20"/>
  <c r="AX89" i="20" s="1"/>
  <c r="H93" i="20"/>
  <c r="AX93" i="20" s="1"/>
  <c r="H97" i="20"/>
  <c r="AX97" i="20" s="1"/>
  <c r="H101" i="20"/>
  <c r="AX101" i="20" s="1"/>
  <c r="H105" i="20"/>
  <c r="AX105" i="20" s="1"/>
  <c r="H109" i="20"/>
  <c r="AX109" i="20" s="1"/>
  <c r="H113" i="20"/>
  <c r="AX113" i="20" s="1"/>
  <c r="H117" i="20"/>
  <c r="AX117" i="20" s="1"/>
  <c r="H121" i="20"/>
  <c r="AX121" i="20" s="1"/>
  <c r="H125" i="20"/>
  <c r="AX125" i="20" s="1"/>
  <c r="H129" i="20"/>
  <c r="AX129" i="20" s="1"/>
  <c r="H133" i="20"/>
  <c r="AX133" i="20" s="1"/>
  <c r="H137" i="20"/>
  <c r="AX137" i="20" s="1"/>
  <c r="H141" i="20"/>
  <c r="AX141" i="20" s="1"/>
  <c r="H145" i="20"/>
  <c r="AX145" i="20" s="1"/>
  <c r="H149" i="20"/>
  <c r="AX149" i="20" s="1"/>
  <c r="H153" i="20"/>
  <c r="AX153" i="20" s="1"/>
  <c r="H157" i="20"/>
  <c r="AX157" i="20" s="1"/>
  <c r="H163" i="20"/>
  <c r="AX163" i="20" s="1"/>
  <c r="H171" i="20"/>
  <c r="AX171" i="20" s="1"/>
  <c r="H179" i="20"/>
  <c r="AX179" i="20" s="1"/>
  <c r="H183" i="20"/>
  <c r="AX183" i="20" s="1"/>
  <c r="H187" i="20"/>
  <c r="AX187" i="20" s="1"/>
  <c r="H12" i="20"/>
  <c r="AX12" i="20" s="1"/>
  <c r="H16" i="20"/>
  <c r="AX16" i="20" s="1"/>
  <c r="H20" i="20"/>
  <c r="AX20" i="20" s="1"/>
  <c r="H24" i="20"/>
  <c r="AX24" i="20" s="1"/>
  <c r="H28" i="20"/>
  <c r="AX28" i="20" s="1"/>
  <c r="H32" i="20"/>
  <c r="AX32" i="20" s="1"/>
  <c r="H36" i="20"/>
  <c r="AX36" i="20" s="1"/>
  <c r="H40" i="20"/>
  <c r="AX40" i="20" s="1"/>
  <c r="H44" i="20"/>
  <c r="AX44" i="20" s="1"/>
  <c r="H48" i="20"/>
  <c r="AX48" i="20" s="1"/>
  <c r="H52" i="20"/>
  <c r="AX52" i="20" s="1"/>
  <c r="H56" i="20"/>
  <c r="AX56" i="20" s="1"/>
  <c r="H60" i="20"/>
  <c r="AX60" i="20" s="1"/>
  <c r="H64" i="20"/>
  <c r="AX64" i="20" s="1"/>
  <c r="H68" i="20"/>
  <c r="AX68" i="20" s="1"/>
  <c r="H72" i="20"/>
  <c r="AX72" i="20" s="1"/>
  <c r="H76" i="20"/>
  <c r="AX76" i="20" s="1"/>
  <c r="H80" i="20"/>
  <c r="AX80" i="20" s="1"/>
  <c r="H84" i="20"/>
  <c r="AX84" i="20" s="1"/>
  <c r="H88" i="20"/>
  <c r="AX88" i="20" s="1"/>
  <c r="H92" i="20"/>
  <c r="AX92" i="20" s="1"/>
  <c r="H96" i="20"/>
  <c r="AX96" i="20" s="1"/>
  <c r="H100" i="20"/>
  <c r="AX100" i="20" s="1"/>
  <c r="H104" i="20"/>
  <c r="AX104" i="20" s="1"/>
  <c r="H108" i="20"/>
  <c r="AX108" i="20" s="1"/>
  <c r="H112" i="20"/>
  <c r="AX112" i="20" s="1"/>
  <c r="H116" i="20"/>
  <c r="AX116" i="20" s="1"/>
  <c r="H120" i="20"/>
  <c r="AX120" i="20" s="1"/>
  <c r="H124" i="20"/>
  <c r="AX124" i="20" s="1"/>
  <c r="H128" i="20"/>
  <c r="AX128" i="20" s="1"/>
  <c r="H132" i="20"/>
  <c r="AX132" i="20" s="1"/>
  <c r="H136" i="20"/>
  <c r="AX136" i="20" s="1"/>
  <c r="H140" i="20"/>
  <c r="AX140" i="20" s="1"/>
  <c r="H144" i="20"/>
  <c r="AX144" i="20" s="1"/>
  <c r="H148" i="20"/>
  <c r="AX148" i="20" s="1"/>
  <c r="H152" i="20"/>
  <c r="AX152" i="20" s="1"/>
  <c r="H156" i="20"/>
  <c r="AX156" i="20" s="1"/>
  <c r="H160" i="20"/>
  <c r="AX160" i="20" s="1"/>
  <c r="H164" i="20"/>
  <c r="AX164" i="20" s="1"/>
  <c r="H168" i="20"/>
  <c r="AX168" i="20" s="1"/>
  <c r="H172" i="20"/>
  <c r="AX172" i="20" s="1"/>
  <c r="H176" i="20"/>
  <c r="AX176" i="20" s="1"/>
  <c r="H11" i="20"/>
  <c r="AX11" i="20" s="1"/>
  <c r="H15" i="20"/>
  <c r="AX15" i="20" s="1"/>
  <c r="H19" i="20"/>
  <c r="AX19" i="20" s="1"/>
  <c r="H23" i="20"/>
  <c r="AX23" i="20" s="1"/>
  <c r="H27" i="20"/>
  <c r="AX27" i="20" s="1"/>
  <c r="H31" i="20"/>
  <c r="AX31" i="20" s="1"/>
  <c r="H35" i="20"/>
  <c r="AX35" i="20" s="1"/>
  <c r="H39" i="20"/>
  <c r="AX39" i="20" s="1"/>
  <c r="H43" i="20"/>
  <c r="AX43" i="20" s="1"/>
  <c r="H47" i="20"/>
  <c r="AX47" i="20" s="1"/>
  <c r="H51" i="20"/>
  <c r="AX51" i="20" s="1"/>
  <c r="H55" i="20"/>
  <c r="AX55" i="20" s="1"/>
  <c r="H59" i="20"/>
  <c r="AX59" i="20" s="1"/>
  <c r="H63" i="20"/>
  <c r="AX63" i="20" s="1"/>
  <c r="H67" i="20"/>
  <c r="AX67" i="20" s="1"/>
  <c r="H71" i="20"/>
  <c r="AX71" i="20" s="1"/>
  <c r="H75" i="20"/>
  <c r="AX75" i="20" s="1"/>
  <c r="H79" i="20"/>
  <c r="AX79" i="20" s="1"/>
  <c r="H83" i="20"/>
  <c r="AX83" i="20" s="1"/>
  <c r="H87" i="20"/>
  <c r="AX87" i="20" s="1"/>
  <c r="H91" i="20"/>
  <c r="AX91" i="20" s="1"/>
  <c r="H95" i="20"/>
  <c r="AX95" i="20" s="1"/>
  <c r="H99" i="20"/>
  <c r="AX99" i="20" s="1"/>
  <c r="H103" i="20"/>
  <c r="AX103" i="20" s="1"/>
  <c r="H107" i="20"/>
  <c r="AX107" i="20" s="1"/>
  <c r="H111" i="20"/>
  <c r="AX111" i="20" s="1"/>
  <c r="H115" i="20"/>
  <c r="AX115" i="20" s="1"/>
  <c r="H119" i="20"/>
  <c r="AX119" i="20" s="1"/>
  <c r="H123" i="20"/>
  <c r="AX123" i="20" s="1"/>
  <c r="H127" i="20"/>
  <c r="AX127" i="20" s="1"/>
  <c r="H131" i="20"/>
  <c r="AX131" i="20" s="1"/>
  <c r="H135" i="20"/>
  <c r="AX135" i="20" s="1"/>
  <c r="H139" i="20"/>
  <c r="AX139" i="20" s="1"/>
  <c r="H143" i="20"/>
  <c r="AX143" i="20" s="1"/>
  <c r="H147" i="20"/>
  <c r="AX147" i="20" s="1"/>
  <c r="H151" i="20"/>
  <c r="AX151" i="20" s="1"/>
  <c r="H155" i="20"/>
  <c r="AX155" i="20" s="1"/>
  <c r="H159" i="20"/>
  <c r="AX159" i="20" s="1"/>
  <c r="H167" i="20"/>
  <c r="AX167" i="20" s="1"/>
  <c r="H175" i="20"/>
  <c r="AX175" i="20" s="1"/>
  <c r="H181" i="20"/>
  <c r="AX181" i="20" s="1"/>
  <c r="H185" i="20"/>
  <c r="AX185" i="20" s="1"/>
  <c r="H189" i="20"/>
  <c r="AX189" i="20" s="1"/>
  <c r="H193" i="20"/>
  <c r="AX193" i="20" s="1"/>
  <c r="H197" i="20"/>
  <c r="AX197" i="20" s="1"/>
  <c r="H201" i="20"/>
  <c r="AX201" i="20" s="1"/>
  <c r="H205" i="20"/>
  <c r="AX205" i="20" s="1"/>
  <c r="H209" i="20"/>
  <c r="AX209" i="20" s="1"/>
  <c r="H165" i="20"/>
  <c r="AX165" i="20" s="1"/>
  <c r="H173" i="20"/>
  <c r="AX173" i="20" s="1"/>
  <c r="H180" i="20"/>
  <c r="AX180" i="20" s="1"/>
  <c r="H184" i="20"/>
  <c r="AX184" i="20" s="1"/>
  <c r="H188" i="20"/>
  <c r="AX188" i="20" s="1"/>
  <c r="H192" i="20"/>
  <c r="AX192" i="20" s="1"/>
  <c r="H196" i="20"/>
  <c r="AX196" i="20" s="1"/>
  <c r="H200" i="20"/>
  <c r="AX200" i="20" s="1"/>
  <c r="H204" i="20"/>
  <c r="AX204" i="20" s="1"/>
  <c r="H208" i="20"/>
  <c r="AX208" i="20" s="1"/>
  <c r="H191" i="20"/>
  <c r="AX191" i="20" s="1"/>
  <c r="H195" i="20"/>
  <c r="AX195" i="20" s="1"/>
  <c r="H199" i="20"/>
  <c r="AX199" i="20" s="1"/>
  <c r="H203" i="20"/>
  <c r="AX203" i="20" s="1"/>
  <c r="H207" i="20"/>
  <c r="AX207" i="20" s="1"/>
  <c r="H161" i="20"/>
  <c r="AX161" i="20" s="1"/>
  <c r="H169" i="20"/>
  <c r="AX169" i="20" s="1"/>
  <c r="H177" i="20"/>
  <c r="AX177" i="20" s="1"/>
  <c r="H182" i="20"/>
  <c r="AX182" i="20" s="1"/>
  <c r="H186" i="20"/>
  <c r="AX186" i="20" s="1"/>
  <c r="H190" i="20"/>
  <c r="AX190" i="20" s="1"/>
  <c r="H194" i="20"/>
  <c r="AX194" i="20" s="1"/>
  <c r="H198" i="20"/>
  <c r="AX198" i="20" s="1"/>
  <c r="H202" i="20"/>
  <c r="AX202" i="20" s="1"/>
  <c r="H206" i="20"/>
  <c r="AX206" i="20" s="1"/>
  <c r="H9" i="20"/>
  <c r="AX9" i="20" s="1"/>
  <c r="B43" i="20"/>
  <c r="B41" i="20"/>
  <c r="B77" i="20"/>
  <c r="B39" i="20"/>
  <c r="AZ106" i="20"/>
  <c r="AZ104" i="20"/>
  <c r="AZ101" i="20"/>
  <c r="AZ92" i="20"/>
  <c r="AZ93" i="20"/>
  <c r="AZ85" i="20"/>
  <c r="AZ86" i="20"/>
  <c r="AZ77" i="20"/>
  <c r="AZ70" i="20"/>
  <c r="AZ65" i="20"/>
  <c r="AZ73" i="20"/>
  <c r="AZ62" i="20"/>
  <c r="AZ57" i="20"/>
  <c r="AZ56" i="20"/>
  <c r="AZ52" i="20"/>
  <c r="AZ48" i="20"/>
  <c r="AZ28" i="20"/>
  <c r="AZ17" i="20"/>
  <c r="AZ44" i="20"/>
  <c r="AZ40" i="20"/>
  <c r="AZ36" i="20"/>
  <c r="AZ29" i="20"/>
  <c r="AZ22" i="20"/>
  <c r="AZ16" i="20"/>
  <c r="AZ15" i="20"/>
  <c r="AZ11" i="20"/>
  <c r="AZ108" i="20"/>
  <c r="AZ105" i="20"/>
  <c r="AZ103" i="20"/>
  <c r="AZ99" i="20"/>
  <c r="AZ87" i="20"/>
  <c r="AZ84" i="20"/>
  <c r="AZ69" i="20"/>
  <c r="AZ72" i="20"/>
  <c r="AZ58" i="20"/>
  <c r="AZ53" i="20"/>
  <c r="AZ31" i="20"/>
  <c r="AZ41" i="20"/>
  <c r="AZ30" i="20"/>
  <c r="AZ12" i="20"/>
  <c r="AZ91" i="20"/>
  <c r="AZ78" i="20"/>
  <c r="AZ67" i="20"/>
  <c r="AZ60" i="20"/>
  <c r="AZ55" i="20"/>
  <c r="AZ35" i="20"/>
  <c r="AZ47" i="20"/>
  <c r="AZ39" i="20"/>
  <c r="AZ25" i="20"/>
  <c r="AZ14" i="20"/>
  <c r="AZ10" i="20"/>
  <c r="AZ107" i="20"/>
  <c r="AZ100" i="20"/>
  <c r="AZ96" i="20"/>
  <c r="AZ97" i="20"/>
  <c r="AZ89" i="20"/>
  <c r="AZ90" i="20"/>
  <c r="AZ81" i="20"/>
  <c r="AZ75" i="20"/>
  <c r="AZ68" i="20"/>
  <c r="AZ80" i="20"/>
  <c r="AZ71" i="20"/>
  <c r="AZ59" i="20"/>
  <c r="AZ63" i="20"/>
  <c r="AZ54" i="20"/>
  <c r="AZ50" i="20"/>
  <c r="AZ34" i="20"/>
  <c r="AZ26" i="20"/>
  <c r="AZ46" i="20"/>
  <c r="AZ42" i="20"/>
  <c r="AZ38" i="20"/>
  <c r="AZ32" i="20"/>
  <c r="AZ24" i="20"/>
  <c r="AZ18" i="20"/>
  <c r="AZ19" i="20"/>
  <c r="AZ13" i="20"/>
  <c r="AZ9" i="20"/>
  <c r="AZ109" i="20"/>
  <c r="AZ102" i="20"/>
  <c r="AZ94" i="20"/>
  <c r="AZ95" i="20"/>
  <c r="AZ83" i="20"/>
  <c r="AZ76" i="20"/>
  <c r="AZ82" i="20"/>
  <c r="AZ64" i="20"/>
  <c r="AZ61" i="20"/>
  <c r="AZ49" i="20"/>
  <c r="AZ43" i="20"/>
  <c r="AZ37" i="20"/>
  <c r="AZ23" i="20"/>
  <c r="AZ98" i="20"/>
  <c r="AZ88" i="20"/>
  <c r="AZ74" i="20"/>
  <c r="AZ79" i="20"/>
  <c r="AZ66" i="20"/>
  <c r="AZ51" i="20"/>
  <c r="AZ27" i="20"/>
  <c r="AZ45" i="20"/>
  <c r="AZ33" i="20"/>
  <c r="AZ20" i="20"/>
  <c r="AZ21" i="20"/>
  <c r="B19" i="20"/>
  <c r="B12" i="20"/>
  <c r="B43" i="2"/>
  <c r="B37" i="20"/>
  <c r="B42" i="20"/>
  <c r="K26" i="20"/>
  <c r="BC26" i="20" s="1"/>
  <c r="K10" i="20"/>
  <c r="BC10" i="20" s="1"/>
  <c r="K12" i="20"/>
  <c r="BC12" i="20" s="1"/>
  <c r="K14" i="20"/>
  <c r="BC14" i="20" s="1"/>
  <c r="K16" i="20"/>
  <c r="BC16" i="20" s="1"/>
  <c r="K18" i="20"/>
  <c r="BC18" i="20" s="1"/>
  <c r="K20" i="20"/>
  <c r="BC20" i="20" s="1"/>
  <c r="K25" i="20"/>
  <c r="BC25" i="20" s="1"/>
  <c r="K28" i="20"/>
  <c r="BC28" i="20" s="1"/>
  <c r="K30" i="20"/>
  <c r="BC30" i="20" s="1"/>
  <c r="K32" i="20"/>
  <c r="BC32" i="20" s="1"/>
  <c r="K34" i="20"/>
  <c r="BC34" i="20" s="1"/>
  <c r="K36" i="20"/>
  <c r="BC36" i="20" s="1"/>
  <c r="K38" i="20"/>
  <c r="BC38" i="20" s="1"/>
  <c r="K40" i="20"/>
  <c r="BC40" i="20" s="1"/>
  <c r="K42" i="20"/>
  <c r="BC42" i="20" s="1"/>
  <c r="K44" i="20"/>
  <c r="BC44" i="20" s="1"/>
  <c r="K46" i="20"/>
  <c r="BC46" i="20" s="1"/>
  <c r="K48" i="20"/>
  <c r="BC48" i="20" s="1"/>
  <c r="K50" i="20"/>
  <c r="BC50" i="20" s="1"/>
  <c r="K52" i="20"/>
  <c r="BC52" i="20" s="1"/>
  <c r="K54" i="20"/>
  <c r="BC54" i="20" s="1"/>
  <c r="K56" i="20"/>
  <c r="BC56" i="20" s="1"/>
  <c r="K58" i="20"/>
  <c r="BC58" i="20" s="1"/>
  <c r="K60" i="20"/>
  <c r="BC60" i="20" s="1"/>
  <c r="K62" i="20"/>
  <c r="BC62" i="20" s="1"/>
  <c r="K64" i="20"/>
  <c r="BC64" i="20" s="1"/>
  <c r="K66" i="20"/>
  <c r="BC66" i="20" s="1"/>
  <c r="K68" i="20"/>
  <c r="BC68" i="20" s="1"/>
  <c r="K70" i="20"/>
  <c r="BC70" i="20" s="1"/>
  <c r="K72" i="20"/>
  <c r="BC72" i="20" s="1"/>
  <c r="K74" i="20"/>
  <c r="BC74" i="20" s="1"/>
  <c r="K76" i="20"/>
  <c r="BC76" i="20" s="1"/>
  <c r="K78" i="20"/>
  <c r="BC78" i="20" s="1"/>
  <c r="K80" i="20"/>
  <c r="BC80" i="20" s="1"/>
  <c r="K82" i="20"/>
  <c r="BC82" i="20" s="1"/>
  <c r="K84" i="20"/>
  <c r="BC84" i="20" s="1"/>
  <c r="K86" i="20"/>
  <c r="BC86" i="20" s="1"/>
  <c r="K88" i="20"/>
  <c r="BC88" i="20" s="1"/>
  <c r="K90" i="20"/>
  <c r="BC90" i="20" s="1"/>
  <c r="K92" i="20"/>
  <c r="BC92" i="20" s="1"/>
  <c r="K94" i="20"/>
  <c r="BC94" i="20" s="1"/>
  <c r="K96" i="20"/>
  <c r="BC96" i="20" s="1"/>
  <c r="K98" i="20"/>
  <c r="BC98" i="20" s="1"/>
  <c r="K100" i="20"/>
  <c r="BC100" i="20" s="1"/>
  <c r="K102" i="20"/>
  <c r="BC102" i="20" s="1"/>
  <c r="K104" i="20"/>
  <c r="BC104" i="20" s="1"/>
  <c r="K106" i="20"/>
  <c r="BC106" i="20" s="1"/>
  <c r="K108" i="20"/>
  <c r="BC108" i="20" s="1"/>
  <c r="K9" i="20"/>
  <c r="BC9" i="20" s="1"/>
  <c r="B14" i="20"/>
  <c r="K11" i="20"/>
  <c r="BC11" i="20" s="1"/>
  <c r="K13" i="20"/>
  <c r="BC13" i="20" s="1"/>
  <c r="K15" i="20"/>
  <c r="BC15" i="20" s="1"/>
  <c r="K17" i="20"/>
  <c r="BC17" i="20" s="1"/>
  <c r="K19" i="20"/>
  <c r="BC19" i="20" s="1"/>
  <c r="K24" i="20"/>
  <c r="BC24" i="20" s="1"/>
  <c r="K27" i="20"/>
  <c r="BC27" i="20" s="1"/>
  <c r="K29" i="20"/>
  <c r="BC29" i="20" s="1"/>
  <c r="K31" i="20"/>
  <c r="BC31" i="20" s="1"/>
  <c r="K33" i="20"/>
  <c r="BC33" i="20" s="1"/>
  <c r="K35" i="20"/>
  <c r="BC35" i="20" s="1"/>
  <c r="K37" i="20"/>
  <c r="BC37" i="20" s="1"/>
  <c r="K39" i="20"/>
  <c r="BC39" i="20" s="1"/>
  <c r="K41" i="20"/>
  <c r="BC41" i="20" s="1"/>
  <c r="K43" i="20"/>
  <c r="BC43" i="20" s="1"/>
  <c r="K45" i="20"/>
  <c r="BC45" i="20" s="1"/>
  <c r="K47" i="20"/>
  <c r="BC47" i="20" s="1"/>
  <c r="K49" i="20"/>
  <c r="BC49" i="20" s="1"/>
  <c r="K51" i="20"/>
  <c r="BC51" i="20" s="1"/>
  <c r="K53" i="20"/>
  <c r="BC53" i="20" s="1"/>
  <c r="K55" i="20"/>
  <c r="BC55" i="20" s="1"/>
  <c r="K57" i="20"/>
  <c r="BC57" i="20" s="1"/>
  <c r="K59" i="20"/>
  <c r="BC59" i="20" s="1"/>
  <c r="K61" i="20"/>
  <c r="BC61" i="20" s="1"/>
  <c r="K63" i="20"/>
  <c r="BC63" i="20" s="1"/>
  <c r="K65" i="20"/>
  <c r="BC65" i="20" s="1"/>
  <c r="K67" i="20"/>
  <c r="BC67" i="20" s="1"/>
  <c r="K69" i="20"/>
  <c r="BC69" i="20" s="1"/>
  <c r="K71" i="20"/>
  <c r="BC71" i="20" s="1"/>
  <c r="K73" i="20"/>
  <c r="BC73" i="20" s="1"/>
  <c r="K75" i="20"/>
  <c r="BC75" i="20" s="1"/>
  <c r="K77" i="20"/>
  <c r="BC77" i="20" s="1"/>
  <c r="K79" i="20"/>
  <c r="BC79" i="20" s="1"/>
  <c r="K81" i="20"/>
  <c r="BC81" i="20" s="1"/>
  <c r="K83" i="20"/>
  <c r="BC83" i="20" s="1"/>
  <c r="K85" i="20"/>
  <c r="BC85" i="20" s="1"/>
  <c r="K87" i="20"/>
  <c r="BC87" i="20" s="1"/>
  <c r="K89" i="20"/>
  <c r="BC89" i="20" s="1"/>
  <c r="K91" i="20"/>
  <c r="BC91" i="20" s="1"/>
  <c r="K93" i="20"/>
  <c r="BC93" i="20" s="1"/>
  <c r="K95" i="20"/>
  <c r="BC95" i="20" s="1"/>
  <c r="K97" i="20"/>
  <c r="BC97" i="20" s="1"/>
  <c r="K99" i="20"/>
  <c r="BC99" i="20" s="1"/>
  <c r="K101" i="20"/>
  <c r="BC101" i="20" s="1"/>
  <c r="K103" i="20"/>
  <c r="BC103" i="20" s="1"/>
  <c r="K105" i="20"/>
  <c r="BC105" i="20" s="1"/>
  <c r="K107" i="20"/>
  <c r="BC107" i="20" s="1"/>
  <c r="K109" i="20"/>
  <c r="BC109" i="20" s="1"/>
  <c r="B58" i="20"/>
  <c r="B42" i="2"/>
  <c r="B40" i="2"/>
  <c r="B10" i="2" s="1"/>
  <c r="B81" i="2" s="1"/>
  <c r="D180" i="2"/>
  <c r="B41" i="2"/>
  <c r="D178" i="2"/>
  <c r="H178" i="2"/>
  <c r="D118" i="2"/>
  <c r="D117" i="2"/>
  <c r="D116" i="2"/>
  <c r="D179" i="2"/>
  <c r="D374" i="2"/>
  <c r="B413" i="2"/>
  <c r="B374" i="2"/>
  <c r="C415" i="2"/>
  <c r="B439" i="2"/>
  <c r="K311" i="2"/>
  <c r="A427" i="2"/>
  <c r="B427" i="2"/>
  <c r="D127" i="2"/>
  <c r="B245" i="2"/>
  <c r="B254" i="2"/>
  <c r="B256" i="2"/>
  <c r="B255" i="2"/>
  <c r="B259" i="2" s="1"/>
  <c r="E328" i="2"/>
  <c r="D129" i="2"/>
  <c r="D132" i="2"/>
  <c r="D134" i="2"/>
  <c r="B69" i="2"/>
  <c r="B333" i="2"/>
  <c r="N10" i="8" s="1"/>
  <c r="F3" i="8"/>
  <c r="F159" i="8" s="1"/>
  <c r="F158" i="8" s="1"/>
  <c r="F157" i="8" s="1"/>
  <c r="F156" i="8" s="1"/>
  <c r="F155" i="8" s="1"/>
  <c r="F154" i="8" s="1"/>
  <c r="F153" i="8" s="1"/>
  <c r="F152" i="8" s="1"/>
  <c r="F151" i="8" s="1"/>
  <c r="F150" i="8" s="1"/>
  <c r="F149" i="8" s="1"/>
  <c r="F148" i="8" s="1"/>
  <c r="F147" i="8" s="1"/>
  <c r="F146" i="8" s="1"/>
  <c r="F145" i="8" s="1"/>
  <c r="F144" i="8" s="1"/>
  <c r="F143" i="8" s="1"/>
  <c r="F142" i="8" s="1"/>
  <c r="F141" i="8" s="1"/>
  <c r="F140" i="8" s="1"/>
  <c r="F139" i="8" s="1"/>
  <c r="F138" i="8" s="1"/>
  <c r="F137" i="8" s="1"/>
  <c r="F136" i="8" s="1"/>
  <c r="F135" i="8" s="1"/>
  <c r="F134" i="8" s="1"/>
  <c r="F133" i="8" s="1"/>
  <c r="F132" i="8" s="1"/>
  <c r="F131" i="8" s="1"/>
  <c r="F130" i="8" s="1"/>
  <c r="F129" i="8" s="1"/>
  <c r="F128" i="8" s="1"/>
  <c r="F127" i="8" s="1"/>
  <c r="F126" i="8" s="1"/>
  <c r="F125" i="8" s="1"/>
  <c r="F124" i="8" s="1"/>
  <c r="F123" i="8" s="1"/>
  <c r="F122" i="8" s="1"/>
  <c r="F121" i="8" s="1"/>
  <c r="F120" i="8" s="1"/>
  <c r="F119" i="8" s="1"/>
  <c r="F118" i="8" s="1"/>
  <c r="F117" i="8" s="1"/>
  <c r="F116" i="8" s="1"/>
  <c r="F115" i="8" s="1"/>
  <c r="F114" i="8" s="1"/>
  <c r="F113" i="8" s="1"/>
  <c r="F112" i="8" s="1"/>
  <c r="F111" i="8" s="1"/>
  <c r="F110" i="8" s="1"/>
  <c r="F109" i="8" s="1"/>
  <c r="F108" i="8" s="1"/>
  <c r="F107" i="8" s="1"/>
  <c r="F106" i="8" s="1"/>
  <c r="F105" i="8" s="1"/>
  <c r="F104" i="8" s="1"/>
  <c r="F103" i="8" s="1"/>
  <c r="F102" i="8" s="1"/>
  <c r="F101" i="8" s="1"/>
  <c r="F100" i="8" s="1"/>
  <c r="F99" i="8" s="1"/>
  <c r="F98" i="8" s="1"/>
  <c r="F97" i="8" s="1"/>
  <c r="F96" i="8" s="1"/>
  <c r="F95" i="8" s="1"/>
  <c r="F94" i="8" s="1"/>
  <c r="F93" i="8" s="1"/>
  <c r="F92" i="8" s="1"/>
  <c r="F91" i="8" s="1"/>
  <c r="F90" i="8" s="1"/>
  <c r="F89" i="8" s="1"/>
  <c r="F88" i="8" s="1"/>
  <c r="F87" i="8" s="1"/>
  <c r="F86" i="8" s="1"/>
  <c r="F85" i="8" s="1"/>
  <c r="F84" i="8" s="1"/>
  <c r="F83" i="8" s="1"/>
  <c r="F82" i="8" s="1"/>
  <c r="F81" i="8" s="1"/>
  <c r="F80" i="8" s="1"/>
  <c r="F79" i="8" s="1"/>
  <c r="F78" i="8" s="1"/>
  <c r="F77" i="8" s="1"/>
  <c r="F76" i="8" s="1"/>
  <c r="F75" i="8" s="1"/>
  <c r="F74" i="8" s="1"/>
  <c r="F73" i="8" s="1"/>
  <c r="F72" i="8" s="1"/>
  <c r="F71" i="8" s="1"/>
  <c r="F70" i="8" s="1"/>
  <c r="F69" i="8" s="1"/>
  <c r="F68" i="8" s="1"/>
  <c r="F67" i="8" s="1"/>
  <c r="F66" i="8" s="1"/>
  <c r="F65" i="8" s="1"/>
  <c r="F64" i="8" s="1"/>
  <c r="F63" i="8" s="1"/>
  <c r="F62" i="8" s="1"/>
  <c r="F61" i="8" s="1"/>
  <c r="F60" i="8" s="1"/>
  <c r="F59" i="8" s="1"/>
  <c r="F58" i="8" s="1"/>
  <c r="F57" i="8" s="1"/>
  <c r="F56" i="8" s="1"/>
  <c r="F55" i="8" s="1"/>
  <c r="F54" i="8" s="1"/>
  <c r="F53" i="8" s="1"/>
  <c r="F52" i="8" s="1"/>
  <c r="F51" i="8" s="1"/>
  <c r="F50" i="8" s="1"/>
  <c r="F49" i="8" s="1"/>
  <c r="F48" i="8" s="1"/>
  <c r="F47" i="8" s="1"/>
  <c r="F46" i="8" s="1"/>
  <c r="F45" i="8" s="1"/>
  <c r="F44" i="8" s="1"/>
  <c r="F43" i="8" s="1"/>
  <c r="F42" i="8" s="1"/>
  <c r="F41" i="8" s="1"/>
  <c r="F40" i="8" s="1"/>
  <c r="F39" i="8" s="1"/>
  <c r="F38" i="8" s="1"/>
  <c r="F37" i="8" s="1"/>
  <c r="F36" i="8" s="1"/>
  <c r="F35" i="8" s="1"/>
  <c r="F34" i="8" s="1"/>
  <c r="F33" i="8" s="1"/>
  <c r="F32" i="8" s="1"/>
  <c r="F31" i="8" s="1"/>
  <c r="F30" i="8" s="1"/>
  <c r="F29" i="8" s="1"/>
  <c r="F28" i="8" s="1"/>
  <c r="F27" i="8" s="1"/>
  <c r="F26" i="8" s="1"/>
  <c r="F25" i="8" s="1"/>
  <c r="F24" i="8" s="1"/>
  <c r="F23" i="8" s="1"/>
  <c r="F22" i="8" s="1"/>
  <c r="F21" i="8" s="1"/>
  <c r="F20" i="8" s="1"/>
  <c r="F19" i="8" s="1"/>
  <c r="F18" i="8" s="1"/>
  <c r="F17" i="8" s="1"/>
  <c r="F16" i="8" s="1"/>
  <c r="F15" i="8" s="1"/>
  <c r="F14" i="8" s="1"/>
  <c r="F13" i="8" s="1"/>
  <c r="F12" i="8" s="1"/>
  <c r="F11" i="8" s="1"/>
  <c r="F10" i="8" s="1"/>
  <c r="F9" i="8" s="1"/>
  <c r="F8" i="8" s="1"/>
  <c r="F7" i="8" s="1"/>
  <c r="F6" i="8" s="1"/>
  <c r="F4" i="8" s="1"/>
  <c r="B15" i="2"/>
  <c r="B17" i="2" s="1"/>
  <c r="B293" i="2"/>
  <c r="B14" i="2"/>
  <c r="D160" i="2"/>
  <c r="E78" i="2"/>
  <c r="E79" i="2"/>
  <c r="D162" i="2"/>
  <c r="E80" i="2"/>
  <c r="B145" i="2"/>
  <c r="N149" i="2"/>
  <c r="D102" i="2"/>
  <c r="D149" i="2"/>
  <c r="C51" i="2"/>
  <c r="C72" i="2"/>
  <c r="C90" i="2"/>
  <c r="D60" i="2"/>
  <c r="M102" i="2"/>
  <c r="M104" i="2"/>
  <c r="C92" i="2"/>
  <c r="D62" i="2"/>
  <c r="M103" i="2"/>
  <c r="C52" i="2"/>
  <c r="D103" i="2"/>
  <c r="C74" i="2"/>
  <c r="C53" i="2"/>
  <c r="D151" i="2"/>
  <c r="N151" i="2"/>
  <c r="C73" i="2"/>
  <c r="N150" i="2"/>
  <c r="D61" i="2"/>
  <c r="C91" i="2"/>
  <c r="D104" i="2"/>
  <c r="B147" i="2"/>
  <c r="B146" i="2"/>
  <c r="B53" i="2"/>
  <c r="B58" i="2" s="1"/>
  <c r="B51" i="2"/>
  <c r="B56" i="2" s="1"/>
  <c r="B52" i="2"/>
  <c r="B57" i="2" s="1"/>
  <c r="C48" i="2"/>
  <c r="B48" i="2"/>
  <c r="B205" i="2"/>
  <c r="B3" i="8" s="1"/>
  <c r="B159" i="8" s="1"/>
  <c r="B158" i="8" s="1"/>
  <c r="B157" i="8" s="1"/>
  <c r="B156" i="8" s="1"/>
  <c r="B155" i="8" s="1"/>
  <c r="B154" i="8" s="1"/>
  <c r="B153" i="8" s="1"/>
  <c r="B152" i="8" s="1"/>
  <c r="B151" i="8" s="1"/>
  <c r="B150" i="8" s="1"/>
  <c r="B149" i="8" s="1"/>
  <c r="B148" i="8" s="1"/>
  <c r="B147" i="8" s="1"/>
  <c r="B146" i="8" s="1"/>
  <c r="B145" i="8" s="1"/>
  <c r="B144" i="8" s="1"/>
  <c r="B143" i="8" s="1"/>
  <c r="B142" i="8" s="1"/>
  <c r="B141" i="8" s="1"/>
  <c r="B140" i="8" s="1"/>
  <c r="B139" i="8" s="1"/>
  <c r="B138" i="8" s="1"/>
  <c r="B137" i="8" s="1"/>
  <c r="B136" i="8" s="1"/>
  <c r="B135" i="8" s="1"/>
  <c r="B134" i="8" s="1"/>
  <c r="B133" i="8" s="1"/>
  <c r="B132" i="8" s="1"/>
  <c r="B131" i="8" s="1"/>
  <c r="B130" i="8" s="1"/>
  <c r="B129" i="8" s="1"/>
  <c r="B128" i="8" s="1"/>
  <c r="B127" i="8" s="1"/>
  <c r="B126" i="8" s="1"/>
  <c r="B125" i="8" s="1"/>
  <c r="B124" i="8" s="1"/>
  <c r="B123" i="8" s="1"/>
  <c r="B122" i="8" s="1"/>
  <c r="B121" i="8" s="1"/>
  <c r="B120" i="8" s="1"/>
  <c r="B119" i="8" s="1"/>
  <c r="B118" i="8" s="1"/>
  <c r="B117" i="8" s="1"/>
  <c r="B116" i="8" s="1"/>
  <c r="B115" i="8" s="1"/>
  <c r="B114" i="8" s="1"/>
  <c r="B113" i="8" s="1"/>
  <c r="B112" i="8" s="1"/>
  <c r="B111" i="8" s="1"/>
  <c r="B110" i="8" s="1"/>
  <c r="B109" i="8" s="1"/>
  <c r="B108" i="8" s="1"/>
  <c r="B107" i="8" s="1"/>
  <c r="B106" i="8" s="1"/>
  <c r="B105" i="8" s="1"/>
  <c r="B104" i="8" s="1"/>
  <c r="B103" i="8" s="1"/>
  <c r="B102" i="8" s="1"/>
  <c r="B101" i="8" s="1"/>
  <c r="B100" i="8" s="1"/>
  <c r="B99" i="8" s="1"/>
  <c r="B98" i="8" s="1"/>
  <c r="B97" i="8" s="1"/>
  <c r="B96" i="8" s="1"/>
  <c r="B95" i="8" s="1"/>
  <c r="B94" i="8" s="1"/>
  <c r="B93" i="8" s="1"/>
  <c r="B92" i="8" s="1"/>
  <c r="B91" i="8" s="1"/>
  <c r="B90" i="8" s="1"/>
  <c r="B89" i="8" s="1"/>
  <c r="B88" i="8" s="1"/>
  <c r="B87" i="8" s="1"/>
  <c r="B86" i="8" s="1"/>
  <c r="B85" i="8" s="1"/>
  <c r="B84" i="8" s="1"/>
  <c r="B83" i="8" s="1"/>
  <c r="B82" i="8" s="1"/>
  <c r="B81" i="8" s="1"/>
  <c r="B80" i="8" s="1"/>
  <c r="B79" i="8" s="1"/>
  <c r="B78" i="8" s="1"/>
  <c r="B77" i="8" s="1"/>
  <c r="B76" i="8" s="1"/>
  <c r="B75" i="8" s="1"/>
  <c r="B74" i="8" s="1"/>
  <c r="B73" i="8" s="1"/>
  <c r="B72" i="8" s="1"/>
  <c r="B71" i="8" s="1"/>
  <c r="B70" i="8" s="1"/>
  <c r="B69" i="8" s="1"/>
  <c r="B68" i="8" s="1"/>
  <c r="B67" i="8" s="1"/>
  <c r="B66" i="8" s="1"/>
  <c r="B65" i="8" s="1"/>
  <c r="B64" i="8" s="1"/>
  <c r="B63" i="8" s="1"/>
  <c r="B62" i="8" s="1"/>
  <c r="B61" i="8" s="1"/>
  <c r="B60" i="8" s="1"/>
  <c r="B59" i="8" s="1"/>
  <c r="B58" i="8" s="1"/>
  <c r="B57" i="8" s="1"/>
  <c r="B56" i="8" s="1"/>
  <c r="B55" i="8" s="1"/>
  <c r="B54" i="8" s="1"/>
  <c r="B53" i="8" s="1"/>
  <c r="B52" i="8" s="1"/>
  <c r="B51" i="8" s="1"/>
  <c r="B50" i="8" s="1"/>
  <c r="B49" i="8" s="1"/>
  <c r="B48" i="8" s="1"/>
  <c r="B47" i="8" s="1"/>
  <c r="B46" i="8" s="1"/>
  <c r="B45" i="8" s="1"/>
  <c r="B44" i="8" s="1"/>
  <c r="B43" i="8" s="1"/>
  <c r="B42" i="8" s="1"/>
  <c r="B41" i="8" s="1"/>
  <c r="B40" i="8" s="1"/>
  <c r="B39" i="8" s="1"/>
  <c r="B38" i="8" s="1"/>
  <c r="B37" i="8" s="1"/>
  <c r="B36" i="8" s="1"/>
  <c r="B35" i="8" s="1"/>
  <c r="B34" i="8" s="1"/>
  <c r="B33" i="8" s="1"/>
  <c r="B32" i="8" s="1"/>
  <c r="B31" i="8" s="1"/>
  <c r="B30" i="8" s="1"/>
  <c r="B29" i="8" s="1"/>
  <c r="B28" i="8" s="1"/>
  <c r="B27" i="8" s="1"/>
  <c r="B26" i="8" s="1"/>
  <c r="B25" i="8" s="1"/>
  <c r="B24" i="8" s="1"/>
  <c r="B23" i="8" s="1"/>
  <c r="B22" i="8" s="1"/>
  <c r="B21" i="8" s="1"/>
  <c r="B20" i="8" s="1"/>
  <c r="B19" i="8" s="1"/>
  <c r="B18" i="8" s="1"/>
  <c r="B17" i="8" s="1"/>
  <c r="B16" i="8" s="1"/>
  <c r="B15" i="8" s="1"/>
  <c r="B14" i="8" s="1"/>
  <c r="B13" i="8" s="1"/>
  <c r="B12" i="8" s="1"/>
  <c r="B11" i="8" s="1"/>
  <c r="B10" i="8" s="1"/>
  <c r="B9" i="8" s="1"/>
  <c r="B8" i="8" s="1"/>
  <c r="B7" i="8" s="1"/>
  <c r="B6" i="8" s="1"/>
  <c r="B4" i="8" s="1"/>
  <c r="B437" i="2"/>
  <c r="O21" i="8"/>
  <c r="N4" i="8"/>
  <c r="O4" i="8" s="1"/>
  <c r="E12" i="1" s="1"/>
  <c r="O9" i="8"/>
  <c r="F74" i="1"/>
  <c r="B351" i="2"/>
  <c r="D328" i="2"/>
  <c r="I159" i="8"/>
  <c r="I158" i="8" s="1"/>
  <c r="I157" i="8" s="1"/>
  <c r="I156" i="8" s="1"/>
  <c r="I155" i="8" s="1"/>
  <c r="I154" i="8" s="1"/>
  <c r="I153" i="8" s="1"/>
  <c r="I152" i="8" s="1"/>
  <c r="I151" i="8" s="1"/>
  <c r="I150" i="8" s="1"/>
  <c r="I149" i="8" s="1"/>
  <c r="I148" i="8" s="1"/>
  <c r="I147" i="8" s="1"/>
  <c r="I146" i="8" s="1"/>
  <c r="I145" i="8" s="1"/>
  <c r="I144" i="8" s="1"/>
  <c r="I143" i="8" s="1"/>
  <c r="I142" i="8" s="1"/>
  <c r="I141" i="8" s="1"/>
  <c r="I140" i="8" s="1"/>
  <c r="I139" i="8" s="1"/>
  <c r="I138" i="8" s="1"/>
  <c r="I137" i="8" s="1"/>
  <c r="I136" i="8" s="1"/>
  <c r="I135" i="8" s="1"/>
  <c r="I134" i="8" s="1"/>
  <c r="I133" i="8" s="1"/>
  <c r="I132" i="8" s="1"/>
  <c r="I131" i="8" s="1"/>
  <c r="I130" i="8" s="1"/>
  <c r="I129" i="8" s="1"/>
  <c r="I128" i="8" s="1"/>
  <c r="I127" i="8" s="1"/>
  <c r="I126" i="8" s="1"/>
  <c r="I125" i="8" s="1"/>
  <c r="I124" i="8" s="1"/>
  <c r="I123" i="8" s="1"/>
  <c r="I122" i="8" s="1"/>
  <c r="I121" i="8" s="1"/>
  <c r="I120" i="8" s="1"/>
  <c r="I119" i="8" s="1"/>
  <c r="I118" i="8" s="1"/>
  <c r="I117" i="8" s="1"/>
  <c r="I116" i="8" s="1"/>
  <c r="I115" i="8" s="1"/>
  <c r="I114" i="8" s="1"/>
  <c r="I113" i="8" s="1"/>
  <c r="I112" i="8" s="1"/>
  <c r="I111" i="8" s="1"/>
  <c r="I110" i="8" s="1"/>
  <c r="I109" i="8" s="1"/>
  <c r="I108" i="8" s="1"/>
  <c r="I107" i="8" s="1"/>
  <c r="I106" i="8" s="1"/>
  <c r="I105" i="8" s="1"/>
  <c r="I104" i="8" s="1"/>
  <c r="I103" i="8" s="1"/>
  <c r="I102" i="8" s="1"/>
  <c r="I101" i="8" s="1"/>
  <c r="I100" i="8" s="1"/>
  <c r="I99" i="8" s="1"/>
  <c r="I98" i="8" s="1"/>
  <c r="I97" i="8" s="1"/>
  <c r="I96" i="8" s="1"/>
  <c r="I95" i="8" s="1"/>
  <c r="I94" i="8" s="1"/>
  <c r="I93" i="8" s="1"/>
  <c r="I92" i="8" s="1"/>
  <c r="I91" i="8" s="1"/>
  <c r="I90" i="8" s="1"/>
  <c r="I89" i="8" s="1"/>
  <c r="I88" i="8" s="1"/>
  <c r="I87" i="8" s="1"/>
  <c r="I86" i="8" s="1"/>
  <c r="I85" i="8" s="1"/>
  <c r="I84" i="8" s="1"/>
  <c r="I83" i="8" s="1"/>
  <c r="I82" i="8" s="1"/>
  <c r="I81" i="8" s="1"/>
  <c r="I80" i="8" s="1"/>
  <c r="I79" i="8" s="1"/>
  <c r="I78" i="8" s="1"/>
  <c r="I77" i="8" s="1"/>
  <c r="I76" i="8" s="1"/>
  <c r="I75" i="8" s="1"/>
  <c r="I74" i="8" s="1"/>
  <c r="I73" i="8" s="1"/>
  <c r="I72" i="8" s="1"/>
  <c r="I71" i="8" s="1"/>
  <c r="I70" i="8" s="1"/>
  <c r="I69" i="8" s="1"/>
  <c r="I68" i="8" s="1"/>
  <c r="I67" i="8" s="1"/>
  <c r="I66" i="8" s="1"/>
  <c r="I65" i="8" s="1"/>
  <c r="I64" i="8" s="1"/>
  <c r="I63" i="8" s="1"/>
  <c r="I62" i="8" s="1"/>
  <c r="I61" i="8" s="1"/>
  <c r="I60" i="8" s="1"/>
  <c r="I59" i="8" s="1"/>
  <c r="I58" i="8" s="1"/>
  <c r="I57" i="8" s="1"/>
  <c r="I56" i="8" s="1"/>
  <c r="I55" i="8" s="1"/>
  <c r="I54" i="8" s="1"/>
  <c r="I53" i="8" s="1"/>
  <c r="I52" i="8" s="1"/>
  <c r="I51" i="8" s="1"/>
  <c r="I50" i="8" s="1"/>
  <c r="I49" i="8" s="1"/>
  <c r="I48" i="8" s="1"/>
  <c r="I47" i="8" s="1"/>
  <c r="I46" i="8" s="1"/>
  <c r="I45" i="8" s="1"/>
  <c r="I44" i="8" s="1"/>
  <c r="I43" i="8" s="1"/>
  <c r="I42" i="8" s="1"/>
  <c r="I41" i="8" s="1"/>
  <c r="I40" i="8" s="1"/>
  <c r="I39" i="8" s="1"/>
  <c r="I38" i="8" s="1"/>
  <c r="I37" i="8" s="1"/>
  <c r="I36" i="8" s="1"/>
  <c r="I35" i="8" s="1"/>
  <c r="I34" i="8" s="1"/>
  <c r="I33" i="8" s="1"/>
  <c r="I32" i="8" s="1"/>
  <c r="I31" i="8" s="1"/>
  <c r="I30" i="8" s="1"/>
  <c r="I29" i="8" s="1"/>
  <c r="I28" i="8" s="1"/>
  <c r="I27" i="8" s="1"/>
  <c r="I26" i="8" s="1"/>
  <c r="I25" i="8" s="1"/>
  <c r="I24" i="8" s="1"/>
  <c r="I23" i="8" s="1"/>
  <c r="I22" i="8" s="1"/>
  <c r="I21" i="8" s="1"/>
  <c r="I20" i="8" s="1"/>
  <c r="I19" i="8" s="1"/>
  <c r="I18" i="8" s="1"/>
  <c r="I17" i="8" s="1"/>
  <c r="I16" i="8" s="1"/>
  <c r="I15" i="8" s="1"/>
  <c r="I14" i="8" s="1"/>
  <c r="I13" i="8" s="1"/>
  <c r="I12" i="8" s="1"/>
  <c r="I11" i="8" s="1"/>
  <c r="I10" i="8" s="1"/>
  <c r="I9" i="8" s="1"/>
  <c r="I8" i="8" s="1"/>
  <c r="I7" i="8" s="1"/>
  <c r="I6" i="8" s="1"/>
  <c r="I4" i="8" s="1"/>
  <c r="H159" i="8"/>
  <c r="H158" i="8" s="1"/>
  <c r="H157" i="8" s="1"/>
  <c r="H156" i="8" s="1"/>
  <c r="H155" i="8" s="1"/>
  <c r="H154" i="8" s="1"/>
  <c r="H153" i="8" s="1"/>
  <c r="H152" i="8" s="1"/>
  <c r="H151" i="8" s="1"/>
  <c r="H150" i="8" s="1"/>
  <c r="H149" i="8" s="1"/>
  <c r="H148" i="8" s="1"/>
  <c r="H147" i="8" s="1"/>
  <c r="H146" i="8" s="1"/>
  <c r="H145" i="8" s="1"/>
  <c r="H144" i="8" s="1"/>
  <c r="H143" i="8" s="1"/>
  <c r="H142" i="8" s="1"/>
  <c r="H141" i="8" s="1"/>
  <c r="H140" i="8" s="1"/>
  <c r="H139" i="8" s="1"/>
  <c r="H138" i="8" s="1"/>
  <c r="H137" i="8" s="1"/>
  <c r="H136" i="8" s="1"/>
  <c r="H135" i="8" s="1"/>
  <c r="H134" i="8" s="1"/>
  <c r="H133" i="8" s="1"/>
  <c r="H132" i="8" s="1"/>
  <c r="H131" i="8" s="1"/>
  <c r="H130" i="8" s="1"/>
  <c r="H129" i="8" s="1"/>
  <c r="H128" i="8" s="1"/>
  <c r="H127" i="8" s="1"/>
  <c r="H126" i="8" s="1"/>
  <c r="H125" i="8" s="1"/>
  <c r="H124" i="8" s="1"/>
  <c r="H123" i="8" s="1"/>
  <c r="H122" i="8" s="1"/>
  <c r="H121" i="8" s="1"/>
  <c r="H120" i="8" s="1"/>
  <c r="H119" i="8" s="1"/>
  <c r="H118" i="8" s="1"/>
  <c r="H117" i="8" s="1"/>
  <c r="H116" i="8" s="1"/>
  <c r="H115" i="8" s="1"/>
  <c r="H114" i="8" s="1"/>
  <c r="H113" i="8" s="1"/>
  <c r="H112" i="8" s="1"/>
  <c r="H111" i="8" s="1"/>
  <c r="H110" i="8" s="1"/>
  <c r="H109" i="8" s="1"/>
  <c r="H108" i="8" s="1"/>
  <c r="H107" i="8" s="1"/>
  <c r="H106" i="8" s="1"/>
  <c r="H105" i="8" s="1"/>
  <c r="H104" i="8" s="1"/>
  <c r="H103" i="8" s="1"/>
  <c r="H102" i="8" s="1"/>
  <c r="H101" i="8" s="1"/>
  <c r="H100" i="8" s="1"/>
  <c r="H99" i="8" s="1"/>
  <c r="H98" i="8" s="1"/>
  <c r="H97" i="8" s="1"/>
  <c r="H96" i="8" s="1"/>
  <c r="H95" i="8" s="1"/>
  <c r="H94" i="8" s="1"/>
  <c r="H93" i="8" s="1"/>
  <c r="H92" i="8" s="1"/>
  <c r="H91" i="8" s="1"/>
  <c r="H90" i="8" s="1"/>
  <c r="H89" i="8" s="1"/>
  <c r="H88" i="8" s="1"/>
  <c r="H87" i="8" s="1"/>
  <c r="H86" i="8" s="1"/>
  <c r="H85" i="8" s="1"/>
  <c r="H84" i="8" s="1"/>
  <c r="H83" i="8" s="1"/>
  <c r="H82" i="8" s="1"/>
  <c r="H81" i="8" s="1"/>
  <c r="H80" i="8" s="1"/>
  <c r="H79" i="8" s="1"/>
  <c r="H78" i="8" s="1"/>
  <c r="H77" i="8" s="1"/>
  <c r="H76" i="8" s="1"/>
  <c r="H75" i="8" s="1"/>
  <c r="H74" i="8" s="1"/>
  <c r="H73" i="8" s="1"/>
  <c r="H72" i="8" s="1"/>
  <c r="H71" i="8" s="1"/>
  <c r="H70" i="8" s="1"/>
  <c r="H69" i="8" s="1"/>
  <c r="H68" i="8" s="1"/>
  <c r="H67" i="8" s="1"/>
  <c r="H66" i="8" s="1"/>
  <c r="H65" i="8" s="1"/>
  <c r="H64" i="8" s="1"/>
  <c r="H63" i="8" s="1"/>
  <c r="H62" i="8" s="1"/>
  <c r="H61" i="8" s="1"/>
  <c r="H60" i="8" s="1"/>
  <c r="H59" i="8" s="1"/>
  <c r="H58" i="8" s="1"/>
  <c r="H57" i="8" s="1"/>
  <c r="H56" i="8" s="1"/>
  <c r="H55" i="8" s="1"/>
  <c r="H54" i="8" s="1"/>
  <c r="H53" i="8" s="1"/>
  <c r="H52" i="8" s="1"/>
  <c r="H51" i="8" s="1"/>
  <c r="H50" i="8" s="1"/>
  <c r="H49" i="8" s="1"/>
  <c r="H48" i="8" s="1"/>
  <c r="H47" i="8" s="1"/>
  <c r="H46" i="8" s="1"/>
  <c r="H45" i="8" s="1"/>
  <c r="H44" i="8" s="1"/>
  <c r="H43" i="8" s="1"/>
  <c r="H42" i="8" s="1"/>
  <c r="H41" i="8" s="1"/>
  <c r="H40" i="8" s="1"/>
  <c r="H39" i="8" s="1"/>
  <c r="H38" i="8" s="1"/>
  <c r="H37" i="8" s="1"/>
  <c r="H36" i="8" s="1"/>
  <c r="H35" i="8" s="1"/>
  <c r="H34" i="8" s="1"/>
  <c r="H33" i="8" s="1"/>
  <c r="H32" i="8" s="1"/>
  <c r="H31" i="8" s="1"/>
  <c r="H30" i="8" s="1"/>
  <c r="H29" i="8" s="1"/>
  <c r="H28" i="8" s="1"/>
  <c r="H27" i="8" s="1"/>
  <c r="H26" i="8" s="1"/>
  <c r="H25" i="8" s="1"/>
  <c r="H24" i="8" s="1"/>
  <c r="H23" i="8" s="1"/>
  <c r="H22" i="8" s="1"/>
  <c r="H21" i="8" s="1"/>
  <c r="H20" i="8" s="1"/>
  <c r="H19" i="8" s="1"/>
  <c r="H18" i="8" s="1"/>
  <c r="H17" i="8" s="1"/>
  <c r="H16" i="8" s="1"/>
  <c r="H15" i="8" s="1"/>
  <c r="H14" i="8" s="1"/>
  <c r="H13" i="8" s="1"/>
  <c r="H12" i="8" s="1"/>
  <c r="H11" i="8" s="1"/>
  <c r="H10" i="8" s="1"/>
  <c r="H9" i="8" s="1"/>
  <c r="H8" i="8" s="1"/>
  <c r="H7" i="8" s="1"/>
  <c r="H6" i="8" s="1"/>
  <c r="H4" i="8" s="1"/>
  <c r="O19" i="8" s="1"/>
  <c r="E61" i="1" s="1"/>
  <c r="J159" i="8"/>
  <c r="J158" i="8" s="1"/>
  <c r="J157" i="8" s="1"/>
  <c r="J156" i="8" s="1"/>
  <c r="J155" i="8" s="1"/>
  <c r="J154" i="8" s="1"/>
  <c r="J153" i="8" s="1"/>
  <c r="J152" i="8" s="1"/>
  <c r="J151" i="8" s="1"/>
  <c r="J150" i="8" s="1"/>
  <c r="J149" i="8" s="1"/>
  <c r="J148" i="8" s="1"/>
  <c r="J147" i="8" s="1"/>
  <c r="J146" i="8" s="1"/>
  <c r="J145" i="8" s="1"/>
  <c r="J144" i="8" s="1"/>
  <c r="J143" i="8" s="1"/>
  <c r="J142" i="8" s="1"/>
  <c r="J141" i="8" s="1"/>
  <c r="J140" i="8" s="1"/>
  <c r="J139" i="8" s="1"/>
  <c r="J138" i="8" s="1"/>
  <c r="J137" i="8" s="1"/>
  <c r="J136" i="8" s="1"/>
  <c r="J135" i="8" s="1"/>
  <c r="J134" i="8" s="1"/>
  <c r="J133" i="8" s="1"/>
  <c r="J132" i="8" s="1"/>
  <c r="J131" i="8" s="1"/>
  <c r="J130" i="8" s="1"/>
  <c r="J129" i="8" s="1"/>
  <c r="J128" i="8" s="1"/>
  <c r="J127" i="8" s="1"/>
  <c r="J126" i="8" s="1"/>
  <c r="J125" i="8" s="1"/>
  <c r="J124" i="8" s="1"/>
  <c r="J123" i="8" s="1"/>
  <c r="J122" i="8" s="1"/>
  <c r="J121" i="8" s="1"/>
  <c r="J120" i="8" s="1"/>
  <c r="J119" i="8" s="1"/>
  <c r="J118" i="8" s="1"/>
  <c r="J117" i="8" s="1"/>
  <c r="J116" i="8" s="1"/>
  <c r="J115" i="8" s="1"/>
  <c r="J114" i="8" s="1"/>
  <c r="J113" i="8" s="1"/>
  <c r="J112" i="8" s="1"/>
  <c r="J111" i="8" s="1"/>
  <c r="J110" i="8" s="1"/>
  <c r="J109" i="8" s="1"/>
  <c r="J108" i="8" s="1"/>
  <c r="J107" i="8" s="1"/>
  <c r="J106" i="8" s="1"/>
  <c r="J105" i="8" s="1"/>
  <c r="J104" i="8" s="1"/>
  <c r="J103" i="8" s="1"/>
  <c r="J102" i="8" s="1"/>
  <c r="J101" i="8" s="1"/>
  <c r="J100" i="8" s="1"/>
  <c r="J99" i="8" s="1"/>
  <c r="J98" i="8" s="1"/>
  <c r="J97" i="8" s="1"/>
  <c r="J96" i="8" s="1"/>
  <c r="J95" i="8" s="1"/>
  <c r="J94" i="8" s="1"/>
  <c r="J93" i="8" s="1"/>
  <c r="J92" i="8" s="1"/>
  <c r="J91" i="8" s="1"/>
  <c r="J90" i="8" s="1"/>
  <c r="J89" i="8" s="1"/>
  <c r="J88" i="8" s="1"/>
  <c r="J87" i="8" s="1"/>
  <c r="J86" i="8" s="1"/>
  <c r="J85" i="8" s="1"/>
  <c r="J84" i="8" s="1"/>
  <c r="J83" i="8" s="1"/>
  <c r="J82" i="8" s="1"/>
  <c r="J81" i="8" s="1"/>
  <c r="J80" i="8" s="1"/>
  <c r="J79" i="8" s="1"/>
  <c r="J78" i="8" s="1"/>
  <c r="J77" i="8" s="1"/>
  <c r="J76" i="8" s="1"/>
  <c r="J75" i="8" s="1"/>
  <c r="J74" i="8" s="1"/>
  <c r="J73" i="8" s="1"/>
  <c r="J72" i="8" s="1"/>
  <c r="J71" i="8" s="1"/>
  <c r="J70" i="8" s="1"/>
  <c r="J69" i="8" s="1"/>
  <c r="J68" i="8" s="1"/>
  <c r="J67" i="8" s="1"/>
  <c r="J66" i="8" s="1"/>
  <c r="J65" i="8" s="1"/>
  <c r="J64" i="8" s="1"/>
  <c r="J63" i="8" s="1"/>
  <c r="J62" i="8" s="1"/>
  <c r="J61" i="8" s="1"/>
  <c r="J60" i="8" s="1"/>
  <c r="J59" i="8" s="1"/>
  <c r="J58" i="8" s="1"/>
  <c r="J57" i="8" s="1"/>
  <c r="J56" i="8" s="1"/>
  <c r="J55" i="8" s="1"/>
  <c r="J54" i="8" s="1"/>
  <c r="J53" i="8" s="1"/>
  <c r="J52" i="8" s="1"/>
  <c r="J51" i="8" s="1"/>
  <c r="J50" i="8" s="1"/>
  <c r="J49" i="8" s="1"/>
  <c r="J48" i="8" s="1"/>
  <c r="J47" i="8" s="1"/>
  <c r="J46" i="8" s="1"/>
  <c r="J45" i="8" s="1"/>
  <c r="J44" i="8" s="1"/>
  <c r="J43" i="8" s="1"/>
  <c r="J42" i="8" s="1"/>
  <c r="J41" i="8" s="1"/>
  <c r="J40" i="8" s="1"/>
  <c r="J39" i="8" s="1"/>
  <c r="J38" i="8" s="1"/>
  <c r="J37" i="8" s="1"/>
  <c r="J36" i="8" s="1"/>
  <c r="J35" i="8" s="1"/>
  <c r="J34" i="8" s="1"/>
  <c r="J33" i="8" s="1"/>
  <c r="J32" i="8" s="1"/>
  <c r="J31" i="8" s="1"/>
  <c r="J30" i="8" s="1"/>
  <c r="J29" i="8" s="1"/>
  <c r="J28" i="8" s="1"/>
  <c r="J27" i="8" s="1"/>
  <c r="J26" i="8" s="1"/>
  <c r="J25" i="8" s="1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J14" i="8" s="1"/>
  <c r="J13" i="8" s="1"/>
  <c r="J12" i="8" s="1"/>
  <c r="J11" i="8" s="1"/>
  <c r="J10" i="8" s="1"/>
  <c r="J9" i="8" s="1"/>
  <c r="J8" i="8" s="1"/>
  <c r="J7" i="8" s="1"/>
  <c r="J6" i="8" s="1"/>
  <c r="J4" i="8" s="1"/>
  <c r="B4" i="6"/>
  <c r="B12" i="6" s="1"/>
  <c r="B13" i="6" s="1"/>
  <c r="B95" i="2"/>
  <c r="B312" i="2"/>
  <c r="K3" i="17" s="1"/>
  <c r="B204" i="2"/>
  <c r="E3" i="8"/>
  <c r="E159" i="8" s="1"/>
  <c r="E158" i="8" s="1"/>
  <c r="E157" i="8" s="1"/>
  <c r="E156" i="8" s="1"/>
  <c r="E155" i="8" s="1"/>
  <c r="E154" i="8" s="1"/>
  <c r="E153" i="8" s="1"/>
  <c r="E152" i="8" s="1"/>
  <c r="E151" i="8" s="1"/>
  <c r="E150" i="8" s="1"/>
  <c r="E149" i="8" s="1"/>
  <c r="E148" i="8" s="1"/>
  <c r="E147" i="8" s="1"/>
  <c r="E146" i="8" s="1"/>
  <c r="E145" i="8" s="1"/>
  <c r="E144" i="8" s="1"/>
  <c r="E143" i="8" s="1"/>
  <c r="E142" i="8" s="1"/>
  <c r="E141" i="8" s="1"/>
  <c r="E140" i="8" s="1"/>
  <c r="E139" i="8" s="1"/>
  <c r="E138" i="8" s="1"/>
  <c r="E137" i="8" s="1"/>
  <c r="E136" i="8" s="1"/>
  <c r="E135" i="8" s="1"/>
  <c r="E134" i="8" s="1"/>
  <c r="E133" i="8" s="1"/>
  <c r="E132" i="8" s="1"/>
  <c r="E131" i="8" s="1"/>
  <c r="E130" i="8" s="1"/>
  <c r="E129" i="8" s="1"/>
  <c r="E128" i="8" s="1"/>
  <c r="E127" i="8" s="1"/>
  <c r="E126" i="8" s="1"/>
  <c r="E125" i="8" s="1"/>
  <c r="E124" i="8" s="1"/>
  <c r="E123" i="8" s="1"/>
  <c r="E122" i="8" s="1"/>
  <c r="E121" i="8" s="1"/>
  <c r="E120" i="8" s="1"/>
  <c r="E119" i="8" s="1"/>
  <c r="E118" i="8" s="1"/>
  <c r="E117" i="8" s="1"/>
  <c r="E116" i="8" s="1"/>
  <c r="E115" i="8" s="1"/>
  <c r="E114" i="8" s="1"/>
  <c r="E113" i="8" s="1"/>
  <c r="E112" i="8" s="1"/>
  <c r="E111" i="8" s="1"/>
  <c r="E110" i="8" s="1"/>
  <c r="E109" i="8" s="1"/>
  <c r="E108" i="8" s="1"/>
  <c r="E107" i="8" s="1"/>
  <c r="E106" i="8" s="1"/>
  <c r="E105" i="8" s="1"/>
  <c r="E104" i="8" s="1"/>
  <c r="E103" i="8" s="1"/>
  <c r="E102" i="8" s="1"/>
  <c r="E101" i="8" s="1"/>
  <c r="E100" i="8" s="1"/>
  <c r="E99" i="8" s="1"/>
  <c r="E98" i="8" s="1"/>
  <c r="E97" i="8" s="1"/>
  <c r="E96" i="8" s="1"/>
  <c r="E95" i="8" s="1"/>
  <c r="E94" i="8" s="1"/>
  <c r="E93" i="8" s="1"/>
  <c r="E92" i="8" s="1"/>
  <c r="E91" i="8" s="1"/>
  <c r="E90" i="8" s="1"/>
  <c r="E89" i="8" s="1"/>
  <c r="E88" i="8" s="1"/>
  <c r="E87" i="8" s="1"/>
  <c r="E86" i="8" s="1"/>
  <c r="E85" i="8" s="1"/>
  <c r="E84" i="8" s="1"/>
  <c r="E83" i="8" s="1"/>
  <c r="E82" i="8" s="1"/>
  <c r="E81" i="8" s="1"/>
  <c r="E80" i="8" s="1"/>
  <c r="E79" i="8" s="1"/>
  <c r="E78" i="8" s="1"/>
  <c r="E77" i="8" s="1"/>
  <c r="E76" i="8" s="1"/>
  <c r="E75" i="8" s="1"/>
  <c r="E74" i="8" s="1"/>
  <c r="E73" i="8" s="1"/>
  <c r="E72" i="8" s="1"/>
  <c r="E71" i="8" s="1"/>
  <c r="E70" i="8" s="1"/>
  <c r="E69" i="8" s="1"/>
  <c r="E68" i="8" s="1"/>
  <c r="E67" i="8" s="1"/>
  <c r="E66" i="8" s="1"/>
  <c r="E65" i="8" s="1"/>
  <c r="E64" i="8" s="1"/>
  <c r="E63" i="8" s="1"/>
  <c r="E62" i="8" s="1"/>
  <c r="E61" i="8" s="1"/>
  <c r="E60" i="8" s="1"/>
  <c r="E59" i="8" s="1"/>
  <c r="E58" i="8" s="1"/>
  <c r="E57" i="8" s="1"/>
  <c r="E56" i="8" s="1"/>
  <c r="E55" i="8" s="1"/>
  <c r="E54" i="8" s="1"/>
  <c r="E53" i="8" s="1"/>
  <c r="E52" i="8" s="1"/>
  <c r="E51" i="8" s="1"/>
  <c r="E50" i="8" s="1"/>
  <c r="E49" i="8" s="1"/>
  <c r="E48" i="8" s="1"/>
  <c r="E47" i="8" s="1"/>
  <c r="E46" i="8" s="1"/>
  <c r="E45" i="8" s="1"/>
  <c r="E44" i="8" s="1"/>
  <c r="E43" i="8" s="1"/>
  <c r="E42" i="8" s="1"/>
  <c r="E41" i="8" s="1"/>
  <c r="E40" i="8" s="1"/>
  <c r="E39" i="8" s="1"/>
  <c r="E38" i="8" s="1"/>
  <c r="E37" i="8" s="1"/>
  <c r="E36" i="8" s="1"/>
  <c r="E35" i="8" s="1"/>
  <c r="E34" i="8" s="1"/>
  <c r="E33" i="8" s="1"/>
  <c r="E32" i="8" s="1"/>
  <c r="E31" i="8" s="1"/>
  <c r="E30" i="8" s="1"/>
  <c r="E29" i="8" s="1"/>
  <c r="E28" i="8" s="1"/>
  <c r="E27" i="8" s="1"/>
  <c r="E26" i="8" s="1"/>
  <c r="E25" i="8" s="1"/>
  <c r="E24" i="8" s="1"/>
  <c r="E23" i="8" s="1"/>
  <c r="E22" i="8" s="1"/>
  <c r="E21" i="8" s="1"/>
  <c r="E20" i="8" s="1"/>
  <c r="E19" i="8" s="1"/>
  <c r="E18" i="8" s="1"/>
  <c r="E17" i="8" s="1"/>
  <c r="E16" i="8" s="1"/>
  <c r="E15" i="8" s="1"/>
  <c r="E14" i="8" s="1"/>
  <c r="E13" i="8" s="1"/>
  <c r="E12" i="8" s="1"/>
  <c r="E11" i="8" s="1"/>
  <c r="E10" i="8" s="1"/>
  <c r="E9" i="8" s="1"/>
  <c r="E8" i="8" s="1"/>
  <c r="E7" i="8" s="1"/>
  <c r="E6" i="8" s="1"/>
  <c r="E4" i="8" s="1"/>
  <c r="BC12" i="21" l="1"/>
  <c r="L12" i="21"/>
  <c r="BC106" i="21"/>
  <c r="L106" i="21"/>
  <c r="BC102" i="21"/>
  <c r="L102" i="21"/>
  <c r="BC98" i="21"/>
  <c r="L98" i="21"/>
  <c r="BC94" i="21"/>
  <c r="L94" i="21"/>
  <c r="BC90" i="21"/>
  <c r="L90" i="21"/>
  <c r="BC86" i="21"/>
  <c r="L86" i="21"/>
  <c r="BC82" i="21"/>
  <c r="L82" i="21"/>
  <c r="BC78" i="21"/>
  <c r="L78" i="21"/>
  <c r="BC74" i="21"/>
  <c r="L74" i="21"/>
  <c r="BC70" i="21"/>
  <c r="L70" i="21"/>
  <c r="BC66" i="21"/>
  <c r="L66" i="21"/>
  <c r="BC62" i="21"/>
  <c r="L62" i="21"/>
  <c r="BC58" i="21"/>
  <c r="L58" i="21"/>
  <c r="BC54" i="21"/>
  <c r="L54" i="21"/>
  <c r="BC50" i="21"/>
  <c r="L50" i="21"/>
  <c r="BC46" i="21"/>
  <c r="L46" i="21"/>
  <c r="BC42" i="21"/>
  <c r="L42" i="21"/>
  <c r="BC38" i="21"/>
  <c r="L38" i="21"/>
  <c r="BC34" i="21"/>
  <c r="L34" i="21"/>
  <c r="BC30" i="21"/>
  <c r="L30" i="21"/>
  <c r="BC26" i="21"/>
  <c r="L26" i="21"/>
  <c r="BC22" i="21"/>
  <c r="L22" i="21"/>
  <c r="BC18" i="21"/>
  <c r="L18" i="21"/>
  <c r="BC14" i="21"/>
  <c r="L14" i="21"/>
  <c r="BC10" i="21"/>
  <c r="L10" i="21"/>
  <c r="BC107" i="21"/>
  <c r="L107" i="21"/>
  <c r="BC103" i="21"/>
  <c r="L103" i="21"/>
  <c r="BC99" i="21"/>
  <c r="L99" i="21"/>
  <c r="BC95" i="21"/>
  <c r="L95" i="21"/>
  <c r="BC91" i="21"/>
  <c r="L91" i="21"/>
  <c r="BC87" i="21"/>
  <c r="L87" i="21"/>
  <c r="BC83" i="21"/>
  <c r="L83" i="21"/>
  <c r="BC79" i="21"/>
  <c r="L79" i="21"/>
  <c r="BC75" i="21"/>
  <c r="L75" i="21"/>
  <c r="BC71" i="21"/>
  <c r="L71" i="21"/>
  <c r="BC67" i="21"/>
  <c r="L67" i="21"/>
  <c r="BC63" i="21"/>
  <c r="L63" i="21"/>
  <c r="BC59" i="21"/>
  <c r="L59" i="21"/>
  <c r="BC55" i="21"/>
  <c r="L55" i="21"/>
  <c r="BC51" i="21"/>
  <c r="L51" i="21"/>
  <c r="BC47" i="21"/>
  <c r="L47" i="21"/>
  <c r="BC43" i="21"/>
  <c r="L43" i="21"/>
  <c r="BC39" i="21"/>
  <c r="L39" i="21"/>
  <c r="BC35" i="21"/>
  <c r="L35" i="21"/>
  <c r="BC31" i="21"/>
  <c r="L31" i="21"/>
  <c r="BC27" i="21"/>
  <c r="L27" i="21"/>
  <c r="BC23" i="21"/>
  <c r="L23" i="21"/>
  <c r="BC19" i="21"/>
  <c r="L19" i="21"/>
  <c r="BC15" i="21"/>
  <c r="L15" i="21"/>
  <c r="BC11" i="21"/>
  <c r="L11" i="21"/>
  <c r="BC108" i="21"/>
  <c r="L108" i="21"/>
  <c r="BC104" i="21"/>
  <c r="L104" i="21"/>
  <c r="BC100" i="21"/>
  <c r="L100" i="21"/>
  <c r="BC96" i="21"/>
  <c r="L96" i="21"/>
  <c r="BC92" i="21"/>
  <c r="L92" i="21"/>
  <c r="BC88" i="21"/>
  <c r="L88" i="21"/>
  <c r="BC84" i="21"/>
  <c r="L84" i="21"/>
  <c r="BC80" i="21"/>
  <c r="L80" i="21"/>
  <c r="BC76" i="21"/>
  <c r="L76" i="21"/>
  <c r="BC72" i="21"/>
  <c r="L72" i="21"/>
  <c r="BC68" i="21"/>
  <c r="L68" i="21"/>
  <c r="BC64" i="21"/>
  <c r="L64" i="21"/>
  <c r="BC60" i="21"/>
  <c r="L60" i="21"/>
  <c r="BC56" i="21"/>
  <c r="L56" i="21"/>
  <c r="BC52" i="21"/>
  <c r="L52" i="21"/>
  <c r="BC48" i="21"/>
  <c r="L48" i="21"/>
  <c r="BC44" i="21"/>
  <c r="L44" i="21"/>
  <c r="BC40" i="21"/>
  <c r="L40" i="21"/>
  <c r="BC36" i="21"/>
  <c r="L36" i="21"/>
  <c r="BC32" i="21"/>
  <c r="L32" i="21"/>
  <c r="BC28" i="21"/>
  <c r="L28" i="21"/>
  <c r="BC24" i="21"/>
  <c r="L24" i="21"/>
  <c r="BC20" i="21"/>
  <c r="L20" i="21"/>
  <c r="BC16" i="21"/>
  <c r="L16" i="21"/>
  <c r="BC109" i="21"/>
  <c r="L109" i="21"/>
  <c r="BC105" i="21"/>
  <c r="L105" i="21"/>
  <c r="BC101" i="21"/>
  <c r="L101" i="21"/>
  <c r="BC97" i="21"/>
  <c r="L97" i="21"/>
  <c r="BC93" i="21"/>
  <c r="L93" i="21"/>
  <c r="BC89" i="21"/>
  <c r="L89" i="21"/>
  <c r="BC85" i="21"/>
  <c r="L85" i="21"/>
  <c r="BC81" i="21"/>
  <c r="L81" i="21"/>
  <c r="BC77" i="21"/>
  <c r="L77" i="21"/>
  <c r="BC73" i="21"/>
  <c r="L73" i="21"/>
  <c r="BC69" i="21"/>
  <c r="L69" i="21"/>
  <c r="BC65" i="21"/>
  <c r="L65" i="21"/>
  <c r="BC61" i="21"/>
  <c r="L61" i="21"/>
  <c r="BC57" i="21"/>
  <c r="L57" i="21"/>
  <c r="BC53" i="21"/>
  <c r="L53" i="21"/>
  <c r="BC49" i="21"/>
  <c r="L49" i="21"/>
  <c r="BC45" i="21"/>
  <c r="L45" i="21"/>
  <c r="BC41" i="21"/>
  <c r="L41" i="21"/>
  <c r="BC37" i="21"/>
  <c r="L37" i="21"/>
  <c r="BC33" i="21"/>
  <c r="L33" i="21"/>
  <c r="BC29" i="21"/>
  <c r="L29" i="21"/>
  <c r="BC25" i="21"/>
  <c r="L25" i="21"/>
  <c r="BC21" i="21"/>
  <c r="L21" i="21"/>
  <c r="BC17" i="21"/>
  <c r="L17" i="21"/>
  <c r="BC13" i="21"/>
  <c r="L13" i="21"/>
  <c r="B73" i="21"/>
  <c r="B45" i="21"/>
  <c r="B72" i="21"/>
  <c r="I79" i="21"/>
  <c r="J79" i="21" s="1"/>
  <c r="AY79" i="21" s="1"/>
  <c r="I78" i="21"/>
  <c r="J78" i="21" s="1"/>
  <c r="AY78" i="21" s="1"/>
  <c r="I76" i="21"/>
  <c r="J76" i="21" s="1"/>
  <c r="AY76" i="21" s="1"/>
  <c r="I74" i="21"/>
  <c r="J74" i="21" s="1"/>
  <c r="AY74" i="21" s="1"/>
  <c r="I73" i="21"/>
  <c r="J73" i="21" s="1"/>
  <c r="AY73" i="21" s="1"/>
  <c r="I71" i="21"/>
  <c r="J71" i="21" s="1"/>
  <c r="AY71" i="21" s="1"/>
  <c r="I70" i="21"/>
  <c r="J70" i="21" s="1"/>
  <c r="AY70" i="21" s="1"/>
  <c r="I109" i="21"/>
  <c r="J109" i="21" s="1"/>
  <c r="AY109" i="21" s="1"/>
  <c r="I108" i="21"/>
  <c r="J108" i="21" s="1"/>
  <c r="AY108" i="21" s="1"/>
  <c r="I107" i="21"/>
  <c r="J107" i="21" s="1"/>
  <c r="AY107" i="21" s="1"/>
  <c r="I106" i="21"/>
  <c r="J106" i="21" s="1"/>
  <c r="AY106" i="21" s="1"/>
  <c r="I105" i="21"/>
  <c r="J105" i="21" s="1"/>
  <c r="AY105" i="21" s="1"/>
  <c r="I104" i="21"/>
  <c r="J104" i="21" s="1"/>
  <c r="AY104" i="21" s="1"/>
  <c r="I103" i="21"/>
  <c r="J103" i="21" s="1"/>
  <c r="AY103" i="21" s="1"/>
  <c r="I102" i="21"/>
  <c r="J102" i="21" s="1"/>
  <c r="AY102" i="21" s="1"/>
  <c r="I101" i="21"/>
  <c r="J101" i="21" s="1"/>
  <c r="AY101" i="21" s="1"/>
  <c r="I100" i="21"/>
  <c r="J100" i="21" s="1"/>
  <c r="AY100" i="21" s="1"/>
  <c r="I99" i="21"/>
  <c r="J99" i="21" s="1"/>
  <c r="AY99" i="21" s="1"/>
  <c r="I98" i="21"/>
  <c r="J98" i="21" s="1"/>
  <c r="AY98" i="21" s="1"/>
  <c r="I97" i="21"/>
  <c r="J97" i="21" s="1"/>
  <c r="AY97" i="21" s="1"/>
  <c r="I96" i="21"/>
  <c r="J96" i="21" s="1"/>
  <c r="AY96" i="21" s="1"/>
  <c r="I95" i="21"/>
  <c r="J95" i="21" s="1"/>
  <c r="AY95" i="21" s="1"/>
  <c r="I94" i="21"/>
  <c r="J94" i="21" s="1"/>
  <c r="AY94" i="21" s="1"/>
  <c r="I93" i="21"/>
  <c r="J93" i="21" s="1"/>
  <c r="AY93" i="21" s="1"/>
  <c r="I92" i="21"/>
  <c r="J92" i="21" s="1"/>
  <c r="AY92" i="21" s="1"/>
  <c r="I91" i="21"/>
  <c r="J91" i="21" s="1"/>
  <c r="AY91" i="21" s="1"/>
  <c r="I51" i="21"/>
  <c r="J51" i="21" s="1"/>
  <c r="AY51" i="21" s="1"/>
  <c r="I46" i="21"/>
  <c r="J46" i="21" s="1"/>
  <c r="AY46" i="21" s="1"/>
  <c r="I44" i="21"/>
  <c r="J44" i="21" s="1"/>
  <c r="AY44" i="21" s="1"/>
  <c r="I42" i="21"/>
  <c r="J42" i="21" s="1"/>
  <c r="AY42" i="21" s="1"/>
  <c r="I32" i="21"/>
  <c r="J32" i="21" s="1"/>
  <c r="AY32" i="21" s="1"/>
  <c r="I59" i="21"/>
  <c r="J59" i="21" s="1"/>
  <c r="AY59" i="21" s="1"/>
  <c r="I10" i="21"/>
  <c r="J10" i="21" s="1"/>
  <c r="AY10" i="21" s="1"/>
  <c r="I17" i="21"/>
  <c r="J17" i="21" s="1"/>
  <c r="AY17" i="21" s="1"/>
  <c r="I18" i="21"/>
  <c r="J18" i="21" s="1"/>
  <c r="AY18" i="21" s="1"/>
  <c r="I20" i="21"/>
  <c r="J20" i="21" s="1"/>
  <c r="AY20" i="21" s="1"/>
  <c r="I9" i="21"/>
  <c r="J9" i="21" s="1"/>
  <c r="AY9" i="21" s="1"/>
  <c r="I11" i="21"/>
  <c r="J11" i="21" s="1"/>
  <c r="AY11" i="21" s="1"/>
  <c r="I12" i="21"/>
  <c r="J12" i="21" s="1"/>
  <c r="AY12" i="21" s="1"/>
  <c r="I13" i="21"/>
  <c r="J13" i="21" s="1"/>
  <c r="AY13" i="21" s="1"/>
  <c r="I14" i="21"/>
  <c r="J14" i="21" s="1"/>
  <c r="AY14" i="21" s="1"/>
  <c r="I15" i="21"/>
  <c r="J15" i="21" s="1"/>
  <c r="AY15" i="21" s="1"/>
  <c r="I16" i="21"/>
  <c r="J16" i="21" s="1"/>
  <c r="AY16" i="21" s="1"/>
  <c r="I19" i="21"/>
  <c r="J19" i="21" s="1"/>
  <c r="AY19" i="21" s="1"/>
  <c r="I21" i="21"/>
  <c r="J21" i="21" s="1"/>
  <c r="AY21" i="21" s="1"/>
  <c r="I23" i="21"/>
  <c r="J23" i="21" s="1"/>
  <c r="AY23" i="21" s="1"/>
  <c r="I25" i="21"/>
  <c r="J25" i="21" s="1"/>
  <c r="AY25" i="21" s="1"/>
  <c r="I29" i="21"/>
  <c r="J29" i="21" s="1"/>
  <c r="AY29" i="21" s="1"/>
  <c r="I33" i="21"/>
  <c r="J33" i="21" s="1"/>
  <c r="AY33" i="21" s="1"/>
  <c r="I37" i="21"/>
  <c r="J37" i="21" s="1"/>
  <c r="AY37" i="21" s="1"/>
  <c r="I41" i="21"/>
  <c r="J41" i="21" s="1"/>
  <c r="AY41" i="21" s="1"/>
  <c r="I45" i="21"/>
  <c r="J45" i="21" s="1"/>
  <c r="AY45" i="21" s="1"/>
  <c r="I48" i="21"/>
  <c r="J48" i="21" s="1"/>
  <c r="AY48" i="21" s="1"/>
  <c r="I52" i="21"/>
  <c r="J52" i="21" s="1"/>
  <c r="AY52" i="21" s="1"/>
  <c r="I56" i="21"/>
  <c r="J56" i="21" s="1"/>
  <c r="AY56" i="21" s="1"/>
  <c r="I68" i="21"/>
  <c r="J68" i="21" s="1"/>
  <c r="AY68" i="21" s="1"/>
  <c r="I24" i="21"/>
  <c r="J24" i="21" s="1"/>
  <c r="AY24" i="21" s="1"/>
  <c r="I30" i="21"/>
  <c r="J30" i="21" s="1"/>
  <c r="AY30" i="21" s="1"/>
  <c r="I31" i="21"/>
  <c r="J31" i="21" s="1"/>
  <c r="AY31" i="21" s="1"/>
  <c r="I38" i="21"/>
  <c r="J38" i="21" s="1"/>
  <c r="AY38" i="21" s="1"/>
  <c r="I53" i="21"/>
  <c r="J53" i="21" s="1"/>
  <c r="AY53" i="21" s="1"/>
  <c r="I58" i="21"/>
  <c r="J58" i="21" s="1"/>
  <c r="AY58" i="21" s="1"/>
  <c r="I60" i="21"/>
  <c r="J60" i="21" s="1"/>
  <c r="AY60" i="21" s="1"/>
  <c r="I61" i="21"/>
  <c r="J61" i="21" s="1"/>
  <c r="AY61" i="21" s="1"/>
  <c r="I62" i="21"/>
  <c r="J62" i="21" s="1"/>
  <c r="AY62" i="21" s="1"/>
  <c r="I63" i="21"/>
  <c r="J63" i="21" s="1"/>
  <c r="AY63" i="21" s="1"/>
  <c r="I64" i="21"/>
  <c r="J64" i="21" s="1"/>
  <c r="AY64" i="21" s="1"/>
  <c r="I65" i="21"/>
  <c r="J65" i="21" s="1"/>
  <c r="AY65" i="21" s="1"/>
  <c r="I66" i="21"/>
  <c r="J66" i="21" s="1"/>
  <c r="AY66" i="21" s="1"/>
  <c r="I67" i="21"/>
  <c r="J67" i="21" s="1"/>
  <c r="AY67" i="21" s="1"/>
  <c r="I69" i="21"/>
  <c r="J69" i="21" s="1"/>
  <c r="AY69" i="21" s="1"/>
  <c r="I72" i="21"/>
  <c r="J72" i="21" s="1"/>
  <c r="AY72" i="21" s="1"/>
  <c r="I75" i="21"/>
  <c r="J75" i="21" s="1"/>
  <c r="AY75" i="21" s="1"/>
  <c r="I77" i="21"/>
  <c r="J77" i="21" s="1"/>
  <c r="AY77" i="21" s="1"/>
  <c r="I81" i="21"/>
  <c r="J81" i="21" s="1"/>
  <c r="AY81" i="21" s="1"/>
  <c r="I83" i="21"/>
  <c r="J83" i="21" s="1"/>
  <c r="AY83" i="21" s="1"/>
  <c r="I85" i="21"/>
  <c r="J85" i="21" s="1"/>
  <c r="AY85" i="21" s="1"/>
  <c r="I87" i="21"/>
  <c r="J87" i="21" s="1"/>
  <c r="AY87" i="21" s="1"/>
  <c r="I89" i="21"/>
  <c r="J89" i="21" s="1"/>
  <c r="AY89" i="21" s="1"/>
  <c r="I22" i="21"/>
  <c r="J22" i="21" s="1"/>
  <c r="AY22" i="21" s="1"/>
  <c r="I26" i="21"/>
  <c r="J26" i="21" s="1"/>
  <c r="AY26" i="21" s="1"/>
  <c r="I28" i="21"/>
  <c r="J28" i="21" s="1"/>
  <c r="AY28" i="21" s="1"/>
  <c r="I34" i="21"/>
  <c r="J34" i="21" s="1"/>
  <c r="AY34" i="21" s="1"/>
  <c r="I39" i="21"/>
  <c r="J39" i="21" s="1"/>
  <c r="AY39" i="21" s="1"/>
  <c r="I43" i="21"/>
  <c r="J43" i="21" s="1"/>
  <c r="AY43" i="21" s="1"/>
  <c r="I47" i="21"/>
  <c r="J47" i="21" s="1"/>
  <c r="AY47" i="21" s="1"/>
  <c r="I50" i="21"/>
  <c r="J50" i="21" s="1"/>
  <c r="AY50" i="21" s="1"/>
  <c r="I54" i="21"/>
  <c r="J54" i="21" s="1"/>
  <c r="AY54" i="21" s="1"/>
  <c r="I57" i="21"/>
  <c r="J57" i="21" s="1"/>
  <c r="AY57" i="21" s="1"/>
  <c r="I27" i="21"/>
  <c r="J27" i="21" s="1"/>
  <c r="AY27" i="21" s="1"/>
  <c r="I35" i="21"/>
  <c r="J35" i="21" s="1"/>
  <c r="AY35" i="21" s="1"/>
  <c r="I36" i="21"/>
  <c r="J36" i="21" s="1"/>
  <c r="AY36" i="21" s="1"/>
  <c r="I40" i="21"/>
  <c r="J40" i="21" s="1"/>
  <c r="AY40" i="21" s="1"/>
  <c r="I49" i="21"/>
  <c r="J49" i="21" s="1"/>
  <c r="AY49" i="21" s="1"/>
  <c r="I55" i="21"/>
  <c r="J55" i="21" s="1"/>
  <c r="AY55" i="21" s="1"/>
  <c r="I80" i="21"/>
  <c r="J80" i="21" s="1"/>
  <c r="AY80" i="21" s="1"/>
  <c r="I82" i="21"/>
  <c r="J82" i="21" s="1"/>
  <c r="AY82" i="21" s="1"/>
  <c r="I84" i="21"/>
  <c r="J84" i="21" s="1"/>
  <c r="AY84" i="21" s="1"/>
  <c r="I86" i="21"/>
  <c r="J86" i="21" s="1"/>
  <c r="AY86" i="21" s="1"/>
  <c r="I88" i="21"/>
  <c r="J88" i="21" s="1"/>
  <c r="AY88" i="21" s="1"/>
  <c r="I90" i="21"/>
  <c r="J90" i="21" s="1"/>
  <c r="AY90" i="21" s="1"/>
  <c r="AW79" i="21"/>
  <c r="AW78" i="21"/>
  <c r="AW76" i="21"/>
  <c r="AW74" i="21"/>
  <c r="AW73" i="21"/>
  <c r="AW71" i="21"/>
  <c r="AW70" i="21"/>
  <c r="AW109" i="21"/>
  <c r="AW108" i="21"/>
  <c r="AW107" i="21"/>
  <c r="AW106" i="21"/>
  <c r="AW105" i="21"/>
  <c r="AW104" i="21"/>
  <c r="AW103" i="21"/>
  <c r="AW102" i="21"/>
  <c r="AW101" i="21"/>
  <c r="AW100" i="21"/>
  <c r="AW99" i="21"/>
  <c r="AW98" i="21"/>
  <c r="AW97" i="21"/>
  <c r="AW96" i="21"/>
  <c r="AW95" i="21"/>
  <c r="AW94" i="21"/>
  <c r="AW93" i="21"/>
  <c r="AW92" i="21"/>
  <c r="AW91" i="21"/>
  <c r="AW90" i="21"/>
  <c r="AW89" i="21"/>
  <c r="AW88" i="21"/>
  <c r="AW87" i="21"/>
  <c r="AW86" i="21"/>
  <c r="AW85" i="21"/>
  <c r="AW84" i="21"/>
  <c r="AW83" i="21"/>
  <c r="AW82" i="21"/>
  <c r="AW81" i="21"/>
  <c r="AW80" i="21"/>
  <c r="AW77" i="21"/>
  <c r="AW75" i="21"/>
  <c r="AW72" i="21"/>
  <c r="AW69" i="21"/>
  <c r="AW67" i="21"/>
  <c r="AW66" i="21"/>
  <c r="AW65" i="21"/>
  <c r="AW64" i="21"/>
  <c r="AW63" i="21"/>
  <c r="AW62" i="21"/>
  <c r="AW61" i="21"/>
  <c r="AW60" i="21"/>
  <c r="AW58" i="21"/>
  <c r="AW55" i="21"/>
  <c r="AW53" i="21"/>
  <c r="AW51" i="21"/>
  <c r="AW49" i="21"/>
  <c r="AW46" i="21"/>
  <c r="AW44" i="21"/>
  <c r="AW42" i="21"/>
  <c r="AW40" i="21"/>
  <c r="AW38" i="21"/>
  <c r="AW36" i="21"/>
  <c r="AW35" i="21"/>
  <c r="AW32" i="21"/>
  <c r="AW31" i="21"/>
  <c r="AW30" i="21"/>
  <c r="AW27" i="21"/>
  <c r="AW24" i="21"/>
  <c r="AW22" i="21"/>
  <c r="AW21" i="21"/>
  <c r="AW68" i="21"/>
  <c r="AW59" i="21"/>
  <c r="AW57" i="21"/>
  <c r="AW56" i="21"/>
  <c r="AW54" i="21"/>
  <c r="AW52" i="21"/>
  <c r="AW50" i="21"/>
  <c r="AW48" i="21"/>
  <c r="AW47" i="21"/>
  <c r="AW45" i="21"/>
  <c r="AW43" i="21"/>
  <c r="AW41" i="21"/>
  <c r="AW39" i="21"/>
  <c r="AW37" i="21"/>
  <c r="AW34" i="21"/>
  <c r="AW33" i="21"/>
  <c r="AW29" i="21"/>
  <c r="AW28" i="21"/>
  <c r="AW26" i="21"/>
  <c r="AW25" i="21"/>
  <c r="AW23" i="21"/>
  <c r="AW19" i="21"/>
  <c r="AW16" i="21"/>
  <c r="AW15" i="21"/>
  <c r="AW14" i="21"/>
  <c r="AW13" i="21"/>
  <c r="AW12" i="21"/>
  <c r="AW11" i="21"/>
  <c r="AW9" i="21"/>
  <c r="AW186" i="20"/>
  <c r="AW188" i="20"/>
  <c r="AW189" i="20"/>
  <c r="AW191" i="20"/>
  <c r="AW196" i="20"/>
  <c r="AW198" i="20"/>
  <c r="AW200" i="20"/>
  <c r="AW202" i="20"/>
  <c r="AW204" i="20"/>
  <c r="AW206" i="20"/>
  <c r="AW208" i="20"/>
  <c r="AW110" i="20"/>
  <c r="AW112" i="20"/>
  <c r="AW114" i="20"/>
  <c r="AW116" i="20"/>
  <c r="AW117" i="20"/>
  <c r="AW119" i="20"/>
  <c r="AW121" i="20"/>
  <c r="AW123" i="20"/>
  <c r="AW125" i="20"/>
  <c r="AW127" i="20"/>
  <c r="AW129" i="20"/>
  <c r="AW131" i="20"/>
  <c r="AW133" i="20"/>
  <c r="AW134" i="20"/>
  <c r="AW136" i="20"/>
  <c r="AW138" i="20"/>
  <c r="AW141" i="20"/>
  <c r="AW142" i="20"/>
  <c r="AW144" i="20"/>
  <c r="AW146" i="20"/>
  <c r="AW148" i="20"/>
  <c r="AW150" i="20"/>
  <c r="AW151" i="20"/>
  <c r="AW153" i="20"/>
  <c r="AW156" i="20"/>
  <c r="AW158" i="20"/>
  <c r="AW159" i="20"/>
  <c r="AW161" i="20"/>
  <c r="AW164" i="20"/>
  <c r="AW166" i="20"/>
  <c r="AW167" i="20"/>
  <c r="AW169" i="20"/>
  <c r="AW172" i="20"/>
  <c r="AW174" i="20"/>
  <c r="AW175" i="20"/>
  <c r="AW177" i="20"/>
  <c r="AW180" i="20"/>
  <c r="AW182" i="20"/>
  <c r="AW183" i="20"/>
  <c r="AW20" i="21"/>
  <c r="AW18" i="21"/>
  <c r="AW17" i="21"/>
  <c r="AW10" i="21"/>
  <c r="AW185" i="20"/>
  <c r="AW187" i="20"/>
  <c r="AW190" i="20"/>
  <c r="AW192" i="20"/>
  <c r="AW193" i="20"/>
  <c r="AW194" i="20"/>
  <c r="AW195" i="20"/>
  <c r="AW197" i="20"/>
  <c r="AW199" i="20"/>
  <c r="AW201" i="20"/>
  <c r="AW203" i="20"/>
  <c r="AW205" i="20"/>
  <c r="AW207" i="20"/>
  <c r="AW209" i="20"/>
  <c r="AW111" i="20"/>
  <c r="AW113" i="20"/>
  <c r="AW115" i="20"/>
  <c r="AW118" i="20"/>
  <c r="AW120" i="20"/>
  <c r="AW122" i="20"/>
  <c r="AW124" i="20"/>
  <c r="AW126" i="20"/>
  <c r="AW128" i="20"/>
  <c r="AW130" i="20"/>
  <c r="AW132" i="20"/>
  <c r="AW135" i="20"/>
  <c r="AW137" i="20"/>
  <c r="AW139" i="20"/>
  <c r="AW140" i="20"/>
  <c r="AW143" i="20"/>
  <c r="AW145" i="20"/>
  <c r="AW147" i="20"/>
  <c r="AW149" i="20"/>
  <c r="AW152" i="20"/>
  <c r="AW154" i="20"/>
  <c r="AW155" i="20"/>
  <c r="AW157" i="20"/>
  <c r="AW160" i="20"/>
  <c r="AW162" i="20"/>
  <c r="AW163" i="20"/>
  <c r="AW165" i="20"/>
  <c r="AW168" i="20"/>
  <c r="AW170" i="20"/>
  <c r="AW171" i="20"/>
  <c r="AW173" i="20"/>
  <c r="AW176" i="20"/>
  <c r="AW178" i="20"/>
  <c r="AW179" i="20"/>
  <c r="AW181" i="20"/>
  <c r="AW184" i="20"/>
  <c r="L206" i="20"/>
  <c r="I206" i="20"/>
  <c r="J206" i="20" s="1"/>
  <c r="AY206" i="20" s="1"/>
  <c r="L198" i="20"/>
  <c r="I198" i="20"/>
  <c r="J198" i="20" s="1"/>
  <c r="AY198" i="20" s="1"/>
  <c r="L190" i="20"/>
  <c r="I190" i="20"/>
  <c r="J190" i="20" s="1"/>
  <c r="AY190" i="20" s="1"/>
  <c r="I182" i="20"/>
  <c r="J182" i="20" s="1"/>
  <c r="AY182" i="20" s="1"/>
  <c r="L182" i="20"/>
  <c r="L169" i="20"/>
  <c r="I169" i="20"/>
  <c r="J169" i="20" s="1"/>
  <c r="AY169" i="20" s="1"/>
  <c r="I207" i="20"/>
  <c r="J207" i="20" s="1"/>
  <c r="AY207" i="20" s="1"/>
  <c r="L207" i="20"/>
  <c r="L199" i="20"/>
  <c r="I199" i="20"/>
  <c r="J199" i="20" s="1"/>
  <c r="AY199" i="20" s="1"/>
  <c r="I191" i="20"/>
  <c r="J191" i="20" s="1"/>
  <c r="AY191" i="20" s="1"/>
  <c r="L191" i="20"/>
  <c r="I204" i="20"/>
  <c r="J204" i="20" s="1"/>
  <c r="AY204" i="20" s="1"/>
  <c r="L204" i="20"/>
  <c r="L196" i="20"/>
  <c r="I196" i="20"/>
  <c r="J196" i="20" s="1"/>
  <c r="AY196" i="20" s="1"/>
  <c r="I188" i="20"/>
  <c r="J188" i="20" s="1"/>
  <c r="AY188" i="20" s="1"/>
  <c r="L188" i="20"/>
  <c r="L180" i="20"/>
  <c r="I180" i="20"/>
  <c r="J180" i="20" s="1"/>
  <c r="AY180" i="20" s="1"/>
  <c r="I165" i="20"/>
  <c r="J165" i="20" s="1"/>
  <c r="AY165" i="20" s="1"/>
  <c r="L165" i="20"/>
  <c r="L205" i="20"/>
  <c r="I205" i="20"/>
  <c r="J205" i="20" s="1"/>
  <c r="AY205" i="20" s="1"/>
  <c r="I197" i="20"/>
  <c r="J197" i="20" s="1"/>
  <c r="AY197" i="20" s="1"/>
  <c r="L197" i="20"/>
  <c r="I189" i="20"/>
  <c r="J189" i="20" s="1"/>
  <c r="AY189" i="20" s="1"/>
  <c r="L189" i="20"/>
  <c r="I181" i="20"/>
  <c r="J181" i="20" s="1"/>
  <c r="AY181" i="20" s="1"/>
  <c r="L181" i="20"/>
  <c r="I167" i="20"/>
  <c r="J167" i="20" s="1"/>
  <c r="AY167" i="20" s="1"/>
  <c r="L167" i="20"/>
  <c r="I155" i="20"/>
  <c r="J155" i="20" s="1"/>
  <c r="AY155" i="20" s="1"/>
  <c r="L155" i="20"/>
  <c r="I147" i="20"/>
  <c r="J147" i="20" s="1"/>
  <c r="AY147" i="20" s="1"/>
  <c r="L147" i="20"/>
  <c r="I139" i="20"/>
  <c r="J139" i="20" s="1"/>
  <c r="AY139" i="20" s="1"/>
  <c r="L139" i="20"/>
  <c r="I131" i="20"/>
  <c r="J131" i="20" s="1"/>
  <c r="AY131" i="20" s="1"/>
  <c r="L131" i="20"/>
  <c r="I123" i="20"/>
  <c r="J123" i="20" s="1"/>
  <c r="AY123" i="20" s="1"/>
  <c r="L123" i="20"/>
  <c r="I115" i="20"/>
  <c r="J115" i="20" s="1"/>
  <c r="AY115" i="20" s="1"/>
  <c r="L115" i="20"/>
  <c r="L172" i="20"/>
  <c r="I172" i="20"/>
  <c r="J172" i="20" s="1"/>
  <c r="AY172" i="20" s="1"/>
  <c r="L164" i="20"/>
  <c r="I164" i="20"/>
  <c r="J164" i="20" s="1"/>
  <c r="AY164" i="20" s="1"/>
  <c r="L156" i="20"/>
  <c r="I156" i="20"/>
  <c r="J156" i="20" s="1"/>
  <c r="AY156" i="20" s="1"/>
  <c r="L148" i="20"/>
  <c r="I148" i="20"/>
  <c r="J148" i="20" s="1"/>
  <c r="AY148" i="20" s="1"/>
  <c r="L140" i="20"/>
  <c r="I140" i="20"/>
  <c r="J140" i="20" s="1"/>
  <c r="AY140" i="20" s="1"/>
  <c r="L132" i="20"/>
  <c r="I132" i="20"/>
  <c r="J132" i="20" s="1"/>
  <c r="AY132" i="20" s="1"/>
  <c r="L124" i="20"/>
  <c r="I124" i="20"/>
  <c r="J124" i="20" s="1"/>
  <c r="AY124" i="20" s="1"/>
  <c r="L116" i="20"/>
  <c r="I116" i="20"/>
  <c r="J116" i="20" s="1"/>
  <c r="AY116" i="20" s="1"/>
  <c r="L183" i="20"/>
  <c r="I183" i="20"/>
  <c r="J183" i="20" s="1"/>
  <c r="AY183" i="20" s="1"/>
  <c r="L171" i="20"/>
  <c r="I171" i="20"/>
  <c r="J171" i="20" s="1"/>
  <c r="AY171" i="20" s="1"/>
  <c r="L157" i="20"/>
  <c r="I157" i="20"/>
  <c r="J157" i="20" s="1"/>
  <c r="AY157" i="20" s="1"/>
  <c r="L149" i="20"/>
  <c r="I149" i="20"/>
  <c r="J149" i="20" s="1"/>
  <c r="AY149" i="20" s="1"/>
  <c r="L141" i="20"/>
  <c r="I141" i="20"/>
  <c r="J141" i="20" s="1"/>
  <c r="AY141" i="20" s="1"/>
  <c r="L133" i="20"/>
  <c r="I133" i="20"/>
  <c r="J133" i="20" s="1"/>
  <c r="AY133" i="20" s="1"/>
  <c r="L125" i="20"/>
  <c r="I125" i="20"/>
  <c r="J125" i="20" s="1"/>
  <c r="AY125" i="20" s="1"/>
  <c r="L117" i="20"/>
  <c r="I117" i="20"/>
  <c r="J117" i="20" s="1"/>
  <c r="AY117" i="20" s="1"/>
  <c r="I174" i="20"/>
  <c r="J174" i="20" s="1"/>
  <c r="AY174" i="20" s="1"/>
  <c r="L174" i="20"/>
  <c r="I166" i="20"/>
  <c r="J166" i="20" s="1"/>
  <c r="AY166" i="20" s="1"/>
  <c r="L166" i="20"/>
  <c r="I158" i="20"/>
  <c r="J158" i="20" s="1"/>
  <c r="AY158" i="20" s="1"/>
  <c r="L158" i="20"/>
  <c r="I150" i="20"/>
  <c r="J150" i="20" s="1"/>
  <c r="AY150" i="20" s="1"/>
  <c r="L150" i="20"/>
  <c r="L142" i="20"/>
  <c r="I142" i="20"/>
  <c r="J142" i="20" s="1"/>
  <c r="AY142" i="20" s="1"/>
  <c r="L134" i="20"/>
  <c r="I134" i="20"/>
  <c r="J134" i="20" s="1"/>
  <c r="AY134" i="20" s="1"/>
  <c r="L126" i="20"/>
  <c r="I126" i="20"/>
  <c r="J126" i="20" s="1"/>
  <c r="AY126" i="20" s="1"/>
  <c r="I118" i="20"/>
  <c r="J118" i="20" s="1"/>
  <c r="AY118" i="20" s="1"/>
  <c r="L118" i="20"/>
  <c r="L110" i="20"/>
  <c r="I110" i="20"/>
  <c r="J110" i="20" s="1"/>
  <c r="AY110" i="20" s="1"/>
  <c r="I202" i="20"/>
  <c r="J202" i="20" s="1"/>
  <c r="AY202" i="20" s="1"/>
  <c r="L202" i="20"/>
  <c r="L194" i="20"/>
  <c r="I194" i="20"/>
  <c r="J194" i="20" s="1"/>
  <c r="AY194" i="20" s="1"/>
  <c r="I186" i="20"/>
  <c r="J186" i="20" s="1"/>
  <c r="AY186" i="20" s="1"/>
  <c r="L186" i="20"/>
  <c r="L177" i="20"/>
  <c r="I177" i="20"/>
  <c r="J177" i="20" s="1"/>
  <c r="AY177" i="20" s="1"/>
  <c r="L161" i="20"/>
  <c r="I161" i="20"/>
  <c r="J161" i="20" s="1"/>
  <c r="AY161" i="20" s="1"/>
  <c r="L203" i="20"/>
  <c r="I203" i="20"/>
  <c r="J203" i="20" s="1"/>
  <c r="AY203" i="20" s="1"/>
  <c r="L195" i="20"/>
  <c r="I195" i="20"/>
  <c r="J195" i="20" s="1"/>
  <c r="AY195" i="20" s="1"/>
  <c r="I208" i="20"/>
  <c r="J208" i="20" s="1"/>
  <c r="AY208" i="20" s="1"/>
  <c r="L208" i="20"/>
  <c r="I200" i="20"/>
  <c r="J200" i="20" s="1"/>
  <c r="AY200" i="20" s="1"/>
  <c r="L200" i="20"/>
  <c r="I192" i="20"/>
  <c r="J192" i="20" s="1"/>
  <c r="AY192" i="20" s="1"/>
  <c r="L192" i="20"/>
  <c r="L184" i="20"/>
  <c r="I184" i="20"/>
  <c r="J184" i="20" s="1"/>
  <c r="AY184" i="20" s="1"/>
  <c r="I173" i="20"/>
  <c r="J173" i="20" s="1"/>
  <c r="AY173" i="20" s="1"/>
  <c r="L173" i="20"/>
  <c r="I209" i="20"/>
  <c r="J209" i="20" s="1"/>
  <c r="AY209" i="20" s="1"/>
  <c r="L209" i="20"/>
  <c r="I201" i="20"/>
  <c r="J201" i="20" s="1"/>
  <c r="AY201" i="20" s="1"/>
  <c r="L201" i="20"/>
  <c r="L193" i="20"/>
  <c r="I193" i="20"/>
  <c r="J193" i="20" s="1"/>
  <c r="AY193" i="20" s="1"/>
  <c r="I185" i="20"/>
  <c r="J185" i="20" s="1"/>
  <c r="AY185" i="20" s="1"/>
  <c r="L185" i="20"/>
  <c r="I175" i="20"/>
  <c r="J175" i="20" s="1"/>
  <c r="AY175" i="20" s="1"/>
  <c r="L175" i="20"/>
  <c r="I159" i="20"/>
  <c r="J159" i="20" s="1"/>
  <c r="AY159" i="20" s="1"/>
  <c r="L159" i="20"/>
  <c r="I151" i="20"/>
  <c r="J151" i="20" s="1"/>
  <c r="AY151" i="20" s="1"/>
  <c r="L151" i="20"/>
  <c r="I143" i="20"/>
  <c r="J143" i="20" s="1"/>
  <c r="AY143" i="20" s="1"/>
  <c r="L143" i="20"/>
  <c r="I135" i="20"/>
  <c r="J135" i="20" s="1"/>
  <c r="AY135" i="20" s="1"/>
  <c r="L135" i="20"/>
  <c r="I127" i="20"/>
  <c r="J127" i="20" s="1"/>
  <c r="AY127" i="20" s="1"/>
  <c r="L127" i="20"/>
  <c r="I119" i="20"/>
  <c r="J119" i="20" s="1"/>
  <c r="AY119" i="20" s="1"/>
  <c r="L119" i="20"/>
  <c r="I111" i="20"/>
  <c r="J111" i="20" s="1"/>
  <c r="AY111" i="20" s="1"/>
  <c r="L111" i="20"/>
  <c r="L176" i="20"/>
  <c r="I176" i="20"/>
  <c r="J176" i="20" s="1"/>
  <c r="AY176" i="20" s="1"/>
  <c r="L168" i="20"/>
  <c r="I168" i="20"/>
  <c r="J168" i="20" s="1"/>
  <c r="AY168" i="20" s="1"/>
  <c r="L160" i="20"/>
  <c r="I160" i="20"/>
  <c r="J160" i="20" s="1"/>
  <c r="AY160" i="20" s="1"/>
  <c r="L152" i="20"/>
  <c r="I152" i="20"/>
  <c r="J152" i="20" s="1"/>
  <c r="AY152" i="20" s="1"/>
  <c r="L144" i="20"/>
  <c r="I144" i="20"/>
  <c r="J144" i="20" s="1"/>
  <c r="AY144" i="20" s="1"/>
  <c r="L136" i="20"/>
  <c r="I136" i="20"/>
  <c r="J136" i="20" s="1"/>
  <c r="AY136" i="20" s="1"/>
  <c r="L128" i="20"/>
  <c r="I128" i="20"/>
  <c r="J128" i="20" s="1"/>
  <c r="AY128" i="20" s="1"/>
  <c r="L120" i="20"/>
  <c r="I120" i="20"/>
  <c r="J120" i="20" s="1"/>
  <c r="AY120" i="20" s="1"/>
  <c r="L112" i="20"/>
  <c r="I112" i="20"/>
  <c r="J112" i="20" s="1"/>
  <c r="AY112" i="20" s="1"/>
  <c r="I187" i="20"/>
  <c r="J187" i="20" s="1"/>
  <c r="AY187" i="20" s="1"/>
  <c r="L187" i="20"/>
  <c r="L179" i="20"/>
  <c r="I179" i="20"/>
  <c r="J179" i="20" s="1"/>
  <c r="AY179" i="20" s="1"/>
  <c r="L163" i="20"/>
  <c r="I163" i="20"/>
  <c r="J163" i="20" s="1"/>
  <c r="AY163" i="20" s="1"/>
  <c r="L153" i="20"/>
  <c r="I153" i="20"/>
  <c r="J153" i="20" s="1"/>
  <c r="AY153" i="20" s="1"/>
  <c r="L145" i="20"/>
  <c r="I145" i="20"/>
  <c r="J145" i="20" s="1"/>
  <c r="AY145" i="20" s="1"/>
  <c r="L137" i="20"/>
  <c r="I137" i="20"/>
  <c r="J137" i="20" s="1"/>
  <c r="AY137" i="20" s="1"/>
  <c r="L129" i="20"/>
  <c r="I129" i="20"/>
  <c r="J129" i="20" s="1"/>
  <c r="AY129" i="20" s="1"/>
  <c r="I121" i="20"/>
  <c r="J121" i="20" s="1"/>
  <c r="AY121" i="20" s="1"/>
  <c r="L121" i="20"/>
  <c r="L113" i="20"/>
  <c r="I113" i="20"/>
  <c r="J113" i="20" s="1"/>
  <c r="AY113" i="20" s="1"/>
  <c r="I178" i="20"/>
  <c r="J178" i="20" s="1"/>
  <c r="AY178" i="20" s="1"/>
  <c r="L178" i="20"/>
  <c r="I170" i="20"/>
  <c r="J170" i="20" s="1"/>
  <c r="AY170" i="20" s="1"/>
  <c r="L170" i="20"/>
  <c r="I162" i="20"/>
  <c r="J162" i="20" s="1"/>
  <c r="AY162" i="20" s="1"/>
  <c r="L162" i="20"/>
  <c r="I154" i="20"/>
  <c r="J154" i="20" s="1"/>
  <c r="AY154" i="20" s="1"/>
  <c r="L154" i="20"/>
  <c r="L146" i="20"/>
  <c r="I146" i="20"/>
  <c r="J146" i="20" s="1"/>
  <c r="AY146" i="20" s="1"/>
  <c r="L138" i="20"/>
  <c r="I138" i="20"/>
  <c r="J138" i="20" s="1"/>
  <c r="AY138" i="20" s="1"/>
  <c r="L130" i="20"/>
  <c r="I130" i="20"/>
  <c r="J130" i="20" s="1"/>
  <c r="AY130" i="20" s="1"/>
  <c r="L122" i="20"/>
  <c r="I122" i="20"/>
  <c r="J122" i="20" s="1"/>
  <c r="AY122" i="20" s="1"/>
  <c r="I114" i="20"/>
  <c r="J114" i="20" s="1"/>
  <c r="AY114" i="20" s="1"/>
  <c r="L114" i="20"/>
  <c r="L9" i="20"/>
  <c r="I44" i="20"/>
  <c r="I46" i="20"/>
  <c r="I48" i="20"/>
  <c r="I50" i="20"/>
  <c r="I52" i="20"/>
  <c r="I54" i="20"/>
  <c r="I56" i="20"/>
  <c r="I58" i="20"/>
  <c r="I60" i="20"/>
  <c r="I62" i="20"/>
  <c r="I64" i="20"/>
  <c r="I66" i="20"/>
  <c r="I68" i="20"/>
  <c r="I70" i="20"/>
  <c r="I72" i="20"/>
  <c r="I74" i="20"/>
  <c r="I76" i="20"/>
  <c r="I78" i="20"/>
  <c r="I80" i="20"/>
  <c r="I82" i="20"/>
  <c r="I84" i="20"/>
  <c r="I86" i="20"/>
  <c r="I88" i="20"/>
  <c r="I90" i="20"/>
  <c r="I92" i="20"/>
  <c r="I94" i="20"/>
  <c r="I96" i="20"/>
  <c r="I98" i="20"/>
  <c r="I100" i="20"/>
  <c r="I102" i="20"/>
  <c r="I104" i="20"/>
  <c r="I106" i="20"/>
  <c r="I108" i="20"/>
  <c r="I10" i="20"/>
  <c r="I12" i="20"/>
  <c r="I14" i="20"/>
  <c r="I16" i="20"/>
  <c r="I18" i="20"/>
  <c r="I20" i="20"/>
  <c r="I22" i="20"/>
  <c r="J22" i="20" s="1"/>
  <c r="AY22" i="20" s="1"/>
  <c r="I24" i="20"/>
  <c r="I26" i="20"/>
  <c r="I28" i="20"/>
  <c r="I30" i="20"/>
  <c r="I32" i="20"/>
  <c r="I34" i="20"/>
  <c r="I36" i="20"/>
  <c r="I38" i="20"/>
  <c r="I40" i="20"/>
  <c r="I42" i="20"/>
  <c r="I43" i="20"/>
  <c r="I45" i="20"/>
  <c r="I47" i="20"/>
  <c r="I49" i="20"/>
  <c r="I51" i="20"/>
  <c r="I53" i="20"/>
  <c r="I55" i="20"/>
  <c r="I57" i="20"/>
  <c r="I59" i="20"/>
  <c r="I61" i="20"/>
  <c r="I63" i="20"/>
  <c r="I65" i="20"/>
  <c r="I67" i="20"/>
  <c r="I69" i="20"/>
  <c r="I71" i="20"/>
  <c r="I73" i="20"/>
  <c r="I75" i="20"/>
  <c r="I77" i="20"/>
  <c r="I79" i="20"/>
  <c r="I81" i="20"/>
  <c r="I83" i="20"/>
  <c r="I85" i="20"/>
  <c r="I87" i="20"/>
  <c r="I89" i="20"/>
  <c r="I91" i="20"/>
  <c r="I93" i="20"/>
  <c r="I95" i="20"/>
  <c r="I97" i="20"/>
  <c r="I99" i="20"/>
  <c r="I101" i="20"/>
  <c r="I103" i="20"/>
  <c r="I105" i="20"/>
  <c r="I107" i="20"/>
  <c r="I109" i="20"/>
  <c r="I11" i="20"/>
  <c r="I13" i="20"/>
  <c r="I15" i="20"/>
  <c r="I17" i="20"/>
  <c r="I19" i="20"/>
  <c r="I21" i="20"/>
  <c r="I23" i="20"/>
  <c r="I25" i="20"/>
  <c r="I27" i="20"/>
  <c r="I29" i="20"/>
  <c r="I31" i="20"/>
  <c r="I33" i="20"/>
  <c r="I35" i="20"/>
  <c r="I37" i="20"/>
  <c r="I39" i="20"/>
  <c r="I41" i="20"/>
  <c r="I9" i="20"/>
  <c r="J9" i="20" s="1"/>
  <c r="L19" i="20"/>
  <c r="L15" i="20"/>
  <c r="L11" i="20"/>
  <c r="L107" i="20"/>
  <c r="L103" i="20"/>
  <c r="L99" i="20"/>
  <c r="L95" i="20"/>
  <c r="L91" i="20"/>
  <c r="L87" i="20"/>
  <c r="L83" i="20"/>
  <c r="L79" i="20"/>
  <c r="L75" i="20"/>
  <c r="L71" i="20"/>
  <c r="L67" i="20"/>
  <c r="L63" i="20"/>
  <c r="L59" i="20"/>
  <c r="L55" i="20"/>
  <c r="L51" i="20"/>
  <c r="L47" i="20"/>
  <c r="L20" i="20"/>
  <c r="L16" i="20"/>
  <c r="L12" i="20"/>
  <c r="L108" i="20"/>
  <c r="L104" i="20"/>
  <c r="L100" i="20"/>
  <c r="L96" i="20"/>
  <c r="L92" i="20"/>
  <c r="L88" i="20"/>
  <c r="L84" i="20"/>
  <c r="L80" i="20"/>
  <c r="L76" i="20"/>
  <c r="L72" i="20"/>
  <c r="L68" i="20"/>
  <c r="L64" i="20"/>
  <c r="L60" i="20"/>
  <c r="L56" i="20"/>
  <c r="L52" i="20"/>
  <c r="L48" i="20"/>
  <c r="L41" i="20"/>
  <c r="L44" i="20"/>
  <c r="L40" i="20"/>
  <c r="L36" i="20"/>
  <c r="L32" i="20"/>
  <c r="L28" i="20"/>
  <c r="L24" i="20"/>
  <c r="L39" i="20"/>
  <c r="L35" i="20"/>
  <c r="L31" i="20"/>
  <c r="L27" i="20"/>
  <c r="L23" i="20"/>
  <c r="L17" i="20"/>
  <c r="L13" i="20"/>
  <c r="L109" i="20"/>
  <c r="L105" i="20"/>
  <c r="L101" i="20"/>
  <c r="L97" i="20"/>
  <c r="L93" i="20"/>
  <c r="L89" i="20"/>
  <c r="L85" i="20"/>
  <c r="L81" i="20"/>
  <c r="L77" i="20"/>
  <c r="L73" i="20"/>
  <c r="L69" i="20"/>
  <c r="L65" i="20"/>
  <c r="L61" i="20"/>
  <c r="L57" i="20"/>
  <c r="L53" i="20"/>
  <c r="L49" i="20"/>
  <c r="L43" i="20"/>
  <c r="L18" i="20"/>
  <c r="L14" i="20"/>
  <c r="L10" i="20"/>
  <c r="L106" i="20"/>
  <c r="L102" i="20"/>
  <c r="L98" i="20"/>
  <c r="L94" i="20"/>
  <c r="L90" i="20"/>
  <c r="L86" i="20"/>
  <c r="L82" i="20"/>
  <c r="L78" i="20"/>
  <c r="L74" i="20"/>
  <c r="L70" i="20"/>
  <c r="L66" i="20"/>
  <c r="L62" i="20"/>
  <c r="L58" i="20"/>
  <c r="L54" i="20"/>
  <c r="L50" i="20"/>
  <c r="L45" i="20"/>
  <c r="L46" i="20"/>
  <c r="L42" i="20"/>
  <c r="L38" i="20"/>
  <c r="L34" i="20"/>
  <c r="L30" i="20"/>
  <c r="L26" i="20"/>
  <c r="L22" i="20"/>
  <c r="L37" i="20"/>
  <c r="L33" i="20"/>
  <c r="L29" i="20"/>
  <c r="L25" i="20"/>
  <c r="L21" i="20"/>
  <c r="C66" i="16"/>
  <c r="D66" i="16" s="1"/>
  <c r="AW109" i="20"/>
  <c r="AW107" i="20"/>
  <c r="AW105" i="20"/>
  <c r="AW108" i="20"/>
  <c r="AW106" i="20"/>
  <c r="AW103" i="20"/>
  <c r="AW101" i="20"/>
  <c r="AW104" i="20"/>
  <c r="AW102" i="20"/>
  <c r="AW100" i="20"/>
  <c r="AW99" i="20"/>
  <c r="AW97" i="20"/>
  <c r="AW95" i="20"/>
  <c r="AW93" i="20"/>
  <c r="AW91" i="20"/>
  <c r="AW98" i="20"/>
  <c r="AW96" i="20"/>
  <c r="AW94" i="20"/>
  <c r="AW90" i="20"/>
  <c r="AW88" i="20"/>
  <c r="AW86" i="20"/>
  <c r="AW84" i="20"/>
  <c r="AW82" i="20"/>
  <c r="AW92" i="20"/>
  <c r="AW89" i="20"/>
  <c r="AW87" i="20"/>
  <c r="AW85" i="20"/>
  <c r="AW83" i="20"/>
  <c r="AW80" i="20"/>
  <c r="AW79" i="20"/>
  <c r="AW73" i="20"/>
  <c r="AW72" i="20"/>
  <c r="AW71" i="20"/>
  <c r="AW66" i="20"/>
  <c r="AW81" i="20"/>
  <c r="AW78" i="20"/>
  <c r="AW77" i="20"/>
  <c r="AW76" i="20"/>
  <c r="AW75" i="20"/>
  <c r="AW74" i="20"/>
  <c r="AW70" i="20"/>
  <c r="AW69" i="20"/>
  <c r="AW68" i="20"/>
  <c r="AW67" i="20"/>
  <c r="AW65" i="20"/>
  <c r="AW63" i="20"/>
  <c r="AW61" i="20"/>
  <c r="AW56" i="20"/>
  <c r="AW64" i="20"/>
  <c r="AW62" i="20"/>
  <c r="AW60" i="20"/>
  <c r="AW59" i="20"/>
  <c r="AW58" i="20"/>
  <c r="AW57" i="20"/>
  <c r="AW54" i="20"/>
  <c r="AW52" i="20"/>
  <c r="AW50" i="20"/>
  <c r="AW47" i="20"/>
  <c r="AW46" i="20"/>
  <c r="AW45" i="20"/>
  <c r="AW44" i="20"/>
  <c r="AW43" i="20"/>
  <c r="AW42" i="20"/>
  <c r="AW41" i="20"/>
  <c r="AW40" i="20"/>
  <c r="AW39" i="20"/>
  <c r="AW38" i="20"/>
  <c r="AW37" i="20"/>
  <c r="AW36" i="20"/>
  <c r="AW33" i="20"/>
  <c r="AW32" i="20"/>
  <c r="AW30" i="20"/>
  <c r="AW29" i="20"/>
  <c r="AW25" i="20"/>
  <c r="AW24" i="20"/>
  <c r="AW23" i="20"/>
  <c r="AW22" i="20"/>
  <c r="AW21" i="20"/>
  <c r="AW20" i="20"/>
  <c r="AW19" i="20"/>
  <c r="AW18" i="20"/>
  <c r="AW55" i="20"/>
  <c r="AW53" i="20"/>
  <c r="AW51" i="20"/>
  <c r="AW49" i="20"/>
  <c r="AW48" i="20"/>
  <c r="AW35" i="20"/>
  <c r="AW34" i="20"/>
  <c r="AW31" i="20"/>
  <c r="AW28" i="20"/>
  <c r="AW27" i="20"/>
  <c r="AW26" i="20"/>
  <c r="AW15" i="20"/>
  <c r="AW13" i="20"/>
  <c r="AW11" i="20"/>
  <c r="AW10" i="20"/>
  <c r="AW9" i="20"/>
  <c r="AW17" i="20"/>
  <c r="AW16" i="20"/>
  <c r="AW14" i="20"/>
  <c r="AW12" i="20"/>
  <c r="B73" i="20"/>
  <c r="B45" i="20"/>
  <c r="B72" i="20"/>
  <c r="D161" i="2"/>
  <c r="D128" i="2"/>
  <c r="D150" i="2"/>
  <c r="D133" i="2"/>
  <c r="B130" i="2"/>
  <c r="B407" i="2"/>
  <c r="B232" i="2"/>
  <c r="B408" i="2"/>
  <c r="A429" i="2"/>
  <c r="B303" i="2"/>
  <c r="B304" i="2"/>
  <c r="B246" i="2"/>
  <c r="B250" i="2" s="1"/>
  <c r="B249" i="2"/>
  <c r="B275" i="2"/>
  <c r="B273" i="2"/>
  <c r="B429" i="2"/>
  <c r="B260" i="2"/>
  <c r="E110" i="17"/>
  <c r="F13" i="17"/>
  <c r="F17" i="17"/>
  <c r="F21" i="17"/>
  <c r="F25" i="17"/>
  <c r="F29" i="17"/>
  <c r="F33" i="17"/>
  <c r="F37" i="17"/>
  <c r="F41" i="17"/>
  <c r="F45" i="17"/>
  <c r="F49" i="17"/>
  <c r="F53" i="17"/>
  <c r="F57" i="17"/>
  <c r="F61" i="17"/>
  <c r="F65" i="17"/>
  <c r="F69" i="17"/>
  <c r="F73" i="17"/>
  <c r="F77" i="17"/>
  <c r="F81" i="17"/>
  <c r="F85" i="17"/>
  <c r="F89" i="17"/>
  <c r="F93" i="17"/>
  <c r="F97" i="17"/>
  <c r="F101" i="17"/>
  <c r="F105" i="17"/>
  <c r="F109" i="17"/>
  <c r="E16" i="17"/>
  <c r="E20" i="17"/>
  <c r="E24" i="17"/>
  <c r="E28" i="17"/>
  <c r="E32" i="17"/>
  <c r="E36" i="17"/>
  <c r="E40" i="17"/>
  <c r="E44" i="17"/>
  <c r="E48" i="17"/>
  <c r="E52" i="17"/>
  <c r="E56" i="17"/>
  <c r="E60" i="17"/>
  <c r="E64" i="17"/>
  <c r="E68" i="17"/>
  <c r="E72" i="17"/>
  <c r="E76" i="17"/>
  <c r="E80" i="17"/>
  <c r="E84" i="17"/>
  <c r="E88" i="17"/>
  <c r="E92" i="17"/>
  <c r="E96" i="17"/>
  <c r="E100" i="17"/>
  <c r="E104" i="17"/>
  <c r="E108" i="17"/>
  <c r="C633" i="17"/>
  <c r="F612" i="17"/>
  <c r="F610" i="17"/>
  <c r="F608" i="17"/>
  <c r="F606" i="17"/>
  <c r="F604" i="17"/>
  <c r="F602" i="17"/>
  <c r="F600" i="17"/>
  <c r="F598" i="17"/>
  <c r="F596" i="17"/>
  <c r="F613" i="17"/>
  <c r="F611" i="17"/>
  <c r="F609" i="17"/>
  <c r="F607" i="17"/>
  <c r="F605" i="17"/>
  <c r="F603" i="17"/>
  <c r="F601" i="17"/>
  <c r="F599" i="17"/>
  <c r="F597" i="17"/>
  <c r="E595" i="17"/>
  <c r="E593" i="17"/>
  <c r="E591" i="17"/>
  <c r="E589" i="17"/>
  <c r="E587" i="17"/>
  <c r="E585" i="17"/>
  <c r="E583" i="17"/>
  <c r="E581" i="17"/>
  <c r="E579" i="17"/>
  <c r="E577" i="17"/>
  <c r="E575" i="17"/>
  <c r="E573" i="17"/>
  <c r="E571" i="17"/>
  <c r="E569" i="17"/>
  <c r="E567" i="17"/>
  <c r="E565" i="17"/>
  <c r="E563" i="17"/>
  <c r="E561" i="17"/>
  <c r="E559" i="17"/>
  <c r="E557" i="17"/>
  <c r="E555" i="17"/>
  <c r="E553" i="17"/>
  <c r="E551" i="17"/>
  <c r="E549" i="17"/>
  <c r="E547" i="17"/>
  <c r="E545" i="17"/>
  <c r="F595" i="17"/>
  <c r="E592" i="17"/>
  <c r="E588" i="17"/>
  <c r="E584" i="17"/>
  <c r="E580" i="17"/>
  <c r="E576" i="17"/>
  <c r="E572" i="17"/>
  <c r="E568" i="17"/>
  <c r="E564" i="17"/>
  <c r="E560" i="17"/>
  <c r="E556" i="17"/>
  <c r="E552" i="17"/>
  <c r="E548" i="17"/>
  <c r="E544" i="17"/>
  <c r="E542" i="17"/>
  <c r="E540" i="17"/>
  <c r="E538" i="17"/>
  <c r="E536" i="17"/>
  <c r="E534" i="17"/>
  <c r="E532" i="17"/>
  <c r="E530" i="17"/>
  <c r="E528" i="17"/>
  <c r="E526" i="17"/>
  <c r="E524" i="17"/>
  <c r="E522" i="17"/>
  <c r="F593" i="17"/>
  <c r="F589" i="17"/>
  <c r="F585" i="17"/>
  <c r="F581" i="17"/>
  <c r="F577" i="17"/>
  <c r="F573" i="17"/>
  <c r="F569" i="17"/>
  <c r="F565" i="17"/>
  <c r="F561" i="17"/>
  <c r="F557" i="17"/>
  <c r="F553" i="17"/>
  <c r="F549" i="17"/>
  <c r="F545" i="17"/>
  <c r="F542" i="17"/>
  <c r="F540" i="17"/>
  <c r="F538" i="17"/>
  <c r="F536" i="17"/>
  <c r="F534" i="17"/>
  <c r="F532" i="17"/>
  <c r="F530" i="17"/>
  <c r="F528" i="17"/>
  <c r="F526" i="17"/>
  <c r="F524" i="17"/>
  <c r="F522" i="17"/>
  <c r="F520" i="17"/>
  <c r="F519" i="17"/>
  <c r="E517" i="17"/>
  <c r="E515" i="17"/>
  <c r="E513" i="17"/>
  <c r="E511" i="17"/>
  <c r="E509" i="17"/>
  <c r="E507" i="17"/>
  <c r="E505" i="17"/>
  <c r="E503" i="17"/>
  <c r="E501" i="17"/>
  <c r="E499" i="17"/>
  <c r="E497" i="17"/>
  <c r="E495" i="17"/>
  <c r="E493" i="17"/>
  <c r="E491" i="17"/>
  <c r="E489" i="17"/>
  <c r="E487" i="17"/>
  <c r="E485" i="17"/>
  <c r="E483" i="17"/>
  <c r="E481" i="17"/>
  <c r="E479" i="17"/>
  <c r="E477" i="17"/>
  <c r="E475" i="17"/>
  <c r="E473" i="17"/>
  <c r="E471" i="17"/>
  <c r="E469" i="17"/>
  <c r="E467" i="17"/>
  <c r="E465" i="17"/>
  <c r="E463" i="17"/>
  <c r="E461" i="17"/>
  <c r="E459" i="17"/>
  <c r="E457" i="17"/>
  <c r="E455" i="17"/>
  <c r="E453" i="17"/>
  <c r="E451" i="17"/>
  <c r="E449" i="17"/>
  <c r="E447" i="17"/>
  <c r="E445" i="17"/>
  <c r="E443" i="17"/>
  <c r="E441" i="17"/>
  <c r="E439" i="17"/>
  <c r="E437" i="17"/>
  <c r="E435" i="17"/>
  <c r="E433" i="17"/>
  <c r="E431" i="17"/>
  <c r="E429" i="17"/>
  <c r="E427" i="17"/>
  <c r="E425" i="17"/>
  <c r="E423" i="17"/>
  <c r="E421" i="17"/>
  <c r="E419" i="17"/>
  <c r="E520" i="17"/>
  <c r="F517" i="17"/>
  <c r="F515" i="17"/>
  <c r="F513" i="17"/>
  <c r="F511" i="17"/>
  <c r="F509" i="17"/>
  <c r="F507" i="17"/>
  <c r="F505" i="17"/>
  <c r="F503" i="17"/>
  <c r="F501" i="17"/>
  <c r="F499" i="17"/>
  <c r="F497" i="17"/>
  <c r="F495" i="17"/>
  <c r="F493" i="17"/>
  <c r="F491" i="17"/>
  <c r="F489" i="17"/>
  <c r="F487" i="17"/>
  <c r="F485" i="17"/>
  <c r="F483" i="17"/>
  <c r="F481" i="17"/>
  <c r="F479" i="17"/>
  <c r="F477" i="17"/>
  <c r="F475" i="17"/>
  <c r="F473" i="17"/>
  <c r="F471" i="17"/>
  <c r="F469" i="17"/>
  <c r="F467" i="17"/>
  <c r="F465" i="17"/>
  <c r="F463" i="17"/>
  <c r="F461" i="17"/>
  <c r="F459" i="17"/>
  <c r="F457" i="17"/>
  <c r="F455" i="17"/>
  <c r="F453" i="17"/>
  <c r="F451" i="17"/>
  <c r="F449" i="17"/>
  <c r="F447" i="17"/>
  <c r="F445" i="17"/>
  <c r="F443" i="17"/>
  <c r="F441" i="17"/>
  <c r="F439" i="17"/>
  <c r="F437" i="17"/>
  <c r="F435" i="17"/>
  <c r="F433" i="17"/>
  <c r="F431" i="17"/>
  <c r="F429" i="17"/>
  <c r="F427" i="17"/>
  <c r="F425" i="17"/>
  <c r="F423" i="17"/>
  <c r="F421" i="17"/>
  <c r="F419" i="17"/>
  <c r="F417" i="17"/>
  <c r="F415" i="17"/>
  <c r="F413" i="17"/>
  <c r="F411" i="17"/>
  <c r="F409" i="17"/>
  <c r="F407" i="17"/>
  <c r="F405" i="17"/>
  <c r="F403" i="17"/>
  <c r="F401" i="17"/>
  <c r="F399" i="17"/>
  <c r="F15" i="17"/>
  <c r="F19" i="17"/>
  <c r="F23" i="17"/>
  <c r="F27" i="17"/>
  <c r="F31" i="17"/>
  <c r="F35" i="17"/>
  <c r="F39" i="17"/>
  <c r="F43" i="17"/>
  <c r="F47" i="17"/>
  <c r="F51" i="17"/>
  <c r="F55" i="17"/>
  <c r="F59" i="17"/>
  <c r="F63" i="17"/>
  <c r="F67" i="17"/>
  <c r="F71" i="17"/>
  <c r="F75" i="17"/>
  <c r="F79" i="17"/>
  <c r="F83" i="17"/>
  <c r="F87" i="17"/>
  <c r="F91" i="17"/>
  <c r="F95" i="17"/>
  <c r="F99" i="17"/>
  <c r="F103" i="17"/>
  <c r="F107" i="17"/>
  <c r="E14" i="17"/>
  <c r="E18" i="17"/>
  <c r="E22" i="17"/>
  <c r="E26" i="17"/>
  <c r="E30" i="17"/>
  <c r="E34" i="17"/>
  <c r="E38" i="17"/>
  <c r="E42" i="17"/>
  <c r="E46" i="17"/>
  <c r="E50" i="17"/>
  <c r="E54" i="17"/>
  <c r="E58" i="17"/>
  <c r="E62" i="17"/>
  <c r="E66" i="17"/>
  <c r="E70" i="17"/>
  <c r="E74" i="17"/>
  <c r="E78" i="17"/>
  <c r="E82" i="17"/>
  <c r="E86" i="17"/>
  <c r="E90" i="17"/>
  <c r="E94" i="17"/>
  <c r="E98" i="17"/>
  <c r="E102" i="17"/>
  <c r="E106" i="17"/>
  <c r="E613" i="17"/>
  <c r="E611" i="17"/>
  <c r="E609" i="17"/>
  <c r="E607" i="17"/>
  <c r="E605" i="17"/>
  <c r="E603" i="17"/>
  <c r="E601" i="17"/>
  <c r="E599" i="17"/>
  <c r="E597" i="17"/>
  <c r="A623" i="17"/>
  <c r="E612" i="17"/>
  <c r="E610" i="17"/>
  <c r="E608" i="17"/>
  <c r="E606" i="17"/>
  <c r="E604" i="17"/>
  <c r="E602" i="17"/>
  <c r="E600" i="17"/>
  <c r="E598" i="17"/>
  <c r="E596" i="17"/>
  <c r="F594" i="17"/>
  <c r="F592" i="17"/>
  <c r="F590" i="17"/>
  <c r="F588" i="17"/>
  <c r="F586" i="17"/>
  <c r="F584" i="17"/>
  <c r="F582" i="17"/>
  <c r="F580" i="17"/>
  <c r="F578" i="17"/>
  <c r="F576" i="17"/>
  <c r="F574" i="17"/>
  <c r="F572" i="17"/>
  <c r="F570" i="17"/>
  <c r="F568" i="17"/>
  <c r="F566" i="17"/>
  <c r="F564" i="17"/>
  <c r="F562" i="17"/>
  <c r="F560" i="17"/>
  <c r="F558" i="17"/>
  <c r="F556" i="17"/>
  <c r="F554" i="17"/>
  <c r="F552" i="17"/>
  <c r="F550" i="17"/>
  <c r="F548" i="17"/>
  <c r="F546" i="17"/>
  <c r="F544" i="17"/>
  <c r="E594" i="17"/>
  <c r="E590" i="17"/>
  <c r="E586" i="17"/>
  <c r="E582" i="17"/>
  <c r="E578" i="17"/>
  <c r="E574" i="17"/>
  <c r="E570" i="17"/>
  <c r="E566" i="17"/>
  <c r="E562" i="17"/>
  <c r="E558" i="17"/>
  <c r="E554" i="17"/>
  <c r="E550" i="17"/>
  <c r="E546" i="17"/>
  <c r="F543" i="17"/>
  <c r="F541" i="17"/>
  <c r="F539" i="17"/>
  <c r="F537" i="17"/>
  <c r="F535" i="17"/>
  <c r="F533" i="17"/>
  <c r="F531" i="17"/>
  <c r="F529" i="17"/>
  <c r="F527" i="17"/>
  <c r="F525" i="17"/>
  <c r="F523" i="17"/>
  <c r="F521" i="17"/>
  <c r="F591" i="17"/>
  <c r="F587" i="17"/>
  <c r="F583" i="17"/>
  <c r="F579" i="17"/>
  <c r="F575" i="17"/>
  <c r="F571" i="17"/>
  <c r="F567" i="17"/>
  <c r="F563" i="17"/>
  <c r="F559" i="17"/>
  <c r="F555" i="17"/>
  <c r="F551" i="17"/>
  <c r="F547" i="17"/>
  <c r="E543" i="17"/>
  <c r="E541" i="17"/>
  <c r="E539" i="17"/>
  <c r="E537" i="17"/>
  <c r="E535" i="17"/>
  <c r="E533" i="17"/>
  <c r="E531" i="17"/>
  <c r="E529" i="17"/>
  <c r="E527" i="17"/>
  <c r="E525" i="17"/>
  <c r="E523" i="17"/>
  <c r="E521" i="17"/>
  <c r="E519" i="17"/>
  <c r="F518" i="17"/>
  <c r="F516" i="17"/>
  <c r="F514" i="17"/>
  <c r="F512" i="17"/>
  <c r="F510" i="17"/>
  <c r="F508" i="17"/>
  <c r="F506" i="17"/>
  <c r="F504" i="17"/>
  <c r="F502" i="17"/>
  <c r="F500" i="17"/>
  <c r="F498" i="17"/>
  <c r="F496" i="17"/>
  <c r="F494" i="17"/>
  <c r="F492" i="17"/>
  <c r="F490" i="17"/>
  <c r="F488" i="17"/>
  <c r="F486" i="17"/>
  <c r="F484" i="17"/>
  <c r="F482" i="17"/>
  <c r="F480" i="17"/>
  <c r="F478" i="17"/>
  <c r="F476" i="17"/>
  <c r="F474" i="17"/>
  <c r="F472" i="17"/>
  <c r="F470" i="17"/>
  <c r="F468" i="17"/>
  <c r="F466" i="17"/>
  <c r="F464" i="17"/>
  <c r="F462" i="17"/>
  <c r="F460" i="17"/>
  <c r="F458" i="17"/>
  <c r="F456" i="17"/>
  <c r="F454" i="17"/>
  <c r="F452" i="17"/>
  <c r="F450" i="17"/>
  <c r="F448" i="17"/>
  <c r="F446" i="17"/>
  <c r="F444" i="17"/>
  <c r="F442" i="17"/>
  <c r="F440" i="17"/>
  <c r="F438" i="17"/>
  <c r="F436" i="17"/>
  <c r="F434" i="17"/>
  <c r="F432" i="17"/>
  <c r="F430" i="17"/>
  <c r="F428" i="17"/>
  <c r="F426" i="17"/>
  <c r="F424" i="17"/>
  <c r="F422" i="17"/>
  <c r="F420" i="17"/>
  <c r="F418" i="17"/>
  <c r="E518" i="17"/>
  <c r="E516" i="17"/>
  <c r="E514" i="17"/>
  <c r="E512" i="17"/>
  <c r="E510" i="17"/>
  <c r="E508" i="17"/>
  <c r="E506" i="17"/>
  <c r="E504" i="17"/>
  <c r="E502" i="17"/>
  <c r="E500" i="17"/>
  <c r="E498" i="17"/>
  <c r="E496" i="17"/>
  <c r="E494" i="17"/>
  <c r="E492" i="17"/>
  <c r="E490" i="17"/>
  <c r="E488" i="17"/>
  <c r="E486" i="17"/>
  <c r="E484" i="17"/>
  <c r="E482" i="17"/>
  <c r="E480" i="17"/>
  <c r="E478" i="17"/>
  <c r="E476" i="17"/>
  <c r="E474" i="17"/>
  <c r="E472" i="17"/>
  <c r="E470" i="17"/>
  <c r="E468" i="17"/>
  <c r="E466" i="17"/>
  <c r="E464" i="17"/>
  <c r="E462" i="17"/>
  <c r="E460" i="17"/>
  <c r="E458" i="17"/>
  <c r="E456" i="17"/>
  <c r="E454" i="17"/>
  <c r="E452" i="17"/>
  <c r="E450" i="17"/>
  <c r="E448" i="17"/>
  <c r="E446" i="17"/>
  <c r="E444" i="17"/>
  <c r="E442" i="17"/>
  <c r="E440" i="17"/>
  <c r="E438" i="17"/>
  <c r="E436" i="17"/>
  <c r="E434" i="17"/>
  <c r="E432" i="17"/>
  <c r="E430" i="17"/>
  <c r="E428" i="17"/>
  <c r="E426" i="17"/>
  <c r="E424" i="17"/>
  <c r="E422" i="17"/>
  <c r="E420" i="17"/>
  <c r="E418" i="17"/>
  <c r="E416" i="17"/>
  <c r="E414" i="17"/>
  <c r="E412" i="17"/>
  <c r="E410" i="17"/>
  <c r="E408" i="17"/>
  <c r="E406" i="17"/>
  <c r="E404" i="17"/>
  <c r="E402" i="17"/>
  <c r="E400" i="17"/>
  <c r="E398" i="17"/>
  <c r="E396" i="17"/>
  <c r="E394" i="17"/>
  <c r="E392" i="17"/>
  <c r="E390" i="17"/>
  <c r="E388" i="17"/>
  <c r="E386" i="17"/>
  <c r="E384" i="17"/>
  <c r="E382" i="17"/>
  <c r="E380" i="17"/>
  <c r="E378" i="17"/>
  <c r="E376" i="17"/>
  <c r="E374" i="17"/>
  <c r="E372" i="17"/>
  <c r="E370" i="17"/>
  <c r="E368" i="17"/>
  <c r="E366" i="17"/>
  <c r="E364" i="17"/>
  <c r="E362" i="17"/>
  <c r="E360" i="17"/>
  <c r="E358" i="17"/>
  <c r="E356" i="17"/>
  <c r="E354" i="17"/>
  <c r="E352" i="17"/>
  <c r="E350" i="17"/>
  <c r="E348" i="17"/>
  <c r="E346" i="17"/>
  <c r="E344" i="17"/>
  <c r="E342" i="17"/>
  <c r="E340" i="17"/>
  <c r="E338" i="17"/>
  <c r="E336" i="17"/>
  <c r="E334" i="17"/>
  <c r="E332" i="17"/>
  <c r="E330" i="17"/>
  <c r="E328" i="17"/>
  <c r="E326" i="17"/>
  <c r="E324" i="17"/>
  <c r="E322" i="17"/>
  <c r="E320" i="17"/>
  <c r="E318" i="17"/>
  <c r="E316" i="17"/>
  <c r="E417" i="17"/>
  <c r="E415" i="17"/>
  <c r="E413" i="17"/>
  <c r="E411" i="17"/>
  <c r="E409" i="17"/>
  <c r="E407" i="17"/>
  <c r="E405" i="17"/>
  <c r="E403" i="17"/>
  <c r="E401" i="17"/>
  <c r="E399" i="17"/>
  <c r="E397" i="17"/>
  <c r="E395" i="17"/>
  <c r="E393" i="17"/>
  <c r="E391" i="17"/>
  <c r="E389" i="17"/>
  <c r="E387" i="17"/>
  <c r="E385" i="17"/>
  <c r="E383" i="17"/>
  <c r="E381" i="17"/>
  <c r="E379" i="17"/>
  <c r="E377" i="17"/>
  <c r="E375" i="17"/>
  <c r="E373" i="17"/>
  <c r="E371" i="17"/>
  <c r="E369" i="17"/>
  <c r="E367" i="17"/>
  <c r="E365" i="17"/>
  <c r="E363" i="17"/>
  <c r="E361" i="17"/>
  <c r="E359" i="17"/>
  <c r="E357" i="17"/>
  <c r="E355" i="17"/>
  <c r="E353" i="17"/>
  <c r="E351" i="17"/>
  <c r="E349" i="17"/>
  <c r="E347" i="17"/>
  <c r="E345" i="17"/>
  <c r="E343" i="17"/>
  <c r="E341" i="17"/>
  <c r="E339" i="17"/>
  <c r="E337" i="17"/>
  <c r="E335" i="17"/>
  <c r="E333" i="17"/>
  <c r="E331" i="17"/>
  <c r="E329" i="17"/>
  <c r="E327" i="17"/>
  <c r="E325" i="17"/>
  <c r="E323" i="17"/>
  <c r="E321" i="17"/>
  <c r="E319" i="17"/>
  <c r="E317" i="17"/>
  <c r="E315" i="17"/>
  <c r="F313" i="17"/>
  <c r="F311" i="17"/>
  <c r="F309" i="17"/>
  <c r="F307" i="17"/>
  <c r="F305" i="17"/>
  <c r="F303" i="17"/>
  <c r="F301" i="17"/>
  <c r="F299" i="17"/>
  <c r="F297" i="17"/>
  <c r="F295" i="17"/>
  <c r="F293" i="17"/>
  <c r="F291" i="17"/>
  <c r="F289" i="17"/>
  <c r="F287" i="17"/>
  <c r="F285" i="17"/>
  <c r="F283" i="17"/>
  <c r="F281" i="17"/>
  <c r="F279" i="17"/>
  <c r="F277" i="17"/>
  <c r="F275" i="17"/>
  <c r="F273" i="17"/>
  <c r="F271" i="17"/>
  <c r="F269" i="17"/>
  <c r="F267" i="17"/>
  <c r="F265" i="17"/>
  <c r="F263" i="17"/>
  <c r="F261" i="17"/>
  <c r="F259" i="17"/>
  <c r="F257" i="17"/>
  <c r="F255" i="17"/>
  <c r="F253" i="17"/>
  <c r="F251" i="17"/>
  <c r="F249" i="17"/>
  <c r="F247" i="17"/>
  <c r="F245" i="17"/>
  <c r="F243" i="17"/>
  <c r="F241" i="17"/>
  <c r="F239" i="17"/>
  <c r="F237" i="17"/>
  <c r="F235" i="17"/>
  <c r="F233" i="17"/>
  <c r="F231" i="17"/>
  <c r="F229" i="17"/>
  <c r="F227" i="17"/>
  <c r="F225" i="17"/>
  <c r="F223" i="17"/>
  <c r="F221" i="17"/>
  <c r="F219" i="17"/>
  <c r="F217" i="17"/>
  <c r="F215" i="17"/>
  <c r="F213" i="17"/>
  <c r="F211" i="17"/>
  <c r="F209" i="17"/>
  <c r="F207" i="17"/>
  <c r="F205" i="17"/>
  <c r="F203" i="17"/>
  <c r="F201" i="17"/>
  <c r="F199" i="17"/>
  <c r="F197" i="17"/>
  <c r="F195" i="17"/>
  <c r="F193" i="17"/>
  <c r="F191" i="17"/>
  <c r="F189" i="17"/>
  <c r="F187" i="17"/>
  <c r="F185" i="17"/>
  <c r="F183" i="17"/>
  <c r="F181" i="17"/>
  <c r="F179" i="17"/>
  <c r="F177" i="17"/>
  <c r="F175" i="17"/>
  <c r="F173" i="17"/>
  <c r="F171" i="17"/>
  <c r="F169" i="17"/>
  <c r="F167" i="17"/>
  <c r="F165" i="17"/>
  <c r="F163" i="17"/>
  <c r="F161" i="17"/>
  <c r="F159" i="17"/>
  <c r="F157" i="17"/>
  <c r="F155" i="17"/>
  <c r="F153" i="17"/>
  <c r="F151" i="17"/>
  <c r="F149" i="17"/>
  <c r="F147" i="17"/>
  <c r="F145" i="17"/>
  <c r="F143" i="17"/>
  <c r="F141" i="17"/>
  <c r="F139" i="17"/>
  <c r="F137" i="17"/>
  <c r="F135" i="17"/>
  <c r="F133" i="17"/>
  <c r="F131" i="17"/>
  <c r="F129" i="17"/>
  <c r="F127" i="17"/>
  <c r="F125" i="17"/>
  <c r="F123" i="17"/>
  <c r="F121" i="17"/>
  <c r="F119" i="17"/>
  <c r="F117" i="17"/>
  <c r="F115" i="17"/>
  <c r="F113" i="17"/>
  <c r="F111" i="17"/>
  <c r="E313" i="17"/>
  <c r="E311" i="17"/>
  <c r="E309" i="17"/>
  <c r="E307" i="17"/>
  <c r="E305" i="17"/>
  <c r="E303" i="17"/>
  <c r="E301" i="17"/>
  <c r="E299" i="17"/>
  <c r="E297" i="17"/>
  <c r="E295" i="17"/>
  <c r="E293" i="17"/>
  <c r="E291" i="17"/>
  <c r="E289" i="17"/>
  <c r="E287" i="17"/>
  <c r="E285" i="17"/>
  <c r="E283" i="17"/>
  <c r="E281" i="17"/>
  <c r="F397" i="17"/>
  <c r="F395" i="17"/>
  <c r="F393" i="17"/>
  <c r="F391" i="17"/>
  <c r="F389" i="17"/>
  <c r="F387" i="17"/>
  <c r="F385" i="17"/>
  <c r="F383" i="17"/>
  <c r="F381" i="17"/>
  <c r="F379" i="17"/>
  <c r="F377" i="17"/>
  <c r="F375" i="17"/>
  <c r="F373" i="17"/>
  <c r="F371" i="17"/>
  <c r="F369" i="17"/>
  <c r="F367" i="17"/>
  <c r="F365" i="17"/>
  <c r="F363" i="17"/>
  <c r="F361" i="17"/>
  <c r="F359" i="17"/>
  <c r="F357" i="17"/>
  <c r="F355" i="17"/>
  <c r="F353" i="17"/>
  <c r="F351" i="17"/>
  <c r="F349" i="17"/>
  <c r="F347" i="17"/>
  <c r="F345" i="17"/>
  <c r="F343" i="17"/>
  <c r="F341" i="17"/>
  <c r="F339" i="17"/>
  <c r="F337" i="17"/>
  <c r="F335" i="17"/>
  <c r="F333" i="17"/>
  <c r="F331" i="17"/>
  <c r="F329" i="17"/>
  <c r="F327" i="17"/>
  <c r="F325" i="17"/>
  <c r="F323" i="17"/>
  <c r="F321" i="17"/>
  <c r="F319" i="17"/>
  <c r="F317" i="17"/>
  <c r="F315" i="17"/>
  <c r="F416" i="17"/>
  <c r="F414" i="17"/>
  <c r="F412" i="17"/>
  <c r="F410" i="17"/>
  <c r="F408" i="17"/>
  <c r="F406" i="17"/>
  <c r="F404" i="17"/>
  <c r="F402" i="17"/>
  <c r="F400" i="17"/>
  <c r="F398" i="17"/>
  <c r="F396" i="17"/>
  <c r="F394" i="17"/>
  <c r="F392" i="17"/>
  <c r="F390" i="17"/>
  <c r="F388" i="17"/>
  <c r="F386" i="17"/>
  <c r="F384" i="17"/>
  <c r="F382" i="17"/>
  <c r="F380" i="17"/>
  <c r="F378" i="17"/>
  <c r="F376" i="17"/>
  <c r="F374" i="17"/>
  <c r="F372" i="17"/>
  <c r="F370" i="17"/>
  <c r="F368" i="17"/>
  <c r="F366" i="17"/>
  <c r="F364" i="17"/>
  <c r="F362" i="17"/>
  <c r="F360" i="17"/>
  <c r="F358" i="17"/>
  <c r="F356" i="17"/>
  <c r="F354" i="17"/>
  <c r="F352" i="17"/>
  <c r="F350" i="17"/>
  <c r="F348" i="17"/>
  <c r="F346" i="17"/>
  <c r="F344" i="17"/>
  <c r="F342" i="17"/>
  <c r="F340" i="17"/>
  <c r="F338" i="17"/>
  <c r="F336" i="17"/>
  <c r="F334" i="17"/>
  <c r="F332" i="17"/>
  <c r="F330" i="17"/>
  <c r="F328" i="17"/>
  <c r="F326" i="17"/>
  <c r="F324" i="17"/>
  <c r="F322" i="17"/>
  <c r="F320" i="17"/>
  <c r="F318" i="17"/>
  <c r="F316" i="17"/>
  <c r="E314" i="17"/>
  <c r="E312" i="17"/>
  <c r="E310" i="17"/>
  <c r="E308" i="17"/>
  <c r="E306" i="17"/>
  <c r="E304" i="17"/>
  <c r="E302" i="17"/>
  <c r="E300" i="17"/>
  <c r="E298" i="17"/>
  <c r="E296" i="17"/>
  <c r="E294" i="17"/>
  <c r="E292" i="17"/>
  <c r="E290" i="17"/>
  <c r="E288" i="17"/>
  <c r="E286" i="17"/>
  <c r="E284" i="17"/>
  <c r="E282" i="17"/>
  <c r="E280" i="17"/>
  <c r="E278" i="17"/>
  <c r="E276" i="17"/>
  <c r="E274" i="17"/>
  <c r="E272" i="17"/>
  <c r="E270" i="17"/>
  <c r="E268" i="17"/>
  <c r="E266" i="17"/>
  <c r="E264" i="17"/>
  <c r="E262" i="17"/>
  <c r="E260" i="17"/>
  <c r="E258" i="17"/>
  <c r="E256" i="17"/>
  <c r="E254" i="17"/>
  <c r="E252" i="17"/>
  <c r="E250" i="17"/>
  <c r="E248" i="17"/>
  <c r="E246" i="17"/>
  <c r="E244" i="17"/>
  <c r="E242" i="17"/>
  <c r="E240" i="17"/>
  <c r="E238" i="17"/>
  <c r="E236" i="17"/>
  <c r="E234" i="17"/>
  <c r="E232" i="17"/>
  <c r="E230" i="17"/>
  <c r="E228" i="17"/>
  <c r="E226" i="17"/>
  <c r="E224" i="17"/>
  <c r="E222" i="17"/>
  <c r="E220" i="17"/>
  <c r="E218" i="17"/>
  <c r="E216" i="17"/>
  <c r="E214" i="17"/>
  <c r="E212" i="17"/>
  <c r="E210" i="17"/>
  <c r="E208" i="17"/>
  <c r="E206" i="17"/>
  <c r="E204" i="17"/>
  <c r="E202" i="17"/>
  <c r="E200" i="17"/>
  <c r="E198" i="17"/>
  <c r="E196" i="17"/>
  <c r="E194" i="17"/>
  <c r="E192" i="17"/>
  <c r="E190" i="17"/>
  <c r="E188" i="17"/>
  <c r="E186" i="17"/>
  <c r="E184" i="17"/>
  <c r="E182" i="17"/>
  <c r="E180" i="17"/>
  <c r="E178" i="17"/>
  <c r="E176" i="17"/>
  <c r="E174" i="17"/>
  <c r="E172" i="17"/>
  <c r="E170" i="17"/>
  <c r="E168" i="17"/>
  <c r="E166" i="17"/>
  <c r="E164" i="17"/>
  <c r="E162" i="17"/>
  <c r="E160" i="17"/>
  <c r="E158" i="17"/>
  <c r="E156" i="17"/>
  <c r="E154" i="17"/>
  <c r="E152" i="17"/>
  <c r="E150" i="17"/>
  <c r="E148" i="17"/>
  <c r="E146" i="17"/>
  <c r="E144" i="17"/>
  <c r="E142" i="17"/>
  <c r="E140" i="17"/>
  <c r="E138" i="17"/>
  <c r="E136" i="17"/>
  <c r="E134" i="17"/>
  <c r="E132" i="17"/>
  <c r="E130" i="17"/>
  <c r="E128" i="17"/>
  <c r="E126" i="17"/>
  <c r="E124" i="17"/>
  <c r="E122" i="17"/>
  <c r="E120" i="17"/>
  <c r="E118" i="17"/>
  <c r="E116" i="17"/>
  <c r="E114" i="17"/>
  <c r="E112" i="17"/>
  <c r="F314" i="17"/>
  <c r="F312" i="17"/>
  <c r="F310" i="17"/>
  <c r="F308" i="17"/>
  <c r="F306" i="17"/>
  <c r="F304" i="17"/>
  <c r="F302" i="17"/>
  <c r="F300" i="17"/>
  <c r="F298" i="17"/>
  <c r="F296" i="17"/>
  <c r="F294" i="17"/>
  <c r="F292" i="17"/>
  <c r="F290" i="17"/>
  <c r="F288" i="17"/>
  <c r="F286" i="17"/>
  <c r="F284" i="17"/>
  <c r="F282" i="17"/>
  <c r="F280" i="17"/>
  <c r="F278" i="17"/>
  <c r="F276" i="17"/>
  <c r="F274" i="17"/>
  <c r="F272" i="17"/>
  <c r="F270" i="17"/>
  <c r="F268" i="17"/>
  <c r="F266" i="17"/>
  <c r="F264" i="17"/>
  <c r="F262" i="17"/>
  <c r="F260" i="17"/>
  <c r="F258" i="17"/>
  <c r="F256" i="17"/>
  <c r="F254" i="17"/>
  <c r="F252" i="17"/>
  <c r="F250" i="17"/>
  <c r="F248" i="17"/>
  <c r="F246" i="17"/>
  <c r="F244" i="17"/>
  <c r="F242" i="17"/>
  <c r="F240" i="17"/>
  <c r="F238" i="17"/>
  <c r="F236" i="17"/>
  <c r="F234" i="17"/>
  <c r="F232" i="17"/>
  <c r="F230" i="17"/>
  <c r="F228" i="17"/>
  <c r="F226" i="17"/>
  <c r="F224" i="17"/>
  <c r="F222" i="17"/>
  <c r="F220" i="17"/>
  <c r="F218" i="17"/>
  <c r="F216" i="17"/>
  <c r="F214" i="17"/>
  <c r="F212" i="17"/>
  <c r="F210" i="17"/>
  <c r="F208" i="17"/>
  <c r="F206" i="17"/>
  <c r="F204" i="17"/>
  <c r="F202" i="17"/>
  <c r="F200" i="17"/>
  <c r="F198" i="17"/>
  <c r="F196" i="17"/>
  <c r="F194" i="17"/>
  <c r="E277" i="17"/>
  <c r="E273" i="17"/>
  <c r="E269" i="17"/>
  <c r="E265" i="17"/>
  <c r="E261" i="17"/>
  <c r="E257" i="17"/>
  <c r="E253" i="17"/>
  <c r="E249" i="17"/>
  <c r="E245" i="17"/>
  <c r="E241" i="17"/>
  <c r="E237" i="17"/>
  <c r="E233" i="17"/>
  <c r="E229" i="17"/>
  <c r="E225" i="17"/>
  <c r="E221" i="17"/>
  <c r="E217" i="17"/>
  <c r="E213" i="17"/>
  <c r="E209" i="17"/>
  <c r="E205" i="17"/>
  <c r="E201" i="17"/>
  <c r="E197" i="17"/>
  <c r="E193" i="17"/>
  <c r="E191" i="17"/>
  <c r="E189" i="17"/>
  <c r="E187" i="17"/>
  <c r="E185" i="17"/>
  <c r="E183" i="17"/>
  <c r="E181" i="17"/>
  <c r="E179" i="17"/>
  <c r="E177" i="17"/>
  <c r="E175" i="17"/>
  <c r="E173" i="17"/>
  <c r="E171" i="17"/>
  <c r="E169" i="17"/>
  <c r="E167" i="17"/>
  <c r="E165" i="17"/>
  <c r="E163" i="17"/>
  <c r="E161" i="17"/>
  <c r="E159" i="17"/>
  <c r="E157" i="17"/>
  <c r="E155" i="17"/>
  <c r="E153" i="17"/>
  <c r="E151" i="17"/>
  <c r="E149" i="17"/>
  <c r="E147" i="17"/>
  <c r="E145" i="17"/>
  <c r="E143" i="17"/>
  <c r="E141" i="17"/>
  <c r="E139" i="17"/>
  <c r="E137" i="17"/>
  <c r="E135" i="17"/>
  <c r="E133" i="17"/>
  <c r="E131" i="17"/>
  <c r="E129" i="17"/>
  <c r="E127" i="17"/>
  <c r="E125" i="17"/>
  <c r="E123" i="17"/>
  <c r="E121" i="17"/>
  <c r="E119" i="17"/>
  <c r="E117" i="17"/>
  <c r="E115" i="17"/>
  <c r="E113" i="17"/>
  <c r="E111" i="17"/>
  <c r="E279" i="17"/>
  <c r="E275" i="17"/>
  <c r="E271" i="17"/>
  <c r="E267" i="17"/>
  <c r="E263" i="17"/>
  <c r="E259" i="17"/>
  <c r="E255" i="17"/>
  <c r="E251" i="17"/>
  <c r="E247" i="17"/>
  <c r="E243" i="17"/>
  <c r="E239" i="17"/>
  <c r="E235" i="17"/>
  <c r="E231" i="17"/>
  <c r="E227" i="17"/>
  <c r="E223" i="17"/>
  <c r="E219" i="17"/>
  <c r="E215" i="17"/>
  <c r="E211" i="17"/>
  <c r="E207" i="17"/>
  <c r="E203" i="17"/>
  <c r="E199" i="17"/>
  <c r="E195" i="17"/>
  <c r="F192" i="17"/>
  <c r="F190" i="17"/>
  <c r="F188" i="17"/>
  <c r="F186" i="17"/>
  <c r="F184" i="17"/>
  <c r="F182" i="17"/>
  <c r="F180" i="17"/>
  <c r="F178" i="17"/>
  <c r="F176" i="17"/>
  <c r="F174" i="17"/>
  <c r="F172" i="17"/>
  <c r="F170" i="17"/>
  <c r="F168" i="17"/>
  <c r="F166" i="17"/>
  <c r="F164" i="17"/>
  <c r="F162" i="17"/>
  <c r="F160" i="17"/>
  <c r="F158" i="17"/>
  <c r="F156" i="17"/>
  <c r="F154" i="17"/>
  <c r="F152" i="17"/>
  <c r="F150" i="17"/>
  <c r="F148" i="17"/>
  <c r="F146" i="17"/>
  <c r="F144" i="17"/>
  <c r="F142" i="17"/>
  <c r="F140" i="17"/>
  <c r="F138" i="17"/>
  <c r="F136" i="17"/>
  <c r="F134" i="17"/>
  <c r="F132" i="17"/>
  <c r="F130" i="17"/>
  <c r="F128" i="17"/>
  <c r="F126" i="17"/>
  <c r="F124" i="17"/>
  <c r="F122" i="17"/>
  <c r="F120" i="17"/>
  <c r="F118" i="17"/>
  <c r="F116" i="17"/>
  <c r="F114" i="17"/>
  <c r="F112" i="17"/>
  <c r="F110" i="17"/>
  <c r="E13" i="17"/>
  <c r="F14" i="17"/>
  <c r="E15" i="17"/>
  <c r="F16" i="17"/>
  <c r="E17" i="17"/>
  <c r="F18" i="17"/>
  <c r="E19" i="17"/>
  <c r="F20" i="17"/>
  <c r="E21" i="17"/>
  <c r="F22" i="17"/>
  <c r="E23" i="17"/>
  <c r="F24" i="17"/>
  <c r="E25" i="17"/>
  <c r="F26" i="17"/>
  <c r="E27" i="17"/>
  <c r="F28" i="17"/>
  <c r="E29" i="17"/>
  <c r="F30" i="17"/>
  <c r="E31" i="17"/>
  <c r="F32" i="17"/>
  <c r="E33" i="17"/>
  <c r="F34" i="17"/>
  <c r="E35" i="17"/>
  <c r="F36" i="17"/>
  <c r="E37" i="17"/>
  <c r="F38" i="17"/>
  <c r="E39" i="17"/>
  <c r="F40" i="17"/>
  <c r="E41" i="17"/>
  <c r="F42" i="17"/>
  <c r="E43" i="17"/>
  <c r="F44" i="17"/>
  <c r="E45" i="17"/>
  <c r="F46" i="17"/>
  <c r="E47" i="17"/>
  <c r="F48" i="17"/>
  <c r="E49" i="17"/>
  <c r="F50" i="17"/>
  <c r="E51" i="17"/>
  <c r="F52" i="17"/>
  <c r="E53" i="17"/>
  <c r="F54" i="17"/>
  <c r="E55" i="17"/>
  <c r="F56" i="17"/>
  <c r="E57" i="17"/>
  <c r="F58" i="17"/>
  <c r="E59" i="17"/>
  <c r="F60" i="17"/>
  <c r="E61" i="17"/>
  <c r="F62" i="17"/>
  <c r="E63" i="17"/>
  <c r="F64" i="17"/>
  <c r="E65" i="17"/>
  <c r="F66" i="17"/>
  <c r="E67" i="17"/>
  <c r="F68" i="17"/>
  <c r="E69" i="17"/>
  <c r="F70" i="17"/>
  <c r="E71" i="17"/>
  <c r="F72" i="17"/>
  <c r="E73" i="17"/>
  <c r="F74" i="17"/>
  <c r="E75" i="17"/>
  <c r="F76" i="17"/>
  <c r="E77" i="17"/>
  <c r="F78" i="17"/>
  <c r="E79" i="17"/>
  <c r="F80" i="17"/>
  <c r="E81" i="17"/>
  <c r="F82" i="17"/>
  <c r="E83" i="17"/>
  <c r="F84" i="17"/>
  <c r="E85" i="17"/>
  <c r="F86" i="17"/>
  <c r="E87" i="17"/>
  <c r="F88" i="17"/>
  <c r="E89" i="17"/>
  <c r="F90" i="17"/>
  <c r="E91" i="17"/>
  <c r="F92" i="17"/>
  <c r="E93" i="17"/>
  <c r="F94" i="17"/>
  <c r="E95" i="17"/>
  <c r="F96" i="17"/>
  <c r="E97" i="17"/>
  <c r="F98" i="17"/>
  <c r="E99" i="17"/>
  <c r="F100" i="17"/>
  <c r="E101" i="17"/>
  <c r="F102" i="17"/>
  <c r="E103" i="17"/>
  <c r="F104" i="17"/>
  <c r="E105" i="17"/>
  <c r="F106" i="17"/>
  <c r="E107" i="17"/>
  <c r="F108" i="17"/>
  <c r="E109" i="17"/>
  <c r="E626" i="17"/>
  <c r="F626" i="17"/>
  <c r="C3" i="17"/>
  <c r="B20" i="2"/>
  <c r="B74" i="2" s="1"/>
  <c r="B18" i="2"/>
  <c r="B19" i="2"/>
  <c r="C57" i="2" s="1"/>
  <c r="N14" i="8"/>
  <c r="G3" i="8"/>
  <c r="G159" i="8" s="1"/>
  <c r="G158" i="8" s="1"/>
  <c r="G157" i="8" s="1"/>
  <c r="G156" i="8" s="1"/>
  <c r="G155" i="8" s="1"/>
  <c r="G154" i="8" s="1"/>
  <c r="G153" i="8" s="1"/>
  <c r="G152" i="8" s="1"/>
  <c r="G151" i="8" s="1"/>
  <c r="G150" i="8" s="1"/>
  <c r="G149" i="8" s="1"/>
  <c r="G148" i="8" s="1"/>
  <c r="G147" i="8" s="1"/>
  <c r="G146" i="8" s="1"/>
  <c r="G145" i="8" s="1"/>
  <c r="G144" i="8" s="1"/>
  <c r="G143" i="8" s="1"/>
  <c r="G142" i="8" s="1"/>
  <c r="G141" i="8" s="1"/>
  <c r="G140" i="8" s="1"/>
  <c r="G139" i="8" s="1"/>
  <c r="G138" i="8" s="1"/>
  <c r="G137" i="8" s="1"/>
  <c r="G136" i="8" s="1"/>
  <c r="G135" i="8" s="1"/>
  <c r="G134" i="8" s="1"/>
  <c r="G133" i="8" s="1"/>
  <c r="G132" i="8" s="1"/>
  <c r="G131" i="8" s="1"/>
  <c r="G130" i="8" s="1"/>
  <c r="G129" i="8" s="1"/>
  <c r="G128" i="8" s="1"/>
  <c r="G127" i="8" s="1"/>
  <c r="G126" i="8" s="1"/>
  <c r="G125" i="8" s="1"/>
  <c r="G124" i="8" s="1"/>
  <c r="G123" i="8" s="1"/>
  <c r="G122" i="8" s="1"/>
  <c r="G121" i="8" s="1"/>
  <c r="G120" i="8" s="1"/>
  <c r="G119" i="8" s="1"/>
  <c r="G118" i="8" s="1"/>
  <c r="G117" i="8" s="1"/>
  <c r="G116" i="8" s="1"/>
  <c r="G115" i="8" s="1"/>
  <c r="G114" i="8" s="1"/>
  <c r="G113" i="8" s="1"/>
  <c r="G112" i="8" s="1"/>
  <c r="G111" i="8" s="1"/>
  <c r="G110" i="8" s="1"/>
  <c r="G109" i="8" s="1"/>
  <c r="G108" i="8" s="1"/>
  <c r="G107" i="8" s="1"/>
  <c r="G106" i="8" s="1"/>
  <c r="G105" i="8" s="1"/>
  <c r="G104" i="8" s="1"/>
  <c r="G103" i="8" s="1"/>
  <c r="G102" i="8" s="1"/>
  <c r="G101" i="8" s="1"/>
  <c r="G100" i="8" s="1"/>
  <c r="G99" i="8" s="1"/>
  <c r="G98" i="8" s="1"/>
  <c r="G97" i="8" s="1"/>
  <c r="G96" i="8" s="1"/>
  <c r="G95" i="8" s="1"/>
  <c r="G94" i="8" s="1"/>
  <c r="G93" i="8" s="1"/>
  <c r="G92" i="8" s="1"/>
  <c r="G91" i="8" s="1"/>
  <c r="G90" i="8" s="1"/>
  <c r="G89" i="8" s="1"/>
  <c r="G88" i="8" s="1"/>
  <c r="G87" i="8" s="1"/>
  <c r="G86" i="8" s="1"/>
  <c r="G85" i="8" s="1"/>
  <c r="G84" i="8" s="1"/>
  <c r="G83" i="8" s="1"/>
  <c r="G82" i="8" s="1"/>
  <c r="G81" i="8" s="1"/>
  <c r="G80" i="8" s="1"/>
  <c r="G79" i="8" s="1"/>
  <c r="G78" i="8" s="1"/>
  <c r="G77" i="8" s="1"/>
  <c r="G76" i="8" s="1"/>
  <c r="G75" i="8" s="1"/>
  <c r="G74" i="8" s="1"/>
  <c r="G73" i="8" s="1"/>
  <c r="G72" i="8" s="1"/>
  <c r="G71" i="8" s="1"/>
  <c r="G70" i="8" s="1"/>
  <c r="G69" i="8" s="1"/>
  <c r="G68" i="8" s="1"/>
  <c r="G67" i="8" s="1"/>
  <c r="G66" i="8" s="1"/>
  <c r="G65" i="8" s="1"/>
  <c r="G64" i="8" s="1"/>
  <c r="G63" i="8" s="1"/>
  <c r="G62" i="8" s="1"/>
  <c r="G61" i="8" s="1"/>
  <c r="G60" i="8" s="1"/>
  <c r="G59" i="8" s="1"/>
  <c r="G58" i="8" s="1"/>
  <c r="G57" i="8" s="1"/>
  <c r="G56" i="8" s="1"/>
  <c r="G55" i="8" s="1"/>
  <c r="G54" i="8" s="1"/>
  <c r="G53" i="8" s="1"/>
  <c r="G52" i="8" s="1"/>
  <c r="G51" i="8" s="1"/>
  <c r="G50" i="8" s="1"/>
  <c r="G49" i="8" s="1"/>
  <c r="G48" i="8" s="1"/>
  <c r="G47" i="8" s="1"/>
  <c r="G46" i="8" s="1"/>
  <c r="G45" i="8" s="1"/>
  <c r="G44" i="8" s="1"/>
  <c r="G43" i="8" s="1"/>
  <c r="G42" i="8" s="1"/>
  <c r="G41" i="8" s="1"/>
  <c r="G40" i="8" s="1"/>
  <c r="G39" i="8" s="1"/>
  <c r="G38" i="8" s="1"/>
  <c r="G37" i="8" s="1"/>
  <c r="G36" i="8" s="1"/>
  <c r="G35" i="8" s="1"/>
  <c r="G34" i="8" s="1"/>
  <c r="G33" i="8" s="1"/>
  <c r="G32" i="8" s="1"/>
  <c r="G31" i="8" s="1"/>
  <c r="G30" i="8" s="1"/>
  <c r="G29" i="8" s="1"/>
  <c r="G28" i="8" s="1"/>
  <c r="G27" i="8" s="1"/>
  <c r="G26" i="8" s="1"/>
  <c r="G25" i="8" s="1"/>
  <c r="G24" i="8" s="1"/>
  <c r="G23" i="8" s="1"/>
  <c r="G22" i="8" s="1"/>
  <c r="G21" i="8" s="1"/>
  <c r="G20" i="8" s="1"/>
  <c r="G19" i="8" s="1"/>
  <c r="G18" i="8" s="1"/>
  <c r="G17" i="8" s="1"/>
  <c r="G16" i="8" s="1"/>
  <c r="G15" i="8" s="1"/>
  <c r="G14" i="8" s="1"/>
  <c r="G13" i="8" s="1"/>
  <c r="G12" i="8" s="1"/>
  <c r="G11" i="8" s="1"/>
  <c r="G10" i="8" s="1"/>
  <c r="G9" i="8" s="1"/>
  <c r="G8" i="8" s="1"/>
  <c r="G7" i="8" s="1"/>
  <c r="G6" i="8" s="1"/>
  <c r="B49" i="2"/>
  <c r="B469" i="2"/>
  <c r="O10" i="8"/>
  <c r="B334" i="2" s="1"/>
  <c r="B452" i="2" s="1"/>
  <c r="C67" i="16"/>
  <c r="D67" i="16" s="1"/>
  <c r="B411" i="2"/>
  <c r="B412" i="2" s="1"/>
  <c r="B70" i="2"/>
  <c r="E69" i="1"/>
  <c r="B206" i="2"/>
  <c r="E59" i="1" s="1"/>
  <c r="C57" i="16" s="1"/>
  <c r="D57" i="16" s="1"/>
  <c r="B470" i="2"/>
  <c r="B62" i="2" l="1"/>
  <c r="B460" i="2"/>
  <c r="B450" i="2"/>
  <c r="A450" i="2"/>
  <c r="J27" i="20"/>
  <c r="AY27" i="20" s="1"/>
  <c r="BA27" i="20" s="1"/>
  <c r="J35" i="20"/>
  <c r="AY35" i="20" s="1"/>
  <c r="BA35" i="20" s="1"/>
  <c r="J24" i="20"/>
  <c r="AY24" i="20" s="1"/>
  <c r="BA24" i="20" s="1"/>
  <c r="J32" i="20"/>
  <c r="AY32" i="20" s="1"/>
  <c r="BA32" i="20" s="1"/>
  <c r="J40" i="20"/>
  <c r="AY40" i="20" s="1"/>
  <c r="BA40" i="20" s="1"/>
  <c r="J52" i="20"/>
  <c r="AY52" i="20" s="1"/>
  <c r="BA52" i="20" s="1"/>
  <c r="J60" i="20"/>
  <c r="AY60" i="20" s="1"/>
  <c r="BA60" i="20" s="1"/>
  <c r="J68" i="20"/>
  <c r="AY68" i="20" s="1"/>
  <c r="BA68" i="20" s="1"/>
  <c r="J76" i="20"/>
  <c r="AY76" i="20" s="1"/>
  <c r="BA76" i="20" s="1"/>
  <c r="J84" i="20"/>
  <c r="AY84" i="20" s="1"/>
  <c r="BA84" i="20" s="1"/>
  <c r="J92" i="20"/>
  <c r="AY92" i="20" s="1"/>
  <c r="BA92" i="20" s="1"/>
  <c r="J100" i="20"/>
  <c r="AY100" i="20" s="1"/>
  <c r="BA100" i="20" s="1"/>
  <c r="J108" i="20"/>
  <c r="AY108" i="20" s="1"/>
  <c r="BA108" i="20" s="1"/>
  <c r="J16" i="20"/>
  <c r="AY16" i="20" s="1"/>
  <c r="BA16" i="20" s="1"/>
  <c r="J47" i="20"/>
  <c r="AY47" i="20" s="1"/>
  <c r="BA47" i="20" s="1"/>
  <c r="J55" i="20"/>
  <c r="AY55" i="20" s="1"/>
  <c r="BA55" i="20" s="1"/>
  <c r="J63" i="20"/>
  <c r="AY63" i="20" s="1"/>
  <c r="BA63" i="20" s="1"/>
  <c r="J71" i="20"/>
  <c r="AY71" i="20" s="1"/>
  <c r="BA71" i="20" s="1"/>
  <c r="J79" i="20"/>
  <c r="AY79" i="20" s="1"/>
  <c r="BA79" i="20" s="1"/>
  <c r="J87" i="20"/>
  <c r="AY87" i="20" s="1"/>
  <c r="BA87" i="20" s="1"/>
  <c r="J95" i="20"/>
  <c r="AY95" i="20" s="1"/>
  <c r="BA95" i="20" s="1"/>
  <c r="J103" i="20"/>
  <c r="AY103" i="20" s="1"/>
  <c r="BA103" i="20" s="1"/>
  <c r="J11" i="20"/>
  <c r="AY11" i="20" s="1"/>
  <c r="BA11" i="20" s="1"/>
  <c r="J19" i="20"/>
  <c r="AY19" i="20" s="1"/>
  <c r="BA19" i="20" s="1"/>
  <c r="B60" i="2"/>
  <c r="J28" i="20"/>
  <c r="AY28" i="20" s="1"/>
  <c r="BA28" i="20" s="1"/>
  <c r="J44" i="20"/>
  <c r="AY44" i="20" s="1"/>
  <c r="BA44" i="20" s="1"/>
  <c r="J48" i="20"/>
  <c r="AY48" i="20" s="1"/>
  <c r="BA48" i="20" s="1"/>
  <c r="J56" i="20"/>
  <c r="AY56" i="20" s="1"/>
  <c r="BA56" i="20" s="1"/>
  <c r="J64" i="20"/>
  <c r="AY64" i="20" s="1"/>
  <c r="BA64" i="20" s="1"/>
  <c r="J72" i="20"/>
  <c r="AY72" i="20" s="1"/>
  <c r="BA72" i="20" s="1"/>
  <c r="J80" i="20"/>
  <c r="AY80" i="20" s="1"/>
  <c r="BA80" i="20" s="1"/>
  <c r="J88" i="20"/>
  <c r="AY88" i="20" s="1"/>
  <c r="BA88" i="20" s="1"/>
  <c r="J96" i="20"/>
  <c r="AY96" i="20" s="1"/>
  <c r="BA96" i="20" s="1"/>
  <c r="J104" i="20"/>
  <c r="AY104" i="20" s="1"/>
  <c r="BA104" i="20" s="1"/>
  <c r="J12" i="20"/>
  <c r="AY12" i="20" s="1"/>
  <c r="BA12" i="20" s="1"/>
  <c r="J20" i="20"/>
  <c r="AY20" i="20" s="1"/>
  <c r="BA20" i="20" s="1"/>
  <c r="J43" i="20"/>
  <c r="AY43" i="20" s="1"/>
  <c r="BA43" i="20" s="1"/>
  <c r="J23" i="20"/>
  <c r="AY23" i="20" s="1"/>
  <c r="BA23" i="20" s="1"/>
  <c r="J39" i="20"/>
  <c r="AY39" i="20" s="1"/>
  <c r="BA39" i="20" s="1"/>
  <c r="J36" i="20"/>
  <c r="AY36" i="20" s="1"/>
  <c r="BA36" i="20" s="1"/>
  <c r="J51" i="20"/>
  <c r="AY51" i="20" s="1"/>
  <c r="BA51" i="20" s="1"/>
  <c r="J59" i="20"/>
  <c r="AY59" i="20" s="1"/>
  <c r="BA59" i="20" s="1"/>
  <c r="J67" i="20"/>
  <c r="AY67" i="20" s="1"/>
  <c r="BA67" i="20" s="1"/>
  <c r="J75" i="20"/>
  <c r="AY75" i="20" s="1"/>
  <c r="BA75" i="20" s="1"/>
  <c r="J83" i="20"/>
  <c r="AY83" i="20" s="1"/>
  <c r="BA83" i="20" s="1"/>
  <c r="J91" i="20"/>
  <c r="AY91" i="20" s="1"/>
  <c r="BA91" i="20" s="1"/>
  <c r="J99" i="20"/>
  <c r="AY99" i="20" s="1"/>
  <c r="BA99" i="20" s="1"/>
  <c r="J107" i="20"/>
  <c r="AY107" i="20" s="1"/>
  <c r="BA107" i="20" s="1"/>
  <c r="J15" i="20"/>
  <c r="AY15" i="20" s="1"/>
  <c r="BA15" i="20" s="1"/>
  <c r="AY9" i="20"/>
  <c r="BA9" i="20" s="1"/>
  <c r="B75" i="20" s="1"/>
  <c r="B76" i="20" s="1"/>
  <c r="AC158" i="20"/>
  <c r="AC160" i="20"/>
  <c r="AC162" i="20"/>
  <c r="AC164" i="20"/>
  <c r="AC166" i="20"/>
  <c r="AC168" i="20"/>
  <c r="AC170" i="20"/>
  <c r="AC172" i="20"/>
  <c r="AC174" i="20"/>
  <c r="AC176" i="20"/>
  <c r="AC178" i="20"/>
  <c r="AC180" i="20"/>
  <c r="AC182" i="20"/>
  <c r="AC184" i="20"/>
  <c r="AC186" i="20"/>
  <c r="AC188" i="20"/>
  <c r="AC190" i="20"/>
  <c r="AC192" i="20"/>
  <c r="AC194" i="20"/>
  <c r="AC196" i="20"/>
  <c r="AC198" i="20"/>
  <c r="AC200" i="20"/>
  <c r="AC202" i="20"/>
  <c r="AC204" i="20"/>
  <c r="AC157" i="20"/>
  <c r="AC161" i="20"/>
  <c r="AC165" i="20"/>
  <c r="AC169" i="20"/>
  <c r="AC173" i="20"/>
  <c r="AC177" i="20"/>
  <c r="AC181" i="20"/>
  <c r="AC185" i="20"/>
  <c r="AC189" i="20"/>
  <c r="AC193" i="20"/>
  <c r="AC197" i="20"/>
  <c r="AC201" i="20"/>
  <c r="AC205" i="20"/>
  <c r="AC207" i="20"/>
  <c r="AC209" i="20"/>
  <c r="AC175" i="20"/>
  <c r="AC183" i="20"/>
  <c r="AC191" i="20"/>
  <c r="AC199" i="20"/>
  <c r="AC206" i="20"/>
  <c r="AC159" i="20"/>
  <c r="AC163" i="20"/>
  <c r="AC167" i="20"/>
  <c r="AC171" i="20"/>
  <c r="AC179" i="20"/>
  <c r="AC187" i="20"/>
  <c r="AC195" i="20"/>
  <c r="AC203" i="20"/>
  <c r="AC208" i="20"/>
  <c r="AC90" i="21"/>
  <c r="AC86" i="21"/>
  <c r="AC82" i="21"/>
  <c r="AC55" i="21"/>
  <c r="AC40" i="21"/>
  <c r="AC35" i="21"/>
  <c r="AC57" i="21"/>
  <c r="AC50" i="21"/>
  <c r="AC43" i="21"/>
  <c r="AC34" i="21"/>
  <c r="AC26" i="21"/>
  <c r="AC89" i="21"/>
  <c r="AC85" i="21"/>
  <c r="AC81" i="21"/>
  <c r="AC75" i="21"/>
  <c r="AC69" i="21"/>
  <c r="AC66" i="21"/>
  <c r="AC64" i="21"/>
  <c r="AC62" i="21"/>
  <c r="AC60" i="21"/>
  <c r="AC53" i="21"/>
  <c r="AC31" i="21"/>
  <c r="AC24" i="21"/>
  <c r="AC56" i="21"/>
  <c r="AC48" i="21"/>
  <c r="AC41" i="21"/>
  <c r="AC33" i="21"/>
  <c r="AC25" i="21"/>
  <c r="AC21" i="21"/>
  <c r="AC16" i="21"/>
  <c r="AC14" i="21"/>
  <c r="AC12" i="21"/>
  <c r="AC9" i="21"/>
  <c r="AC18" i="21"/>
  <c r="AC10" i="21"/>
  <c r="AC32" i="21"/>
  <c r="AC44" i="21"/>
  <c r="AC51" i="21"/>
  <c r="AC92" i="21"/>
  <c r="AC94" i="21"/>
  <c r="AC96" i="21"/>
  <c r="AC98" i="21"/>
  <c r="AC100" i="21"/>
  <c r="AC102" i="21"/>
  <c r="AC104" i="21"/>
  <c r="AC106" i="21"/>
  <c r="AC108" i="21"/>
  <c r="AC70" i="21"/>
  <c r="AC73" i="21"/>
  <c r="AC76" i="21"/>
  <c r="AC79" i="21"/>
  <c r="AC88" i="21"/>
  <c r="AC84" i="21"/>
  <c r="AC80" i="21"/>
  <c r="AC49" i="21"/>
  <c r="AC36" i="21"/>
  <c r="AC27" i="21"/>
  <c r="AC54" i="21"/>
  <c r="AC47" i="21"/>
  <c r="AC39" i="21"/>
  <c r="AC28" i="21"/>
  <c r="AC22" i="21"/>
  <c r="AC87" i="21"/>
  <c r="AC83" i="21"/>
  <c r="AC77" i="21"/>
  <c r="AC72" i="21"/>
  <c r="AC67" i="21"/>
  <c r="AC65" i="21"/>
  <c r="AC63" i="21"/>
  <c r="AC61" i="21"/>
  <c r="AC58" i="21"/>
  <c r="AC38" i="21"/>
  <c r="AC30" i="21"/>
  <c r="AC68" i="21"/>
  <c r="AC52" i="21"/>
  <c r="AC45" i="21"/>
  <c r="AC37" i="21"/>
  <c r="AC29" i="21"/>
  <c r="AC23" i="21"/>
  <c r="AC19" i="21"/>
  <c r="AC15" i="21"/>
  <c r="AC13" i="21"/>
  <c r="AC11" i="21"/>
  <c r="AC20" i="21"/>
  <c r="AC17" i="21"/>
  <c r="AC59" i="21"/>
  <c r="AC42" i="21"/>
  <c r="AC46" i="21"/>
  <c r="AC91" i="21"/>
  <c r="AC93" i="21"/>
  <c r="AC95" i="21"/>
  <c r="AC97" i="21"/>
  <c r="AC99" i="21"/>
  <c r="AC101" i="21"/>
  <c r="AC103" i="21"/>
  <c r="AC105" i="21"/>
  <c r="AC107" i="21"/>
  <c r="AC109" i="21"/>
  <c r="AC71" i="21"/>
  <c r="AC74" i="21"/>
  <c r="AC78" i="21"/>
  <c r="AU90" i="21"/>
  <c r="AU86" i="21"/>
  <c r="AU82" i="21"/>
  <c r="AU55" i="21"/>
  <c r="AU40" i="21"/>
  <c r="AU35" i="21"/>
  <c r="AU57" i="21"/>
  <c r="AU50" i="21"/>
  <c r="AU43" i="21"/>
  <c r="AU34" i="21"/>
  <c r="AU26" i="21"/>
  <c r="AU89" i="21"/>
  <c r="AU85" i="21"/>
  <c r="AU81" i="21"/>
  <c r="AU75" i="21"/>
  <c r="AU69" i="21"/>
  <c r="AU66" i="21"/>
  <c r="AU64" i="21"/>
  <c r="AU62" i="21"/>
  <c r="AU60" i="21"/>
  <c r="AU53" i="21"/>
  <c r="AU31" i="21"/>
  <c r="AU24" i="21"/>
  <c r="AU56" i="21"/>
  <c r="AU48" i="21"/>
  <c r="AU41" i="21"/>
  <c r="AU33" i="21"/>
  <c r="AU25" i="21"/>
  <c r="AU21" i="21"/>
  <c r="AU16" i="21"/>
  <c r="AU14" i="21"/>
  <c r="AU12" i="21"/>
  <c r="AU9" i="21"/>
  <c r="AU18" i="21"/>
  <c r="AU10" i="21"/>
  <c r="AU32" i="21"/>
  <c r="AU44" i="21"/>
  <c r="AU51" i="21"/>
  <c r="AU92" i="21"/>
  <c r="AU94" i="21"/>
  <c r="AU96" i="21"/>
  <c r="AU98" i="21"/>
  <c r="AU100" i="21"/>
  <c r="AU102" i="21"/>
  <c r="AU104" i="21"/>
  <c r="AU106" i="21"/>
  <c r="AU108" i="21"/>
  <c r="AU70" i="21"/>
  <c r="AU73" i="21"/>
  <c r="AU76" i="21"/>
  <c r="AU79" i="21"/>
  <c r="AU88" i="21"/>
  <c r="AU84" i="21"/>
  <c r="AU80" i="21"/>
  <c r="AU49" i="21"/>
  <c r="AU36" i="21"/>
  <c r="AU27" i="21"/>
  <c r="AU54" i="21"/>
  <c r="AU47" i="21"/>
  <c r="AU39" i="21"/>
  <c r="AU28" i="21"/>
  <c r="AU22" i="21"/>
  <c r="AU87" i="21"/>
  <c r="AU83" i="21"/>
  <c r="AU77" i="21"/>
  <c r="AU72" i="21"/>
  <c r="AU67" i="21"/>
  <c r="AU65" i="21"/>
  <c r="AU63" i="21"/>
  <c r="AU61" i="21"/>
  <c r="AU58" i="21"/>
  <c r="AU38" i="21"/>
  <c r="AU30" i="21"/>
  <c r="AU68" i="21"/>
  <c r="AU52" i="21"/>
  <c r="AU45" i="21"/>
  <c r="AU37" i="21"/>
  <c r="AU29" i="21"/>
  <c r="AU23" i="21"/>
  <c r="AU19" i="21"/>
  <c r="AU15" i="21"/>
  <c r="AU13" i="21"/>
  <c r="AU11" i="21"/>
  <c r="AU20" i="21"/>
  <c r="AU17" i="21"/>
  <c r="AU59" i="21"/>
  <c r="AU42" i="21"/>
  <c r="AU46" i="21"/>
  <c r="AU91" i="21"/>
  <c r="AU93" i="21"/>
  <c r="AU95" i="21"/>
  <c r="AU97" i="21"/>
  <c r="AU99" i="21"/>
  <c r="AU101" i="21"/>
  <c r="AU103" i="21"/>
  <c r="AU105" i="21"/>
  <c r="AU107" i="21"/>
  <c r="AU109" i="21"/>
  <c r="AU71" i="21"/>
  <c r="AU74" i="21"/>
  <c r="AU78" i="21"/>
  <c r="O90" i="21"/>
  <c r="M90" i="21" s="1"/>
  <c r="N90" i="21"/>
  <c r="O86" i="21"/>
  <c r="M86" i="21" s="1"/>
  <c r="N86" i="21"/>
  <c r="O82" i="21"/>
  <c r="M82" i="21" s="1"/>
  <c r="N82" i="21"/>
  <c r="O55" i="21"/>
  <c r="M55" i="21" s="1"/>
  <c r="N55" i="21"/>
  <c r="O40" i="21"/>
  <c r="M40" i="21" s="1"/>
  <c r="N40" i="21"/>
  <c r="O35" i="21"/>
  <c r="M35" i="21" s="1"/>
  <c r="N35" i="21"/>
  <c r="O57" i="21"/>
  <c r="M57" i="21" s="1"/>
  <c r="N57" i="21"/>
  <c r="O50" i="21"/>
  <c r="M50" i="21" s="1"/>
  <c r="N50" i="21"/>
  <c r="O43" i="21"/>
  <c r="M43" i="21" s="1"/>
  <c r="N43" i="21"/>
  <c r="O34" i="21"/>
  <c r="M34" i="21" s="1"/>
  <c r="N34" i="21"/>
  <c r="O26" i="21"/>
  <c r="M26" i="21" s="1"/>
  <c r="N26" i="21"/>
  <c r="N89" i="21"/>
  <c r="O89" i="21"/>
  <c r="M89" i="21" s="1"/>
  <c r="N85" i="21"/>
  <c r="O85" i="21"/>
  <c r="N81" i="21"/>
  <c r="O81" i="21"/>
  <c r="M81" i="21" s="1"/>
  <c r="N75" i="21"/>
  <c r="O75" i="21"/>
  <c r="N69" i="21"/>
  <c r="O69" i="21"/>
  <c r="M69" i="21" s="1"/>
  <c r="O66" i="21"/>
  <c r="M66" i="21" s="1"/>
  <c r="N66" i="21"/>
  <c r="O64" i="21"/>
  <c r="M64" i="21" s="1"/>
  <c r="N64" i="21"/>
  <c r="O62" i="21"/>
  <c r="M62" i="21" s="1"/>
  <c r="N62" i="21"/>
  <c r="O60" i="21"/>
  <c r="M60" i="21" s="1"/>
  <c r="N60" i="21"/>
  <c r="O53" i="21"/>
  <c r="M53" i="21" s="1"/>
  <c r="N53" i="21"/>
  <c r="O31" i="21"/>
  <c r="M31" i="21" s="1"/>
  <c r="N31" i="21"/>
  <c r="O24" i="21"/>
  <c r="M24" i="21" s="1"/>
  <c r="N24" i="21"/>
  <c r="O56" i="21"/>
  <c r="M56" i="21" s="1"/>
  <c r="N56" i="21"/>
  <c r="O48" i="21"/>
  <c r="M48" i="21" s="1"/>
  <c r="N48" i="21"/>
  <c r="O41" i="21"/>
  <c r="M41" i="21" s="1"/>
  <c r="N41" i="21"/>
  <c r="O33" i="21"/>
  <c r="M33" i="21" s="1"/>
  <c r="N33" i="21"/>
  <c r="O25" i="21"/>
  <c r="M25" i="21" s="1"/>
  <c r="N25" i="21"/>
  <c r="O21" i="21"/>
  <c r="M21" i="21" s="1"/>
  <c r="N21" i="21"/>
  <c r="O16" i="21"/>
  <c r="M16" i="21" s="1"/>
  <c r="N16" i="21"/>
  <c r="O14" i="21"/>
  <c r="M14" i="21" s="1"/>
  <c r="N14" i="21"/>
  <c r="O12" i="21"/>
  <c r="M12" i="21" s="1"/>
  <c r="N12" i="21"/>
  <c r="O9" i="21"/>
  <c r="M9" i="21" s="1"/>
  <c r="N9" i="21"/>
  <c r="O18" i="21"/>
  <c r="M18" i="21" s="1"/>
  <c r="N18" i="21"/>
  <c r="O10" i="21"/>
  <c r="M10" i="21" s="1"/>
  <c r="N10" i="21"/>
  <c r="O32" i="21"/>
  <c r="M32" i="21" s="1"/>
  <c r="N32" i="21"/>
  <c r="O44" i="21"/>
  <c r="M44" i="21" s="1"/>
  <c r="N44" i="21"/>
  <c r="O51" i="21"/>
  <c r="M51" i="21" s="1"/>
  <c r="N51" i="21"/>
  <c r="O92" i="21"/>
  <c r="M92" i="21" s="1"/>
  <c r="N92" i="21"/>
  <c r="O94" i="21"/>
  <c r="M94" i="21" s="1"/>
  <c r="N94" i="21"/>
  <c r="O96" i="21"/>
  <c r="M96" i="21" s="1"/>
  <c r="N96" i="21"/>
  <c r="O98" i="21"/>
  <c r="M98" i="21" s="1"/>
  <c r="N98" i="21"/>
  <c r="O100" i="21"/>
  <c r="M100" i="21" s="1"/>
  <c r="N100" i="21"/>
  <c r="O102" i="21"/>
  <c r="M102" i="21" s="1"/>
  <c r="N102" i="21"/>
  <c r="O104" i="21"/>
  <c r="M104" i="21" s="1"/>
  <c r="N104" i="21"/>
  <c r="O106" i="21"/>
  <c r="M106" i="21" s="1"/>
  <c r="N106" i="21"/>
  <c r="O108" i="21"/>
  <c r="M108" i="21" s="1"/>
  <c r="N108" i="21"/>
  <c r="O70" i="21"/>
  <c r="M70" i="21" s="1"/>
  <c r="N70" i="21"/>
  <c r="N73" i="21"/>
  <c r="O73" i="21"/>
  <c r="M73" i="21" s="1"/>
  <c r="O76" i="21"/>
  <c r="M76" i="21" s="1"/>
  <c r="N76" i="21"/>
  <c r="N79" i="21"/>
  <c r="O79" i="21"/>
  <c r="M79" i="21" s="1"/>
  <c r="O88" i="21"/>
  <c r="M88" i="21" s="1"/>
  <c r="N88" i="21"/>
  <c r="O84" i="21"/>
  <c r="M84" i="21" s="1"/>
  <c r="N84" i="21"/>
  <c r="O80" i="21"/>
  <c r="M80" i="21" s="1"/>
  <c r="N80" i="21"/>
  <c r="O49" i="21"/>
  <c r="M49" i="21" s="1"/>
  <c r="N49" i="21"/>
  <c r="O36" i="21"/>
  <c r="M36" i="21" s="1"/>
  <c r="N36" i="21"/>
  <c r="O27" i="21"/>
  <c r="M27" i="21" s="1"/>
  <c r="N27" i="21"/>
  <c r="O54" i="21"/>
  <c r="M54" i="21" s="1"/>
  <c r="N54" i="21"/>
  <c r="O47" i="21"/>
  <c r="M47" i="21" s="1"/>
  <c r="N47" i="21"/>
  <c r="O39" i="21"/>
  <c r="M39" i="21" s="1"/>
  <c r="N39" i="21"/>
  <c r="O28" i="21"/>
  <c r="M28" i="21" s="1"/>
  <c r="N28" i="21"/>
  <c r="O22" i="21"/>
  <c r="M22" i="21" s="1"/>
  <c r="N22" i="21"/>
  <c r="N87" i="21"/>
  <c r="O87" i="21"/>
  <c r="M87" i="21" s="1"/>
  <c r="N83" i="21"/>
  <c r="O83" i="21"/>
  <c r="N77" i="21"/>
  <c r="O77" i="21"/>
  <c r="M77" i="21" s="1"/>
  <c r="O72" i="21"/>
  <c r="M72" i="21" s="1"/>
  <c r="N72" i="21"/>
  <c r="O67" i="21"/>
  <c r="M67" i="21" s="1"/>
  <c r="N67" i="21"/>
  <c r="O65" i="21"/>
  <c r="M65" i="21" s="1"/>
  <c r="N65" i="21"/>
  <c r="O63" i="21"/>
  <c r="M63" i="21" s="1"/>
  <c r="N63" i="21"/>
  <c r="O61" i="21"/>
  <c r="M61" i="21" s="1"/>
  <c r="N61" i="21"/>
  <c r="O58" i="21"/>
  <c r="M58" i="21" s="1"/>
  <c r="N58" i="21"/>
  <c r="O38" i="21"/>
  <c r="M38" i="21" s="1"/>
  <c r="N38" i="21"/>
  <c r="O30" i="21"/>
  <c r="M30" i="21" s="1"/>
  <c r="N30" i="21"/>
  <c r="O68" i="21"/>
  <c r="M68" i="21" s="1"/>
  <c r="N68" i="21"/>
  <c r="O52" i="21"/>
  <c r="M52" i="21" s="1"/>
  <c r="N52" i="21"/>
  <c r="O45" i="21"/>
  <c r="M45" i="21" s="1"/>
  <c r="N45" i="21"/>
  <c r="O37" i="21"/>
  <c r="M37" i="21" s="1"/>
  <c r="N37" i="21"/>
  <c r="O29" i="21"/>
  <c r="M29" i="21" s="1"/>
  <c r="N29" i="21"/>
  <c r="O23" i="21"/>
  <c r="M23" i="21" s="1"/>
  <c r="N23" i="21"/>
  <c r="O19" i="21"/>
  <c r="M19" i="21" s="1"/>
  <c r="N19" i="21"/>
  <c r="O15" i="21"/>
  <c r="M15" i="21" s="1"/>
  <c r="N15" i="21"/>
  <c r="O13" i="21"/>
  <c r="M13" i="21" s="1"/>
  <c r="N13" i="21"/>
  <c r="O11" i="21"/>
  <c r="M11" i="21" s="1"/>
  <c r="N11" i="21"/>
  <c r="O20" i="21"/>
  <c r="M20" i="21" s="1"/>
  <c r="N20" i="21"/>
  <c r="O17" i="21"/>
  <c r="M17" i="21" s="1"/>
  <c r="N17" i="21"/>
  <c r="O59" i="21"/>
  <c r="M59" i="21" s="1"/>
  <c r="N59" i="21"/>
  <c r="O42" i="21"/>
  <c r="M42" i="21" s="1"/>
  <c r="N42" i="21"/>
  <c r="O46" i="21"/>
  <c r="M46" i="21" s="1"/>
  <c r="N46" i="21"/>
  <c r="N91" i="21"/>
  <c r="O91" i="21"/>
  <c r="M91" i="21" s="1"/>
  <c r="N93" i="21"/>
  <c r="O93" i="21"/>
  <c r="N95" i="21"/>
  <c r="O95" i="21"/>
  <c r="M95" i="21" s="1"/>
  <c r="N97" i="21"/>
  <c r="O97" i="21"/>
  <c r="N99" i="21"/>
  <c r="O99" i="21"/>
  <c r="M99" i="21" s="1"/>
  <c r="N101" i="21"/>
  <c r="O101" i="21"/>
  <c r="N103" i="21"/>
  <c r="O103" i="21"/>
  <c r="M103" i="21" s="1"/>
  <c r="N105" i="21"/>
  <c r="O105" i="21"/>
  <c r="N107" i="21"/>
  <c r="O107" i="21"/>
  <c r="M107" i="21" s="1"/>
  <c r="N109" i="21"/>
  <c r="O109" i="21"/>
  <c r="N71" i="21"/>
  <c r="O71" i="21"/>
  <c r="M71" i="21" s="1"/>
  <c r="O74" i="21"/>
  <c r="M74" i="21" s="1"/>
  <c r="N74" i="21"/>
  <c r="O78" i="21"/>
  <c r="M78" i="21" s="1"/>
  <c r="N78" i="21"/>
  <c r="AT90" i="21"/>
  <c r="BA90" i="21"/>
  <c r="AT86" i="21"/>
  <c r="BA86" i="21"/>
  <c r="AT82" i="21"/>
  <c r="BA82" i="21"/>
  <c r="BA55" i="21"/>
  <c r="AT55" i="21"/>
  <c r="BA40" i="21"/>
  <c r="AT40" i="21"/>
  <c r="BA35" i="21"/>
  <c r="AT35" i="21"/>
  <c r="AT57" i="21"/>
  <c r="BA57" i="21"/>
  <c r="AT50" i="21"/>
  <c r="BA50" i="21"/>
  <c r="AT43" i="21"/>
  <c r="BA43" i="21"/>
  <c r="AT34" i="21"/>
  <c r="BA34" i="21"/>
  <c r="AT26" i="21"/>
  <c r="BA26" i="21"/>
  <c r="AT89" i="21"/>
  <c r="BA89" i="21"/>
  <c r="AT85" i="21"/>
  <c r="BA85" i="21"/>
  <c r="AT81" i="21"/>
  <c r="BA81" i="21"/>
  <c r="AT75" i="21"/>
  <c r="BA75" i="21"/>
  <c r="BA69" i="21"/>
  <c r="AT69" i="21"/>
  <c r="BA66" i="21"/>
  <c r="AT66" i="21"/>
  <c r="BA64" i="21"/>
  <c r="AT64" i="21"/>
  <c r="BA62" i="21"/>
  <c r="AT62" i="21"/>
  <c r="BA60" i="21"/>
  <c r="AT60" i="21"/>
  <c r="BA53" i="21"/>
  <c r="AT53" i="21"/>
  <c r="BA31" i="21"/>
  <c r="AT31" i="21"/>
  <c r="BA24" i="21"/>
  <c r="AT24" i="21"/>
  <c r="AT56" i="21"/>
  <c r="BA56" i="21"/>
  <c r="AT48" i="21"/>
  <c r="BA48" i="21"/>
  <c r="AT41" i="21"/>
  <c r="BA41" i="21"/>
  <c r="AT33" i="21"/>
  <c r="BA33" i="21"/>
  <c r="AT25" i="21"/>
  <c r="BA25" i="21"/>
  <c r="BA21" i="21"/>
  <c r="AT21" i="21"/>
  <c r="BA16" i="21"/>
  <c r="AT16" i="21"/>
  <c r="BA14" i="21"/>
  <c r="AT14" i="21"/>
  <c r="BA12" i="21"/>
  <c r="AT12" i="21"/>
  <c r="BA9" i="21"/>
  <c r="B75" i="21" s="1"/>
  <c r="B76" i="21" s="1"/>
  <c r="AT9" i="21"/>
  <c r="AT18" i="21"/>
  <c r="BA18" i="21"/>
  <c r="AT10" i="21"/>
  <c r="BA10" i="21"/>
  <c r="BA32" i="21"/>
  <c r="AT32" i="21"/>
  <c r="BA44" i="21"/>
  <c r="AT44" i="21"/>
  <c r="BA51" i="21"/>
  <c r="AT51" i="21"/>
  <c r="AT92" i="21"/>
  <c r="BA92" i="21"/>
  <c r="AT94" i="21"/>
  <c r="BA94" i="21"/>
  <c r="AT96" i="21"/>
  <c r="BA96" i="21"/>
  <c r="AT98" i="21"/>
  <c r="BA98" i="21"/>
  <c r="AT100" i="21"/>
  <c r="BA100" i="21"/>
  <c r="AT102" i="21"/>
  <c r="BA102" i="21"/>
  <c r="AT104" i="21"/>
  <c r="BA104" i="21"/>
  <c r="AT106" i="21"/>
  <c r="BA106" i="21"/>
  <c r="AT108" i="21"/>
  <c r="BA108" i="21"/>
  <c r="BA70" i="21"/>
  <c r="AT70" i="21"/>
  <c r="BA73" i="21"/>
  <c r="AT73" i="21"/>
  <c r="BA76" i="21"/>
  <c r="AT76" i="21"/>
  <c r="BA79" i="21"/>
  <c r="AT79" i="21"/>
  <c r="AT88" i="21"/>
  <c r="BA88" i="21"/>
  <c r="AT84" i="21"/>
  <c r="BA84" i="21"/>
  <c r="AT80" i="21"/>
  <c r="BA80" i="21"/>
  <c r="BA49" i="21"/>
  <c r="AT49" i="21"/>
  <c r="BA36" i="21"/>
  <c r="AT36" i="21"/>
  <c r="BA27" i="21"/>
  <c r="AT27" i="21"/>
  <c r="AT54" i="21"/>
  <c r="BA54" i="21"/>
  <c r="AT47" i="21"/>
  <c r="BA47" i="21"/>
  <c r="AT39" i="21"/>
  <c r="BA39" i="21"/>
  <c r="AT28" i="21"/>
  <c r="BA28" i="21"/>
  <c r="BA22" i="21"/>
  <c r="AT22" i="21"/>
  <c r="AT87" i="21"/>
  <c r="BA87" i="21"/>
  <c r="AT83" i="21"/>
  <c r="BA83" i="21"/>
  <c r="AT77" i="21"/>
  <c r="BA77" i="21"/>
  <c r="AT72" i="21"/>
  <c r="BA72" i="21"/>
  <c r="BA67" i="21"/>
  <c r="AT67" i="21"/>
  <c r="BA65" i="21"/>
  <c r="AT65" i="21"/>
  <c r="BA63" i="21"/>
  <c r="AT63" i="21"/>
  <c r="BA61" i="21"/>
  <c r="AT61" i="21"/>
  <c r="BA58" i="21"/>
  <c r="AT58" i="21"/>
  <c r="BA38" i="21"/>
  <c r="AT38" i="21"/>
  <c r="BA30" i="21"/>
  <c r="AT30" i="21"/>
  <c r="AT68" i="21"/>
  <c r="BA68" i="21"/>
  <c r="AT52" i="21"/>
  <c r="BA52" i="21"/>
  <c r="AT45" i="21"/>
  <c r="BA45" i="21"/>
  <c r="AT37" i="21"/>
  <c r="BA37" i="21"/>
  <c r="AT29" i="21"/>
  <c r="BA29" i="21"/>
  <c r="AT23" i="21"/>
  <c r="BA23" i="21"/>
  <c r="BA19" i="21"/>
  <c r="AT19" i="21"/>
  <c r="BA15" i="21"/>
  <c r="AT15" i="21"/>
  <c r="BA13" i="21"/>
  <c r="AT13" i="21"/>
  <c r="BA11" i="21"/>
  <c r="AT11" i="21"/>
  <c r="AT20" i="21"/>
  <c r="BA20" i="21"/>
  <c r="AT17" i="21"/>
  <c r="BA17" i="21"/>
  <c r="AT59" i="21"/>
  <c r="BA59" i="21"/>
  <c r="BA42" i="21"/>
  <c r="AT42" i="21"/>
  <c r="BA46" i="21"/>
  <c r="AT46" i="21"/>
  <c r="AT91" i="21"/>
  <c r="BA91" i="21"/>
  <c r="AT93" i="21"/>
  <c r="BA93" i="21"/>
  <c r="AT95" i="21"/>
  <c r="BA95" i="21"/>
  <c r="AT97" i="21"/>
  <c r="BA97" i="21"/>
  <c r="AT99" i="21"/>
  <c r="BA99" i="21"/>
  <c r="AT101" i="21"/>
  <c r="BA101" i="21"/>
  <c r="AT103" i="21"/>
  <c r="BA103" i="21"/>
  <c r="AT105" i="21"/>
  <c r="BA105" i="21"/>
  <c r="AT107" i="21"/>
  <c r="BA107" i="21"/>
  <c r="AT109" i="21"/>
  <c r="BA109" i="21"/>
  <c r="BA71" i="21"/>
  <c r="AT71" i="21"/>
  <c r="BA74" i="21"/>
  <c r="AT74" i="21"/>
  <c r="BA78" i="21"/>
  <c r="AT78" i="21"/>
  <c r="O114" i="20"/>
  <c r="M114" i="20" s="1"/>
  <c r="AC114" i="20" s="1"/>
  <c r="N114" i="20"/>
  <c r="BA114" i="20"/>
  <c r="AU114" i="20"/>
  <c r="AT114" i="20"/>
  <c r="O138" i="20"/>
  <c r="M138" i="20" s="1"/>
  <c r="AC138" i="20" s="1"/>
  <c r="N138" i="20"/>
  <c r="BA138" i="20"/>
  <c r="AU138" i="20"/>
  <c r="AT138" i="20"/>
  <c r="O154" i="20"/>
  <c r="M154" i="20" s="1"/>
  <c r="AC154" i="20" s="1"/>
  <c r="N154" i="20"/>
  <c r="BA154" i="20"/>
  <c r="AU154" i="20"/>
  <c r="AT154" i="20"/>
  <c r="O170" i="20"/>
  <c r="M170" i="20" s="1"/>
  <c r="N170" i="20"/>
  <c r="BA170" i="20"/>
  <c r="AU170" i="20"/>
  <c r="AT170" i="20"/>
  <c r="N121" i="20"/>
  <c r="BA121" i="20"/>
  <c r="O121" i="20"/>
  <c r="M121" i="20" s="1"/>
  <c r="AC121" i="20" s="1"/>
  <c r="AU121" i="20"/>
  <c r="AT121" i="20"/>
  <c r="O129" i="20"/>
  <c r="M129" i="20" s="1"/>
  <c r="AC129" i="20" s="1"/>
  <c r="N129" i="20"/>
  <c r="BA129" i="20"/>
  <c r="AU129" i="20"/>
  <c r="AT129" i="20"/>
  <c r="O145" i="20"/>
  <c r="M145" i="20" s="1"/>
  <c r="AC145" i="20" s="1"/>
  <c r="BA145" i="20"/>
  <c r="AU145" i="20"/>
  <c r="N145" i="20"/>
  <c r="AT145" i="20"/>
  <c r="O163" i="20"/>
  <c r="N163" i="20"/>
  <c r="BA163" i="20"/>
  <c r="AU163" i="20"/>
  <c r="AT163" i="20"/>
  <c r="O112" i="20"/>
  <c r="M112" i="20" s="1"/>
  <c r="AC112" i="20" s="1"/>
  <c r="N112" i="20"/>
  <c r="BA112" i="20"/>
  <c r="AT112" i="20"/>
  <c r="AU112" i="20"/>
  <c r="O128" i="20"/>
  <c r="M128" i="20" s="1"/>
  <c r="AC128" i="20" s="1"/>
  <c r="AT128" i="20"/>
  <c r="AU128" i="20"/>
  <c r="N128" i="20"/>
  <c r="BA128" i="20"/>
  <c r="O144" i="20"/>
  <c r="M144" i="20" s="1"/>
  <c r="AC144" i="20" s="1"/>
  <c r="N144" i="20"/>
  <c r="BA144" i="20"/>
  <c r="AU144" i="20"/>
  <c r="AT144" i="20"/>
  <c r="BA152" i="20"/>
  <c r="AU152" i="20"/>
  <c r="AT152" i="20"/>
  <c r="O152" i="20"/>
  <c r="M152" i="20" s="1"/>
  <c r="AC152" i="20" s="1"/>
  <c r="N152" i="20"/>
  <c r="BA168" i="20"/>
  <c r="AU168" i="20"/>
  <c r="AT168" i="20"/>
  <c r="O168" i="20"/>
  <c r="N168" i="20"/>
  <c r="O119" i="20"/>
  <c r="M119" i="20" s="1"/>
  <c r="AC119" i="20" s="1"/>
  <c r="AU119" i="20"/>
  <c r="N119" i="20"/>
  <c r="BA119" i="20"/>
  <c r="AT119" i="20"/>
  <c r="AU143" i="20"/>
  <c r="AT143" i="20"/>
  <c r="BA143" i="20"/>
  <c r="O143" i="20"/>
  <c r="M143" i="20" s="1"/>
  <c r="AC143" i="20" s="1"/>
  <c r="N143" i="20"/>
  <c r="P143" i="20" s="1"/>
  <c r="O159" i="20"/>
  <c r="N159" i="20"/>
  <c r="BA159" i="20"/>
  <c r="AU159" i="20"/>
  <c r="AT159" i="20"/>
  <c r="O209" i="20"/>
  <c r="N209" i="20"/>
  <c r="BA209" i="20"/>
  <c r="AT209" i="20"/>
  <c r="AU209" i="20"/>
  <c r="O173" i="20"/>
  <c r="N173" i="20"/>
  <c r="BA173" i="20"/>
  <c r="AU173" i="20"/>
  <c r="AT173" i="20"/>
  <c r="O192" i="20"/>
  <c r="N192" i="20"/>
  <c r="BA192" i="20"/>
  <c r="AU192" i="20"/>
  <c r="AT192" i="20"/>
  <c r="O200" i="20"/>
  <c r="N200" i="20"/>
  <c r="AU200" i="20"/>
  <c r="BA200" i="20"/>
  <c r="AT200" i="20"/>
  <c r="O195" i="20"/>
  <c r="N195" i="20"/>
  <c r="BA195" i="20"/>
  <c r="AT195" i="20"/>
  <c r="AU195" i="20"/>
  <c r="O177" i="20"/>
  <c r="N177" i="20"/>
  <c r="BA177" i="20"/>
  <c r="AU177" i="20"/>
  <c r="AT177" i="20"/>
  <c r="N186" i="20"/>
  <c r="BA186" i="20"/>
  <c r="O186" i="20"/>
  <c r="M186" i="20" s="1"/>
  <c r="AU186" i="20"/>
  <c r="AT186" i="20"/>
  <c r="O194" i="20"/>
  <c r="AU194" i="20"/>
  <c r="N194" i="20"/>
  <c r="BA194" i="20"/>
  <c r="AT194" i="20"/>
  <c r="O202" i="20"/>
  <c r="N202" i="20"/>
  <c r="BA202" i="20"/>
  <c r="AU202" i="20"/>
  <c r="AT202" i="20"/>
  <c r="BA118" i="20"/>
  <c r="N118" i="20"/>
  <c r="P118" i="20" s="1"/>
  <c r="AT118" i="20"/>
  <c r="O118" i="20"/>
  <c r="M118" i="20" s="1"/>
  <c r="AC118" i="20" s="1"/>
  <c r="AU118" i="20"/>
  <c r="O142" i="20"/>
  <c r="M142" i="20" s="1"/>
  <c r="AC142" i="20" s="1"/>
  <c r="N142" i="20"/>
  <c r="BA142" i="20"/>
  <c r="AU142" i="20"/>
  <c r="AT142" i="20"/>
  <c r="O158" i="20"/>
  <c r="M158" i="20" s="1"/>
  <c r="N158" i="20"/>
  <c r="BA158" i="20"/>
  <c r="AU158" i="20"/>
  <c r="AT158" i="20"/>
  <c r="O174" i="20"/>
  <c r="M174" i="20" s="1"/>
  <c r="N174" i="20"/>
  <c r="BA174" i="20"/>
  <c r="AU174" i="20"/>
  <c r="AT174" i="20"/>
  <c r="BA141" i="20"/>
  <c r="AU141" i="20"/>
  <c r="AT141" i="20"/>
  <c r="O141" i="20"/>
  <c r="M141" i="20" s="1"/>
  <c r="AC141" i="20" s="1"/>
  <c r="N141" i="20"/>
  <c r="O157" i="20"/>
  <c r="M157" i="20" s="1"/>
  <c r="N157" i="20"/>
  <c r="BA157" i="20"/>
  <c r="AU157" i="20"/>
  <c r="AT157" i="20"/>
  <c r="O183" i="20"/>
  <c r="M183" i="20" s="1"/>
  <c r="N183" i="20"/>
  <c r="P183" i="20" s="1"/>
  <c r="AU183" i="20"/>
  <c r="AT183" i="20"/>
  <c r="BA183" i="20"/>
  <c r="AJ183" i="20"/>
  <c r="AK183" i="20" s="1"/>
  <c r="O132" i="20"/>
  <c r="M132" i="20" s="1"/>
  <c r="AC132" i="20" s="1"/>
  <c r="N132" i="20"/>
  <c r="BA132" i="20"/>
  <c r="AU132" i="20"/>
  <c r="AT132" i="20"/>
  <c r="BA140" i="20"/>
  <c r="AU140" i="20"/>
  <c r="AT140" i="20"/>
  <c r="O140" i="20"/>
  <c r="M140" i="20" s="1"/>
  <c r="AC140" i="20" s="1"/>
  <c r="N140" i="20"/>
  <c r="O156" i="20"/>
  <c r="M156" i="20" s="1"/>
  <c r="AC156" i="20" s="1"/>
  <c r="N156" i="20"/>
  <c r="P156" i="20" s="1"/>
  <c r="BA156" i="20"/>
  <c r="AU156" i="20"/>
  <c r="AT156" i="20"/>
  <c r="O172" i="20"/>
  <c r="N172" i="20"/>
  <c r="BA172" i="20"/>
  <c r="AU172" i="20"/>
  <c r="AT172" i="20"/>
  <c r="O139" i="20"/>
  <c r="M139" i="20" s="1"/>
  <c r="AC139" i="20" s="1"/>
  <c r="N139" i="20"/>
  <c r="AU139" i="20"/>
  <c r="AT139" i="20"/>
  <c r="BA139" i="20"/>
  <c r="O155" i="20"/>
  <c r="M155" i="20" s="1"/>
  <c r="AC155" i="20" s="1"/>
  <c r="N155" i="20"/>
  <c r="P155" i="20" s="1"/>
  <c r="BA155" i="20"/>
  <c r="AU155" i="20"/>
  <c r="AT155" i="20"/>
  <c r="O181" i="20"/>
  <c r="N181" i="20"/>
  <c r="AU181" i="20"/>
  <c r="AT181" i="20"/>
  <c r="BA181" i="20"/>
  <c r="O189" i="20"/>
  <c r="N189" i="20"/>
  <c r="BA189" i="20"/>
  <c r="AT189" i="20"/>
  <c r="AU189" i="20"/>
  <c r="O165" i="20"/>
  <c r="N165" i="20"/>
  <c r="BA165" i="20"/>
  <c r="AU165" i="20"/>
  <c r="AT165" i="20"/>
  <c r="O196" i="20"/>
  <c r="N196" i="20"/>
  <c r="AT196" i="20"/>
  <c r="BA196" i="20"/>
  <c r="AU196" i="20"/>
  <c r="O204" i="20"/>
  <c r="N204" i="20"/>
  <c r="BA204" i="20"/>
  <c r="AU204" i="20"/>
  <c r="AT204" i="20"/>
  <c r="O169" i="20"/>
  <c r="M169" i="20" s="1"/>
  <c r="N169" i="20"/>
  <c r="BA169" i="20"/>
  <c r="AU169" i="20"/>
  <c r="AT169" i="20"/>
  <c r="AU190" i="20"/>
  <c r="AT190" i="20"/>
  <c r="O190" i="20"/>
  <c r="M190" i="20" s="1"/>
  <c r="N190" i="20"/>
  <c r="BA190" i="20"/>
  <c r="O198" i="20"/>
  <c r="M198" i="20" s="1"/>
  <c r="N198" i="20"/>
  <c r="AU198" i="20"/>
  <c r="BA198" i="20"/>
  <c r="AT198" i="20"/>
  <c r="O206" i="20"/>
  <c r="M206" i="20" s="1"/>
  <c r="N206" i="20"/>
  <c r="BA206" i="20"/>
  <c r="AU206" i="20"/>
  <c r="AT206" i="20"/>
  <c r="AT122" i="20"/>
  <c r="N122" i="20"/>
  <c r="BA122" i="20"/>
  <c r="O122" i="20"/>
  <c r="M122" i="20" s="1"/>
  <c r="AC122" i="20" s="1"/>
  <c r="AU122" i="20"/>
  <c r="O130" i="20"/>
  <c r="M130" i="20" s="1"/>
  <c r="AC130" i="20" s="1"/>
  <c r="N130" i="20"/>
  <c r="BA130" i="20"/>
  <c r="AU130" i="20"/>
  <c r="AT130" i="20"/>
  <c r="O146" i="20"/>
  <c r="M146" i="20" s="1"/>
  <c r="AC146" i="20" s="1"/>
  <c r="N146" i="20"/>
  <c r="BA146" i="20"/>
  <c r="AU146" i="20"/>
  <c r="AT146" i="20"/>
  <c r="O162" i="20"/>
  <c r="M162" i="20" s="1"/>
  <c r="N162" i="20"/>
  <c r="BA162" i="20"/>
  <c r="AU162" i="20"/>
  <c r="AT162" i="20"/>
  <c r="O178" i="20"/>
  <c r="M178" i="20" s="1"/>
  <c r="N178" i="20"/>
  <c r="BA178" i="20"/>
  <c r="AU178" i="20"/>
  <c r="AT178" i="20"/>
  <c r="O113" i="20"/>
  <c r="M113" i="20" s="1"/>
  <c r="AC113" i="20" s="1"/>
  <c r="N113" i="20"/>
  <c r="AT113" i="20"/>
  <c r="BA113" i="20"/>
  <c r="AU113" i="20"/>
  <c r="O137" i="20"/>
  <c r="M137" i="20" s="1"/>
  <c r="AC137" i="20" s="1"/>
  <c r="N137" i="20"/>
  <c r="AU137" i="20"/>
  <c r="AT137" i="20"/>
  <c r="BA137" i="20"/>
  <c r="O153" i="20"/>
  <c r="M153" i="20" s="1"/>
  <c r="AC153" i="20" s="1"/>
  <c r="N153" i="20"/>
  <c r="BA153" i="20"/>
  <c r="AU153" i="20"/>
  <c r="AT153" i="20"/>
  <c r="O179" i="20"/>
  <c r="M179" i="20" s="1"/>
  <c r="N179" i="20"/>
  <c r="BA179" i="20"/>
  <c r="AU179" i="20"/>
  <c r="AT179" i="20"/>
  <c r="BA187" i="20"/>
  <c r="AU187" i="20"/>
  <c r="N187" i="20"/>
  <c r="AT187" i="20"/>
  <c r="O187" i="20"/>
  <c r="M187" i="20" s="1"/>
  <c r="AU120" i="20"/>
  <c r="AT120" i="20"/>
  <c r="N120" i="20"/>
  <c r="BA120" i="20"/>
  <c r="O120" i="20"/>
  <c r="M120" i="20" s="1"/>
  <c r="AC120" i="20" s="1"/>
  <c r="O136" i="20"/>
  <c r="M136" i="20" s="1"/>
  <c r="AC136" i="20" s="1"/>
  <c r="N136" i="20"/>
  <c r="BA136" i="20"/>
  <c r="AU136" i="20"/>
  <c r="AT136" i="20"/>
  <c r="BA160" i="20"/>
  <c r="AU160" i="20"/>
  <c r="AT160" i="20"/>
  <c r="O160" i="20"/>
  <c r="M160" i="20" s="1"/>
  <c r="N160" i="20"/>
  <c r="BA176" i="20"/>
  <c r="AU176" i="20"/>
  <c r="AT176" i="20"/>
  <c r="O176" i="20"/>
  <c r="M176" i="20" s="1"/>
  <c r="N176" i="20"/>
  <c r="AU111" i="20"/>
  <c r="O111" i="20"/>
  <c r="M111" i="20" s="1"/>
  <c r="AC111" i="20" s="1"/>
  <c r="N111" i="20"/>
  <c r="BA111" i="20"/>
  <c r="AT111" i="20"/>
  <c r="AU127" i="20"/>
  <c r="AT127" i="20"/>
  <c r="O127" i="20"/>
  <c r="M127" i="20" s="1"/>
  <c r="AC127" i="20" s="1"/>
  <c r="N127" i="20"/>
  <c r="BA127" i="20"/>
  <c r="AU135" i="20"/>
  <c r="AT135" i="20"/>
  <c r="BA135" i="20"/>
  <c r="O135" i="20"/>
  <c r="M135" i="20" s="1"/>
  <c r="AC135" i="20" s="1"/>
  <c r="N135" i="20"/>
  <c r="BA151" i="20"/>
  <c r="O151" i="20"/>
  <c r="M151" i="20" s="1"/>
  <c r="AC151" i="20" s="1"/>
  <c r="N151" i="20"/>
  <c r="AU151" i="20"/>
  <c r="AT151" i="20"/>
  <c r="O175" i="20"/>
  <c r="M175" i="20" s="1"/>
  <c r="N175" i="20"/>
  <c r="BA175" i="20"/>
  <c r="AU175" i="20"/>
  <c r="AT175" i="20"/>
  <c r="AU185" i="20"/>
  <c r="O185" i="20"/>
  <c r="M185" i="20" s="1"/>
  <c r="N185" i="20"/>
  <c r="BA185" i="20"/>
  <c r="AT185" i="20"/>
  <c r="N193" i="20"/>
  <c r="P193" i="20" s="1"/>
  <c r="AU193" i="20"/>
  <c r="O193" i="20"/>
  <c r="M193" i="20" s="1"/>
  <c r="AT193" i="20"/>
  <c r="BA193" i="20"/>
  <c r="O201" i="20"/>
  <c r="M201" i="20" s="1"/>
  <c r="N201" i="20"/>
  <c r="BA201" i="20"/>
  <c r="AU201" i="20"/>
  <c r="AT201" i="20"/>
  <c r="O184" i="20"/>
  <c r="M184" i="20" s="1"/>
  <c r="N184" i="20"/>
  <c r="AU184" i="20"/>
  <c r="AT184" i="20"/>
  <c r="BA184" i="20"/>
  <c r="O208" i="20"/>
  <c r="M208" i="20" s="1"/>
  <c r="N208" i="20"/>
  <c r="BA208" i="20"/>
  <c r="AT208" i="20"/>
  <c r="AU208" i="20"/>
  <c r="O203" i="20"/>
  <c r="M203" i="20" s="1"/>
  <c r="N203" i="20"/>
  <c r="BA203" i="20"/>
  <c r="AU203" i="20"/>
  <c r="AT203" i="20"/>
  <c r="O161" i="20"/>
  <c r="M161" i="20" s="1"/>
  <c r="N161" i="20"/>
  <c r="BA161" i="20"/>
  <c r="AU161" i="20"/>
  <c r="AT161" i="20"/>
  <c r="O110" i="20"/>
  <c r="M110" i="20" s="1"/>
  <c r="AC110" i="20" s="1"/>
  <c r="N110" i="20"/>
  <c r="BA110" i="20"/>
  <c r="AT110" i="20"/>
  <c r="AU110" i="20"/>
  <c r="N126" i="20"/>
  <c r="BA126" i="20"/>
  <c r="O126" i="20"/>
  <c r="M126" i="20" s="1"/>
  <c r="AC126" i="20" s="1"/>
  <c r="AU126" i="20"/>
  <c r="AT126" i="20"/>
  <c r="O134" i="20"/>
  <c r="M134" i="20" s="1"/>
  <c r="AC134" i="20" s="1"/>
  <c r="N134" i="20"/>
  <c r="BA134" i="20"/>
  <c r="AU134" i="20"/>
  <c r="AT134" i="20"/>
  <c r="O150" i="20"/>
  <c r="M150" i="20" s="1"/>
  <c r="AC150" i="20" s="1"/>
  <c r="N150" i="20"/>
  <c r="BA150" i="20"/>
  <c r="AU150" i="20"/>
  <c r="AT150" i="20"/>
  <c r="O166" i="20"/>
  <c r="M166" i="20" s="1"/>
  <c r="N166" i="20"/>
  <c r="BA166" i="20"/>
  <c r="AU166" i="20"/>
  <c r="AT166" i="20"/>
  <c r="BA117" i="20"/>
  <c r="AU117" i="20"/>
  <c r="AT117" i="20"/>
  <c r="O117" i="20"/>
  <c r="M117" i="20" s="1"/>
  <c r="AC117" i="20" s="1"/>
  <c r="N117" i="20"/>
  <c r="AU125" i="20"/>
  <c r="N125" i="20"/>
  <c r="BA125" i="20"/>
  <c r="AT125" i="20"/>
  <c r="O125" i="20"/>
  <c r="M125" i="20" s="1"/>
  <c r="AC125" i="20" s="1"/>
  <c r="AU133" i="20"/>
  <c r="AT133" i="20"/>
  <c r="BA133" i="20"/>
  <c r="O133" i="20"/>
  <c r="M133" i="20" s="1"/>
  <c r="AC133" i="20" s="1"/>
  <c r="N133" i="20"/>
  <c r="O149" i="20"/>
  <c r="M149" i="20" s="1"/>
  <c r="AC149" i="20" s="1"/>
  <c r="N149" i="20"/>
  <c r="BA149" i="20"/>
  <c r="AU149" i="20"/>
  <c r="AT149" i="20"/>
  <c r="O171" i="20"/>
  <c r="M171" i="20" s="1"/>
  <c r="N171" i="20"/>
  <c r="P171" i="20" s="1"/>
  <c r="AM171" i="20" s="1"/>
  <c r="BA171" i="20"/>
  <c r="AJ171" i="20"/>
  <c r="AK171" i="20" s="1"/>
  <c r="AU171" i="20"/>
  <c r="AT171" i="20"/>
  <c r="O116" i="20"/>
  <c r="M116" i="20" s="1"/>
  <c r="AC116" i="20" s="1"/>
  <c r="N116" i="20"/>
  <c r="P116" i="20" s="1"/>
  <c r="AM116" i="20" s="1"/>
  <c r="BA116" i="20"/>
  <c r="AU116" i="20"/>
  <c r="AT116" i="20"/>
  <c r="O124" i="20"/>
  <c r="M124" i="20" s="1"/>
  <c r="AC124" i="20" s="1"/>
  <c r="N124" i="20"/>
  <c r="BA124" i="20"/>
  <c r="AT124" i="20"/>
  <c r="AU124" i="20"/>
  <c r="O148" i="20"/>
  <c r="M148" i="20" s="1"/>
  <c r="AC148" i="20" s="1"/>
  <c r="N148" i="20"/>
  <c r="BA148" i="20"/>
  <c r="AU148" i="20"/>
  <c r="AT148" i="20"/>
  <c r="O164" i="20"/>
  <c r="M164" i="20" s="1"/>
  <c r="N164" i="20"/>
  <c r="BA164" i="20"/>
  <c r="AU164" i="20"/>
  <c r="AT164" i="20"/>
  <c r="O115" i="20"/>
  <c r="M115" i="20" s="1"/>
  <c r="AC115" i="20" s="1"/>
  <c r="N115" i="20"/>
  <c r="AU115" i="20"/>
  <c r="AT115" i="20"/>
  <c r="BA115" i="20"/>
  <c r="N123" i="20"/>
  <c r="BA123" i="20"/>
  <c r="AT123" i="20"/>
  <c r="O123" i="20"/>
  <c r="M123" i="20" s="1"/>
  <c r="AC123" i="20" s="1"/>
  <c r="AU123" i="20"/>
  <c r="O131" i="20"/>
  <c r="M131" i="20" s="1"/>
  <c r="AC131" i="20" s="1"/>
  <c r="N131" i="20"/>
  <c r="BA131" i="20"/>
  <c r="AU131" i="20"/>
  <c r="AT131" i="20"/>
  <c r="O147" i="20"/>
  <c r="M147" i="20" s="1"/>
  <c r="AC147" i="20" s="1"/>
  <c r="BA147" i="20"/>
  <c r="AU147" i="20"/>
  <c r="AT147" i="20"/>
  <c r="N147" i="20"/>
  <c r="O167" i="20"/>
  <c r="M167" i="20" s="1"/>
  <c r="N167" i="20"/>
  <c r="BA167" i="20"/>
  <c r="AU167" i="20"/>
  <c r="AT167" i="20"/>
  <c r="O197" i="20"/>
  <c r="M197" i="20" s="1"/>
  <c r="N197" i="20"/>
  <c r="BA197" i="20"/>
  <c r="AT197" i="20"/>
  <c r="AU197" i="20"/>
  <c r="O205" i="20"/>
  <c r="M205" i="20" s="1"/>
  <c r="N205" i="20"/>
  <c r="BA205" i="20"/>
  <c r="AU205" i="20"/>
  <c r="AT205" i="20"/>
  <c r="O180" i="20"/>
  <c r="M180" i="20" s="1"/>
  <c r="AT180" i="20"/>
  <c r="BA180" i="20"/>
  <c r="N180" i="20"/>
  <c r="AU180" i="20"/>
  <c r="N188" i="20"/>
  <c r="O188" i="20"/>
  <c r="AT188" i="20"/>
  <c r="BA188" i="20"/>
  <c r="AU188" i="20"/>
  <c r="O191" i="20"/>
  <c r="N191" i="20"/>
  <c r="BA191" i="20"/>
  <c r="AU191" i="20"/>
  <c r="AT191" i="20"/>
  <c r="O199" i="20"/>
  <c r="N199" i="20"/>
  <c r="AT199" i="20"/>
  <c r="BA199" i="20"/>
  <c r="AU199" i="20"/>
  <c r="O207" i="20"/>
  <c r="BA207" i="20"/>
  <c r="AT207" i="20"/>
  <c r="AU207" i="20"/>
  <c r="N207" i="20"/>
  <c r="O182" i="20"/>
  <c r="N182" i="20"/>
  <c r="AU182" i="20"/>
  <c r="AT182" i="20"/>
  <c r="BA182" i="20"/>
  <c r="AT9" i="20"/>
  <c r="AT64" i="20"/>
  <c r="AT22" i="20"/>
  <c r="AU9" i="20"/>
  <c r="AU47" i="20"/>
  <c r="AU22" i="20"/>
  <c r="O22" i="20"/>
  <c r="O9" i="20"/>
  <c r="N9" i="20"/>
  <c r="O76" i="20"/>
  <c r="M76" i="20" s="1"/>
  <c r="AC76" i="20" s="1"/>
  <c r="J21" i="20"/>
  <c r="AY21" i="20" s="1"/>
  <c r="J33" i="20"/>
  <c r="J37" i="20"/>
  <c r="AY37" i="20" s="1"/>
  <c r="J26" i="20"/>
  <c r="J34" i="20"/>
  <c r="J38" i="20"/>
  <c r="AY38" i="20" s="1"/>
  <c r="J42" i="20"/>
  <c r="AY42" i="20" s="1"/>
  <c r="J46" i="20"/>
  <c r="AY46" i="20" s="1"/>
  <c r="J45" i="20"/>
  <c r="AY45" i="20" s="1"/>
  <c r="J50" i="20"/>
  <c r="AY50" i="20" s="1"/>
  <c r="J54" i="20"/>
  <c r="AY54" i="20" s="1"/>
  <c r="J58" i="20"/>
  <c r="AY58" i="20" s="1"/>
  <c r="J62" i="20"/>
  <c r="J66" i="20"/>
  <c r="J70" i="20"/>
  <c r="J74" i="20"/>
  <c r="J78" i="20"/>
  <c r="J82" i="20"/>
  <c r="J86" i="20"/>
  <c r="J90" i="20"/>
  <c r="J94" i="20"/>
  <c r="J98" i="20"/>
  <c r="J102" i="20"/>
  <c r="J106" i="20"/>
  <c r="J10" i="20"/>
  <c r="AY10" i="20" s="1"/>
  <c r="J18" i="20"/>
  <c r="AY18" i="20" s="1"/>
  <c r="J49" i="20"/>
  <c r="AY49" i="20" s="1"/>
  <c r="J53" i="20"/>
  <c r="AY53" i="20" s="1"/>
  <c r="J57" i="20"/>
  <c r="AY57" i="20" s="1"/>
  <c r="J61" i="20"/>
  <c r="J65" i="20"/>
  <c r="J69" i="20"/>
  <c r="J73" i="20"/>
  <c r="J77" i="20"/>
  <c r="J81" i="20"/>
  <c r="J85" i="20"/>
  <c r="J89" i="20"/>
  <c r="J93" i="20"/>
  <c r="J97" i="20"/>
  <c r="J101" i="20"/>
  <c r="J105" i="20"/>
  <c r="J109" i="20"/>
  <c r="J13" i="20"/>
  <c r="AY13" i="20" s="1"/>
  <c r="J17" i="20"/>
  <c r="AY17" i="20" s="1"/>
  <c r="J41" i="20"/>
  <c r="AY41" i="20" s="1"/>
  <c r="J25" i="20"/>
  <c r="J29" i="20"/>
  <c r="J30" i="20"/>
  <c r="J14" i="20"/>
  <c r="AY14" i="20" s="1"/>
  <c r="J31" i="20"/>
  <c r="BA22" i="20"/>
  <c r="G178" i="2"/>
  <c r="B258" i="2"/>
  <c r="B105" i="2"/>
  <c r="B119" i="2" s="1"/>
  <c r="B262" i="2"/>
  <c r="C54" i="16"/>
  <c r="D54" i="16" s="1"/>
  <c r="B200" i="2"/>
  <c r="B72" i="2"/>
  <c r="A460" i="2"/>
  <c r="B391" i="2"/>
  <c r="D391" i="2"/>
  <c r="B61" i="2"/>
  <c r="B73" i="2"/>
  <c r="G92" i="2"/>
  <c r="K151" i="2"/>
  <c r="B80" i="2"/>
  <c r="C80" i="2"/>
  <c r="L151" i="2"/>
  <c r="G90" i="2"/>
  <c r="B278" i="2"/>
  <c r="F6" i="17" s="1"/>
  <c r="E623" i="17"/>
  <c r="F623" i="17"/>
  <c r="B340" i="2"/>
  <c r="G91" i="2"/>
  <c r="C58" i="2"/>
  <c r="C56" i="2"/>
  <c r="B339" i="2"/>
  <c r="B341" i="2"/>
  <c r="B15" i="6"/>
  <c r="B3" i="6"/>
  <c r="B16" i="6"/>
  <c r="H338" i="2"/>
  <c r="E74" i="1"/>
  <c r="AT40" i="20" l="1"/>
  <c r="O95" i="20"/>
  <c r="M95" i="20" s="1"/>
  <c r="AC95" i="20" s="1"/>
  <c r="AT39" i="20"/>
  <c r="O63" i="20"/>
  <c r="M63" i="20" s="1"/>
  <c r="AC63" i="20" s="1"/>
  <c r="N40" i="20"/>
  <c r="AU76" i="20"/>
  <c r="AT63" i="20"/>
  <c r="N20" i="20"/>
  <c r="O27" i="20"/>
  <c r="M27" i="20" s="1"/>
  <c r="AT76" i="20"/>
  <c r="AT27" i="20"/>
  <c r="O108" i="20"/>
  <c r="M108" i="20" s="1"/>
  <c r="AC108" i="20" s="1"/>
  <c r="AU95" i="20"/>
  <c r="AT15" i="20"/>
  <c r="B64" i="2"/>
  <c r="N63" i="20"/>
  <c r="N76" i="20"/>
  <c r="P76" i="20" s="1"/>
  <c r="AM76" i="20" s="1"/>
  <c r="O40" i="20"/>
  <c r="M40" i="20" s="1"/>
  <c r="AC40" i="20" s="1"/>
  <c r="AU63" i="20"/>
  <c r="AU40" i="20"/>
  <c r="AT108" i="20"/>
  <c r="N95" i="20"/>
  <c r="P95" i="20" s="1"/>
  <c r="AA95" i="20" s="1"/>
  <c r="N108" i="20"/>
  <c r="P108" i="20" s="1"/>
  <c r="AQ108" i="20" s="1"/>
  <c r="N56" i="20"/>
  <c r="N27" i="20"/>
  <c r="AU108" i="20"/>
  <c r="AU27" i="20"/>
  <c r="AT95" i="20"/>
  <c r="AT51" i="20"/>
  <c r="AT83" i="20"/>
  <c r="AT96" i="20"/>
  <c r="AT28" i="20"/>
  <c r="O24" i="20"/>
  <c r="M24" i="20" s="1"/>
  <c r="O11" i="20"/>
  <c r="M11" i="20" s="1"/>
  <c r="AC11" i="20" s="1"/>
  <c r="O79" i="20"/>
  <c r="M79" i="20" s="1"/>
  <c r="AC79" i="20" s="1"/>
  <c r="O47" i="20"/>
  <c r="M47" i="20" s="1"/>
  <c r="AC47" i="20" s="1"/>
  <c r="AU60" i="20"/>
  <c r="O92" i="20"/>
  <c r="M92" i="20" s="1"/>
  <c r="AC92" i="20" s="1"/>
  <c r="O60" i="20"/>
  <c r="M60" i="20" s="1"/>
  <c r="AC60" i="20" s="1"/>
  <c r="N24" i="20"/>
  <c r="AU11" i="20"/>
  <c r="AU92" i="20"/>
  <c r="AU24" i="20"/>
  <c r="AT103" i="20"/>
  <c r="AT71" i="20"/>
  <c r="AT16" i="20"/>
  <c r="AT84" i="20"/>
  <c r="AT52" i="20"/>
  <c r="N11" i="20"/>
  <c r="N79" i="20"/>
  <c r="P79" i="20" s="1"/>
  <c r="AM79" i="20" s="1"/>
  <c r="N47" i="20"/>
  <c r="N92" i="20"/>
  <c r="P92" i="20" s="1"/>
  <c r="N60" i="20"/>
  <c r="AU79" i="20"/>
  <c r="AU104" i="20"/>
  <c r="AT11" i="20"/>
  <c r="AT79" i="20"/>
  <c r="AT47" i="20"/>
  <c r="AT92" i="20"/>
  <c r="AT60" i="20"/>
  <c r="AT24" i="20"/>
  <c r="O83" i="20"/>
  <c r="M83" i="20" s="1"/>
  <c r="AC83" i="20" s="1"/>
  <c r="O84" i="20"/>
  <c r="M84" i="20" s="1"/>
  <c r="AC84" i="20" s="1"/>
  <c r="N28" i="20"/>
  <c r="O15" i="20"/>
  <c r="M15" i="20" s="1"/>
  <c r="AC15" i="20" s="1"/>
  <c r="O51" i="20"/>
  <c r="M51" i="20" s="1"/>
  <c r="AC51" i="20" s="1"/>
  <c r="O16" i="20"/>
  <c r="M16" i="20" s="1"/>
  <c r="AC16" i="20" s="1"/>
  <c r="AU19" i="20"/>
  <c r="O99" i="20"/>
  <c r="M99" i="20" s="1"/>
  <c r="AC99" i="20" s="1"/>
  <c r="O67" i="20"/>
  <c r="M67" i="20" s="1"/>
  <c r="AC67" i="20" s="1"/>
  <c r="O100" i="20"/>
  <c r="M100" i="20" s="1"/>
  <c r="AC100" i="20" s="1"/>
  <c r="O68" i="20"/>
  <c r="M68" i="20" s="1"/>
  <c r="AC68" i="20" s="1"/>
  <c r="N48" i="20"/>
  <c r="O35" i="20"/>
  <c r="M35" i="20" s="1"/>
  <c r="AC35" i="20" s="1"/>
  <c r="AU99" i="20"/>
  <c r="AU87" i="20"/>
  <c r="AU67" i="20"/>
  <c r="AU55" i="20"/>
  <c r="AU28" i="20"/>
  <c r="O19" i="20"/>
  <c r="O103" i="20"/>
  <c r="M103" i="20" s="1"/>
  <c r="AC103" i="20" s="1"/>
  <c r="O87" i="20"/>
  <c r="M87" i="20" s="1"/>
  <c r="AC87" i="20" s="1"/>
  <c r="O71" i="20"/>
  <c r="M71" i="20" s="1"/>
  <c r="AC71" i="20" s="1"/>
  <c r="O55" i="20"/>
  <c r="M55" i="20" s="1"/>
  <c r="AC55" i="20" s="1"/>
  <c r="O12" i="20"/>
  <c r="M12" i="20" s="1"/>
  <c r="AC12" i="20" s="1"/>
  <c r="O96" i="20"/>
  <c r="M96" i="20" s="1"/>
  <c r="AC96" i="20" s="1"/>
  <c r="O80" i="20"/>
  <c r="M80" i="20" s="1"/>
  <c r="AC80" i="20" s="1"/>
  <c r="O64" i="20"/>
  <c r="M64" i="20" s="1"/>
  <c r="AC64" i="20" s="1"/>
  <c r="N52" i="20"/>
  <c r="N32" i="20"/>
  <c r="O39" i="20"/>
  <c r="M39" i="20" s="1"/>
  <c r="AC39" i="20" s="1"/>
  <c r="O43" i="20"/>
  <c r="M43" i="20" s="1"/>
  <c r="AC43" i="20" s="1"/>
  <c r="AU15" i="20"/>
  <c r="AU100" i="20"/>
  <c r="AU80" i="20"/>
  <c r="AU68" i="20"/>
  <c r="AU48" i="20"/>
  <c r="AU32" i="20"/>
  <c r="AU35" i="20"/>
  <c r="AT43" i="20"/>
  <c r="B197" i="2"/>
  <c r="B186" i="2"/>
  <c r="B185" i="2"/>
  <c r="B180" i="2"/>
  <c r="M191" i="20"/>
  <c r="AJ191" i="20"/>
  <c r="AK191" i="20" s="1"/>
  <c r="M182" i="20"/>
  <c r="M207" i="20"/>
  <c r="AJ207" i="20"/>
  <c r="AK207" i="20" s="1"/>
  <c r="M199" i="20"/>
  <c r="AJ199" i="20"/>
  <c r="AK199" i="20" s="1"/>
  <c r="M188" i="20"/>
  <c r="Q193" i="20"/>
  <c r="R193" i="20" s="1"/>
  <c r="AM193" i="20"/>
  <c r="AJ193" i="20"/>
  <c r="AK193" i="20" s="1"/>
  <c r="M204" i="20"/>
  <c r="M165" i="20"/>
  <c r="M189" i="20"/>
  <c r="M172" i="20"/>
  <c r="M202" i="20"/>
  <c r="M194" i="20"/>
  <c r="M200" i="20"/>
  <c r="M163" i="20"/>
  <c r="P191" i="20"/>
  <c r="Q191" i="20" s="1"/>
  <c r="AJ205" i="20"/>
  <c r="AK205" i="20" s="1"/>
  <c r="AJ167" i="20"/>
  <c r="AK167" i="20" s="1"/>
  <c r="P167" i="20"/>
  <c r="Q167" i="20" s="1"/>
  <c r="R167" i="20" s="1"/>
  <c r="AQ116" i="20"/>
  <c r="AQ171" i="20"/>
  <c r="AQ193" i="20"/>
  <c r="AJ185" i="20"/>
  <c r="AK185" i="20" s="1"/>
  <c r="P151" i="20"/>
  <c r="S151" i="20" s="1"/>
  <c r="AJ160" i="20"/>
  <c r="AK160" i="20" s="1"/>
  <c r="AJ179" i="20"/>
  <c r="AK179" i="20" s="1"/>
  <c r="P179" i="20"/>
  <c r="U179" i="20" s="1"/>
  <c r="V179" i="20" s="1"/>
  <c r="W179" i="20" s="1"/>
  <c r="AJ206" i="20"/>
  <c r="AK206" i="20" s="1"/>
  <c r="P206" i="20"/>
  <c r="AH206" i="20" s="1"/>
  <c r="M196" i="20"/>
  <c r="M181" i="20"/>
  <c r="AM155" i="20"/>
  <c r="AQ155" i="20"/>
  <c r="AQ156" i="20"/>
  <c r="AM156" i="20"/>
  <c r="AM183" i="20"/>
  <c r="AQ183" i="20"/>
  <c r="AH118" i="20"/>
  <c r="AM118" i="20"/>
  <c r="M177" i="20"/>
  <c r="M195" i="20"/>
  <c r="M192" i="20"/>
  <c r="M173" i="20"/>
  <c r="M209" i="20"/>
  <c r="M159" i="20"/>
  <c r="AQ143" i="20"/>
  <c r="AM143" i="20"/>
  <c r="M168" i="20"/>
  <c r="P204" i="20"/>
  <c r="S204" i="20" s="1"/>
  <c r="P196" i="20"/>
  <c r="AH196" i="20" s="1"/>
  <c r="P181" i="20"/>
  <c r="AH181" i="20" s="1"/>
  <c r="P139" i="20"/>
  <c r="Q139" i="20" s="1"/>
  <c r="P172" i="20"/>
  <c r="AF172" i="20" s="1"/>
  <c r="AG172" i="20" s="1"/>
  <c r="P173" i="20"/>
  <c r="Q173" i="20" s="1"/>
  <c r="P159" i="20"/>
  <c r="S159" i="20" s="1"/>
  <c r="P152" i="20"/>
  <c r="AA152" i="20" s="1"/>
  <c r="AB152" i="20" s="1"/>
  <c r="AJ170" i="20"/>
  <c r="AK170" i="20" s="1"/>
  <c r="AQ95" i="20"/>
  <c r="AM95" i="20"/>
  <c r="AM108" i="20"/>
  <c r="AQ92" i="20"/>
  <c r="AM92" i="20"/>
  <c r="AJ116" i="20"/>
  <c r="AK116" i="20" s="1"/>
  <c r="AQ151" i="20"/>
  <c r="AJ143" i="20"/>
  <c r="AK143" i="20" s="1"/>
  <c r="AJ152" i="20"/>
  <c r="AK152" i="20" s="1"/>
  <c r="AJ155" i="20"/>
  <c r="AK155" i="20" s="1"/>
  <c r="Q155" i="20"/>
  <c r="R155" i="20" s="1"/>
  <c r="AJ139" i="20"/>
  <c r="AK139" i="20" s="1"/>
  <c r="AJ156" i="20"/>
  <c r="AK156" i="20" s="1"/>
  <c r="Q156" i="20"/>
  <c r="R156" i="20" s="1"/>
  <c r="AJ118" i="20"/>
  <c r="AK118" i="20" s="1"/>
  <c r="AQ118" i="20"/>
  <c r="P9" i="20"/>
  <c r="AD9" i="20" s="1"/>
  <c r="N19" i="20"/>
  <c r="N15" i="20"/>
  <c r="N103" i="20"/>
  <c r="P103" i="20" s="1"/>
  <c r="Q103" i="20" s="1"/>
  <c r="AS103" i="20" s="1"/>
  <c r="N99" i="20"/>
  <c r="P99" i="20" s="1"/>
  <c r="AM99" i="20" s="1"/>
  <c r="N87" i="20"/>
  <c r="P87" i="20" s="1"/>
  <c r="Q87" i="20" s="1"/>
  <c r="AS87" i="20" s="1"/>
  <c r="N83" i="20"/>
  <c r="P83" i="20" s="1"/>
  <c r="N71" i="20"/>
  <c r="P71" i="20" s="1"/>
  <c r="AM71" i="20" s="1"/>
  <c r="N67" i="20"/>
  <c r="P67" i="20" s="1"/>
  <c r="AJ67" i="20" s="1"/>
  <c r="AK67" i="20" s="1"/>
  <c r="N55" i="20"/>
  <c r="N51" i="20"/>
  <c r="N16" i="20"/>
  <c r="N12" i="20"/>
  <c r="N100" i="20"/>
  <c r="P100" i="20" s="1"/>
  <c r="AO100" i="20" s="1"/>
  <c r="AP100" i="20" s="1"/>
  <c r="N96" i="20"/>
  <c r="P96" i="20" s="1"/>
  <c r="AD96" i="20" s="1"/>
  <c r="N84" i="20"/>
  <c r="P84" i="20" s="1"/>
  <c r="N80" i="20"/>
  <c r="P80" i="20" s="1"/>
  <c r="AM80" i="20" s="1"/>
  <c r="N68" i="20"/>
  <c r="P68" i="20" s="1"/>
  <c r="AM68" i="20" s="1"/>
  <c r="N64" i="20"/>
  <c r="P64" i="20" s="1"/>
  <c r="AQ64" i="20" s="1"/>
  <c r="O52" i="20"/>
  <c r="M52" i="20" s="1"/>
  <c r="AC52" i="20" s="1"/>
  <c r="O48" i="20"/>
  <c r="M48" i="20" s="1"/>
  <c r="AC48" i="20" s="1"/>
  <c r="O32" i="20"/>
  <c r="O28" i="20"/>
  <c r="N39" i="20"/>
  <c r="N35" i="20"/>
  <c r="N43" i="20"/>
  <c r="AU103" i="20"/>
  <c r="AU83" i="20"/>
  <c r="AU71" i="20"/>
  <c r="AU51" i="20"/>
  <c r="AU16" i="20"/>
  <c r="AU12" i="20"/>
  <c r="AU96" i="20"/>
  <c r="AU84" i="20"/>
  <c r="AU64" i="20"/>
  <c r="AU52" i="20"/>
  <c r="AU39" i="20"/>
  <c r="AU43" i="20"/>
  <c r="AT19" i="20"/>
  <c r="AT99" i="20"/>
  <c r="AT87" i="20"/>
  <c r="AT67" i="20"/>
  <c r="AT55" i="20"/>
  <c r="AT12" i="20"/>
  <c r="AT100" i="20"/>
  <c r="AT80" i="20"/>
  <c r="AT68" i="20"/>
  <c r="AT48" i="20"/>
  <c r="AT32" i="20"/>
  <c r="AT35" i="20"/>
  <c r="N88" i="20"/>
  <c r="AJ108" i="20"/>
  <c r="AK108" i="20" s="1"/>
  <c r="AJ92" i="20"/>
  <c r="AK92" i="20" s="1"/>
  <c r="AJ103" i="20"/>
  <c r="AK103" i="20" s="1"/>
  <c r="AJ95" i="20"/>
  <c r="AK95" i="20" s="1"/>
  <c r="N104" i="20"/>
  <c r="N72" i="20"/>
  <c r="N44" i="20"/>
  <c r="AU88" i="20"/>
  <c r="AU72" i="20"/>
  <c r="AU56" i="20"/>
  <c r="AT44" i="20"/>
  <c r="AT23" i="20"/>
  <c r="O59" i="20"/>
  <c r="M59" i="20" s="1"/>
  <c r="AC59" i="20" s="1"/>
  <c r="O20" i="20"/>
  <c r="P20" i="20" s="1"/>
  <c r="AD20" i="20" s="1"/>
  <c r="O104" i="20"/>
  <c r="M104" i="20" s="1"/>
  <c r="O88" i="20"/>
  <c r="O72" i="20"/>
  <c r="M72" i="20" s="1"/>
  <c r="AC72" i="20" s="1"/>
  <c r="O56" i="20"/>
  <c r="M56" i="20" s="1"/>
  <c r="AC56" i="20" s="1"/>
  <c r="O44" i="20"/>
  <c r="M44" i="20" s="1"/>
  <c r="AC44" i="20" s="1"/>
  <c r="AU20" i="20"/>
  <c r="AU44" i="20"/>
  <c r="AT20" i="20"/>
  <c r="AT104" i="20"/>
  <c r="AT88" i="20"/>
  <c r="AT72" i="20"/>
  <c r="AT56" i="20"/>
  <c r="AC104" i="20"/>
  <c r="O91" i="20"/>
  <c r="M91" i="20" s="1"/>
  <c r="AC91" i="20" s="1"/>
  <c r="O23" i="20"/>
  <c r="O107" i="20"/>
  <c r="M107" i="20" s="1"/>
  <c r="AC107" i="20" s="1"/>
  <c r="O75" i="20"/>
  <c r="M75" i="20" s="1"/>
  <c r="AC75" i="20" s="1"/>
  <c r="N36" i="20"/>
  <c r="AT107" i="20"/>
  <c r="AT91" i="20"/>
  <c r="AT75" i="20"/>
  <c r="AT59" i="20"/>
  <c r="N107" i="20"/>
  <c r="N91" i="20"/>
  <c r="P91" i="20" s="1"/>
  <c r="N75" i="20"/>
  <c r="P75" i="20" s="1"/>
  <c r="AQ75" i="20" s="1"/>
  <c r="N59" i="20"/>
  <c r="O36" i="20"/>
  <c r="M36" i="20" s="1"/>
  <c r="AC36" i="20" s="1"/>
  <c r="N23" i="20"/>
  <c r="AU107" i="20"/>
  <c r="AU91" i="20"/>
  <c r="AU75" i="20"/>
  <c r="AU59" i="20"/>
  <c r="AU36" i="20"/>
  <c r="AU23" i="20"/>
  <c r="AT36" i="20"/>
  <c r="AY31" i="20"/>
  <c r="BA31" i="20" s="1"/>
  <c r="AY30" i="20"/>
  <c r="BA30" i="20" s="1"/>
  <c r="AY105" i="20"/>
  <c r="BA105" i="20" s="1"/>
  <c r="AY97" i="20"/>
  <c r="BA97" i="20" s="1"/>
  <c r="AY89" i="20"/>
  <c r="BA89" i="20" s="1"/>
  <c r="AY81" i="20"/>
  <c r="BA81" i="20" s="1"/>
  <c r="AY73" i="20"/>
  <c r="BA73" i="20" s="1"/>
  <c r="AY65" i="20"/>
  <c r="BA65" i="20" s="1"/>
  <c r="AY102" i="20"/>
  <c r="BA102" i="20" s="1"/>
  <c r="AY94" i="20"/>
  <c r="BA94" i="20" s="1"/>
  <c r="AY86" i="20"/>
  <c r="BA86" i="20" s="1"/>
  <c r="AY78" i="20"/>
  <c r="BA78" i="20" s="1"/>
  <c r="AY70" i="20"/>
  <c r="BA70" i="20" s="1"/>
  <c r="AY62" i="20"/>
  <c r="BA62" i="20" s="1"/>
  <c r="AY34" i="20"/>
  <c r="BA34" i="20" s="1"/>
  <c r="AY29" i="20"/>
  <c r="BA29" i="20" s="1"/>
  <c r="AY25" i="20"/>
  <c r="BA25" i="20" s="1"/>
  <c r="AY109" i="20"/>
  <c r="BA109" i="20" s="1"/>
  <c r="AY101" i="20"/>
  <c r="BA101" i="20" s="1"/>
  <c r="AY93" i="20"/>
  <c r="BA93" i="20" s="1"/>
  <c r="AY85" i="20"/>
  <c r="BA85" i="20" s="1"/>
  <c r="AY77" i="20"/>
  <c r="BA77" i="20" s="1"/>
  <c r="AY69" i="20"/>
  <c r="BA69" i="20" s="1"/>
  <c r="AY61" i="20"/>
  <c r="BA61" i="20" s="1"/>
  <c r="AY106" i="20"/>
  <c r="BA106" i="20" s="1"/>
  <c r="AY98" i="20"/>
  <c r="BA98" i="20" s="1"/>
  <c r="AY90" i="20"/>
  <c r="BA90" i="20" s="1"/>
  <c r="AY82" i="20"/>
  <c r="BA82" i="20" s="1"/>
  <c r="AY74" i="20"/>
  <c r="BA74" i="20" s="1"/>
  <c r="AY66" i="20"/>
  <c r="BA66" i="20" s="1"/>
  <c r="AY26" i="20"/>
  <c r="BA26" i="20" s="1"/>
  <c r="AY33" i="20"/>
  <c r="BA33" i="20" s="1"/>
  <c r="AA116" i="20"/>
  <c r="AB116" i="20" s="1"/>
  <c r="Q116" i="20"/>
  <c r="R116" i="20" s="1"/>
  <c r="AO116" i="20"/>
  <c r="AP116" i="20" s="1"/>
  <c r="AO183" i="20"/>
  <c r="AP183" i="20" s="1"/>
  <c r="AA183" i="20"/>
  <c r="AB183" i="20" s="1"/>
  <c r="P69" i="21"/>
  <c r="AD69" i="21" s="1"/>
  <c r="P89" i="21"/>
  <c r="AD89" i="21" s="1"/>
  <c r="P109" i="21"/>
  <c r="AD109" i="21" s="1"/>
  <c r="M109" i="21"/>
  <c r="P105" i="21"/>
  <c r="AD105" i="21" s="1"/>
  <c r="M105" i="21"/>
  <c r="P101" i="21"/>
  <c r="AD101" i="21" s="1"/>
  <c r="M101" i="21"/>
  <c r="P97" i="21"/>
  <c r="AD97" i="21" s="1"/>
  <c r="M97" i="21"/>
  <c r="P93" i="21"/>
  <c r="AD93" i="21" s="1"/>
  <c r="M93" i="21"/>
  <c r="P83" i="21"/>
  <c r="AD83" i="21" s="1"/>
  <c r="M83" i="21"/>
  <c r="P75" i="21"/>
  <c r="AD75" i="21" s="1"/>
  <c r="M75" i="21"/>
  <c r="P85" i="21"/>
  <c r="X85" i="21" s="1"/>
  <c r="M85" i="21"/>
  <c r="P81" i="21"/>
  <c r="X81" i="21" s="1"/>
  <c r="P74" i="21"/>
  <c r="AH74" i="21" s="1"/>
  <c r="P46" i="21"/>
  <c r="P59" i="21"/>
  <c r="AH59" i="21" s="1"/>
  <c r="P20" i="21"/>
  <c r="AD20" i="21" s="1"/>
  <c r="P13" i="21"/>
  <c r="P19" i="21"/>
  <c r="P29" i="21"/>
  <c r="AJ29" i="21" s="1"/>
  <c r="P45" i="21"/>
  <c r="AD45" i="21" s="1"/>
  <c r="P68" i="21"/>
  <c r="AH68" i="21" s="1"/>
  <c r="P38" i="21"/>
  <c r="P61" i="21"/>
  <c r="P65" i="21"/>
  <c r="P72" i="21"/>
  <c r="AH72" i="21" s="1"/>
  <c r="P22" i="21"/>
  <c r="AD22" i="21" s="1"/>
  <c r="P39" i="21"/>
  <c r="P54" i="21"/>
  <c r="AD54" i="21" s="1"/>
  <c r="P36" i="21"/>
  <c r="S36" i="21" s="1"/>
  <c r="P80" i="21"/>
  <c r="AJ80" i="21" s="1"/>
  <c r="AK80" i="21" s="1"/>
  <c r="P88" i="21"/>
  <c r="P76" i="21"/>
  <c r="AD76" i="21" s="1"/>
  <c r="P70" i="21"/>
  <c r="AH70" i="21" s="1"/>
  <c r="P106" i="21"/>
  <c r="AD106" i="21" s="1"/>
  <c r="P102" i="21"/>
  <c r="AH102" i="21" s="1"/>
  <c r="P98" i="21"/>
  <c r="AH98" i="21" s="1"/>
  <c r="P94" i="21"/>
  <c r="AH94" i="21" s="1"/>
  <c r="P51" i="21"/>
  <c r="P32" i="21"/>
  <c r="P18" i="21"/>
  <c r="AD18" i="21" s="1"/>
  <c r="P12" i="21"/>
  <c r="P16" i="21"/>
  <c r="P25" i="21"/>
  <c r="P41" i="21"/>
  <c r="P56" i="21"/>
  <c r="AF56" i="21" s="1"/>
  <c r="P31" i="21"/>
  <c r="P60" i="21"/>
  <c r="P64" i="21"/>
  <c r="P34" i="21"/>
  <c r="P50" i="21"/>
  <c r="P35" i="21"/>
  <c r="AM35" i="21" s="1"/>
  <c r="P55" i="21"/>
  <c r="AD55" i="21" s="1"/>
  <c r="P86" i="21"/>
  <c r="AA86" i="21" s="1"/>
  <c r="AB86" i="21" s="1"/>
  <c r="P78" i="21"/>
  <c r="P71" i="21"/>
  <c r="P107" i="21"/>
  <c r="P103" i="21"/>
  <c r="P99" i="21"/>
  <c r="P95" i="21"/>
  <c r="P91" i="21"/>
  <c r="P42" i="21"/>
  <c r="S42" i="21" s="1"/>
  <c r="P17" i="21"/>
  <c r="P11" i="21"/>
  <c r="AA11" i="21" s="1"/>
  <c r="AB11" i="21" s="1"/>
  <c r="P15" i="21"/>
  <c r="AD15" i="21" s="1"/>
  <c r="P23" i="21"/>
  <c r="P37" i="21"/>
  <c r="P52" i="21"/>
  <c r="AM52" i="21" s="1"/>
  <c r="P30" i="21"/>
  <c r="AD30" i="21" s="1"/>
  <c r="P58" i="21"/>
  <c r="AH58" i="21" s="1"/>
  <c r="P63" i="21"/>
  <c r="AD63" i="21" s="1"/>
  <c r="P67" i="21"/>
  <c r="S67" i="21" s="1"/>
  <c r="P77" i="21"/>
  <c r="AA77" i="21" s="1"/>
  <c r="AB77" i="21" s="1"/>
  <c r="P87" i="21"/>
  <c r="P28" i="21"/>
  <c r="AJ28" i="21" s="1"/>
  <c r="P47" i="21"/>
  <c r="AD47" i="21" s="1"/>
  <c r="P27" i="21"/>
  <c r="P49" i="21"/>
  <c r="AD49" i="21" s="1"/>
  <c r="P84" i="21"/>
  <c r="AH84" i="21" s="1"/>
  <c r="P79" i="21"/>
  <c r="P73" i="21"/>
  <c r="P108" i="21"/>
  <c r="P104" i="21"/>
  <c r="P100" i="21"/>
  <c r="P96" i="21"/>
  <c r="P92" i="21"/>
  <c r="P44" i="21"/>
  <c r="AH44" i="21" s="1"/>
  <c r="P10" i="21"/>
  <c r="P9" i="21"/>
  <c r="AQ9" i="21" s="1"/>
  <c r="P14" i="21"/>
  <c r="AD14" i="21" s="1"/>
  <c r="P21" i="21"/>
  <c r="AA21" i="21" s="1"/>
  <c r="AB21" i="21" s="1"/>
  <c r="P33" i="21"/>
  <c r="P48" i="21"/>
  <c r="AM48" i="21" s="1"/>
  <c r="P24" i="21"/>
  <c r="AD24" i="21" s="1"/>
  <c r="P53" i="21"/>
  <c r="AH53" i="21" s="1"/>
  <c r="P62" i="21"/>
  <c r="AD62" i="21" s="1"/>
  <c r="P66" i="21"/>
  <c r="AH66" i="21" s="1"/>
  <c r="P26" i="21"/>
  <c r="AJ26" i="21" s="1"/>
  <c r="P43" i="21"/>
  <c r="AD43" i="21" s="1"/>
  <c r="P57" i="21"/>
  <c r="AH57" i="21" s="1"/>
  <c r="P40" i="21"/>
  <c r="P82" i="21"/>
  <c r="S82" i="21" s="1"/>
  <c r="P90" i="21"/>
  <c r="Q90" i="21" s="1"/>
  <c r="AF116" i="20"/>
  <c r="AO156" i="20"/>
  <c r="AP156" i="20" s="1"/>
  <c r="Q183" i="20"/>
  <c r="AA156" i="20"/>
  <c r="AB156" i="20" s="1"/>
  <c r="AF143" i="20"/>
  <c r="AG143" i="20" s="1"/>
  <c r="Q143" i="20"/>
  <c r="AF156" i="20"/>
  <c r="AG156" i="20" s="1"/>
  <c r="AF183" i="20"/>
  <c r="AH183" i="20"/>
  <c r="P199" i="20"/>
  <c r="P188" i="20"/>
  <c r="P115" i="20"/>
  <c r="AM115" i="20" s="1"/>
  <c r="AO171" i="20"/>
  <c r="AP171" i="20" s="1"/>
  <c r="S171" i="20"/>
  <c r="AD171" i="20"/>
  <c r="U171" i="20"/>
  <c r="V171" i="20" s="1"/>
  <c r="W171" i="20" s="1"/>
  <c r="AF171" i="20"/>
  <c r="Q171" i="20"/>
  <c r="P117" i="20"/>
  <c r="AM117" i="20" s="1"/>
  <c r="P166" i="20"/>
  <c r="P150" i="20"/>
  <c r="AM150" i="20" s="1"/>
  <c r="P134" i="20"/>
  <c r="AM134" i="20" s="1"/>
  <c r="P161" i="20"/>
  <c r="P203" i="20"/>
  <c r="P208" i="20"/>
  <c r="P182" i="20"/>
  <c r="P207" i="20"/>
  <c r="P180" i="20"/>
  <c r="P205" i="20"/>
  <c r="P197" i="20"/>
  <c r="P147" i="20"/>
  <c r="AM147" i="20" s="1"/>
  <c r="P131" i="20"/>
  <c r="AM131" i="20" s="1"/>
  <c r="P123" i="20"/>
  <c r="AM123" i="20" s="1"/>
  <c r="P164" i="20"/>
  <c r="P148" i="20"/>
  <c r="P124" i="20"/>
  <c r="AM124" i="20" s="1"/>
  <c r="AH116" i="20"/>
  <c r="S116" i="20"/>
  <c r="AD116" i="20"/>
  <c r="U116" i="20"/>
  <c r="V116" i="20" s="1"/>
  <c r="W116" i="20" s="1"/>
  <c r="X116" i="20"/>
  <c r="Y116" i="20" s="1"/>
  <c r="Z116" i="20" s="1"/>
  <c r="AH171" i="20"/>
  <c r="AA171" i="20"/>
  <c r="AB171" i="20" s="1"/>
  <c r="P201" i="20"/>
  <c r="AF193" i="20"/>
  <c r="S193" i="20"/>
  <c r="U193" i="20"/>
  <c r="V193" i="20" s="1"/>
  <c r="W193" i="20" s="1"/>
  <c r="AD193" i="20"/>
  <c r="AA193" i="20"/>
  <c r="AB193" i="20" s="1"/>
  <c r="X193" i="20"/>
  <c r="Y193" i="20" s="1"/>
  <c r="Z193" i="20" s="1"/>
  <c r="P185" i="20"/>
  <c r="P127" i="20"/>
  <c r="AM127" i="20" s="1"/>
  <c r="P136" i="20"/>
  <c r="AM136" i="20" s="1"/>
  <c r="P120" i="20"/>
  <c r="AM120" i="20" s="1"/>
  <c r="P137" i="20"/>
  <c r="AM137" i="20" s="1"/>
  <c r="P178" i="20"/>
  <c r="P162" i="20"/>
  <c r="P146" i="20"/>
  <c r="AM146" i="20" s="1"/>
  <c r="P130" i="20"/>
  <c r="AM130" i="20" s="1"/>
  <c r="P122" i="20"/>
  <c r="AM122" i="20" s="1"/>
  <c r="P198" i="20"/>
  <c r="P189" i="20"/>
  <c r="S155" i="20"/>
  <c r="U155" i="20"/>
  <c r="V155" i="20" s="1"/>
  <c r="W155" i="20" s="1"/>
  <c r="AD155" i="20"/>
  <c r="AO155" i="20"/>
  <c r="AP155" i="20" s="1"/>
  <c r="P132" i="20"/>
  <c r="P158" i="20"/>
  <c r="P142" i="20"/>
  <c r="AM142" i="20" s="1"/>
  <c r="AA118" i="20"/>
  <c r="AB118" i="20" s="1"/>
  <c r="S118" i="20"/>
  <c r="U118" i="20"/>
  <c r="V118" i="20" s="1"/>
  <c r="W118" i="20" s="1"/>
  <c r="AD118" i="20"/>
  <c r="AF118" i="20"/>
  <c r="X118" i="20"/>
  <c r="Y118" i="20" s="1"/>
  <c r="Z118" i="20" s="1"/>
  <c r="P194" i="20"/>
  <c r="P186" i="20"/>
  <c r="P177" i="20"/>
  <c r="P200" i="20"/>
  <c r="P209" i="20"/>
  <c r="S143" i="20"/>
  <c r="U143" i="20"/>
  <c r="V143" i="20" s="1"/>
  <c r="W143" i="20" s="1"/>
  <c r="AD143" i="20"/>
  <c r="P119" i="20"/>
  <c r="AM119" i="20" s="1"/>
  <c r="P112" i="20"/>
  <c r="AM112" i="20" s="1"/>
  <c r="P145" i="20"/>
  <c r="AM145" i="20" s="1"/>
  <c r="P129" i="20"/>
  <c r="AM129" i="20" s="1"/>
  <c r="P121" i="20"/>
  <c r="AM121" i="20" s="1"/>
  <c r="P170" i="20"/>
  <c r="P154" i="20"/>
  <c r="AM154" i="20" s="1"/>
  <c r="P138" i="20"/>
  <c r="AM138" i="20" s="1"/>
  <c r="P114" i="20"/>
  <c r="AM114" i="20" s="1"/>
  <c r="X171" i="20"/>
  <c r="Y171" i="20" s="1"/>
  <c r="Z171" i="20" s="1"/>
  <c r="P149" i="20"/>
  <c r="P133" i="20"/>
  <c r="AM133" i="20" s="1"/>
  <c r="P125" i="20"/>
  <c r="AM125" i="20" s="1"/>
  <c r="P126" i="20"/>
  <c r="AM126" i="20" s="1"/>
  <c r="P110" i="20"/>
  <c r="AM110" i="20" s="1"/>
  <c r="P184" i="20"/>
  <c r="AO193" i="20"/>
  <c r="AP193" i="20" s="1"/>
  <c r="AH193" i="20"/>
  <c r="P175" i="20"/>
  <c r="P135" i="20"/>
  <c r="AM135" i="20" s="1"/>
  <c r="P111" i="20"/>
  <c r="AM111" i="20" s="1"/>
  <c r="P176" i="20"/>
  <c r="P160" i="20"/>
  <c r="P187" i="20"/>
  <c r="P153" i="20"/>
  <c r="AM153" i="20" s="1"/>
  <c r="P113" i="20"/>
  <c r="AM113" i="20" s="1"/>
  <c r="P190" i="20"/>
  <c r="P169" i="20"/>
  <c r="P165" i="20"/>
  <c r="AF155" i="20"/>
  <c r="AA155" i="20"/>
  <c r="AB155" i="20" s="1"/>
  <c r="AH155" i="20"/>
  <c r="X155" i="20"/>
  <c r="Y155" i="20" s="1"/>
  <c r="Z155" i="20" s="1"/>
  <c r="AH156" i="20"/>
  <c r="S156" i="20"/>
  <c r="U156" i="20"/>
  <c r="V156" i="20" s="1"/>
  <c r="W156" i="20" s="1"/>
  <c r="AD156" i="20"/>
  <c r="X156" i="20"/>
  <c r="Y156" i="20" s="1"/>
  <c r="Z156" i="20" s="1"/>
  <c r="P140" i="20"/>
  <c r="AM140" i="20" s="1"/>
  <c r="S183" i="20"/>
  <c r="U183" i="20"/>
  <c r="V183" i="20" s="1"/>
  <c r="W183" i="20" s="1"/>
  <c r="AD183" i="20"/>
  <c r="X183" i="20"/>
  <c r="Y183" i="20" s="1"/>
  <c r="Z183" i="20" s="1"/>
  <c r="P157" i="20"/>
  <c r="P141" i="20"/>
  <c r="AM141" i="20" s="1"/>
  <c r="P174" i="20"/>
  <c r="Q118" i="20"/>
  <c r="AO118" i="20"/>
  <c r="AP118" i="20" s="1"/>
  <c r="P202" i="20"/>
  <c r="P195" i="20"/>
  <c r="P192" i="20"/>
  <c r="AA143" i="20"/>
  <c r="AB143" i="20" s="1"/>
  <c r="AO143" i="20"/>
  <c r="AP143" i="20" s="1"/>
  <c r="AH143" i="20"/>
  <c r="X143" i="20"/>
  <c r="Y143" i="20" s="1"/>
  <c r="Z143" i="20" s="1"/>
  <c r="P168" i="20"/>
  <c r="P144" i="20"/>
  <c r="AM144" i="20" s="1"/>
  <c r="P128" i="20"/>
  <c r="AM128" i="20" s="1"/>
  <c r="P163" i="20"/>
  <c r="AT14" i="20"/>
  <c r="AT29" i="20"/>
  <c r="AT17" i="20"/>
  <c r="AT109" i="20"/>
  <c r="AT101" i="20"/>
  <c r="AT93" i="20"/>
  <c r="AT69" i="20"/>
  <c r="AT18" i="20"/>
  <c r="AT82" i="20"/>
  <c r="AT74" i="20"/>
  <c r="AT50" i="20"/>
  <c r="AT46" i="20"/>
  <c r="AT38" i="20"/>
  <c r="AT26" i="20"/>
  <c r="AT33" i="20"/>
  <c r="AT31" i="20"/>
  <c r="AT30" i="20"/>
  <c r="AT25" i="20"/>
  <c r="AT41" i="20"/>
  <c r="AT13" i="20"/>
  <c r="AT105" i="20"/>
  <c r="AT97" i="20"/>
  <c r="AT89" i="20"/>
  <c r="AT81" i="20"/>
  <c r="AT73" i="20"/>
  <c r="AT65" i="20"/>
  <c r="AT57" i="20"/>
  <c r="AT49" i="20"/>
  <c r="AT10" i="20"/>
  <c r="AT102" i="20"/>
  <c r="AT94" i="20"/>
  <c r="AT86" i="20"/>
  <c r="AT78" i="20"/>
  <c r="AT70" i="20"/>
  <c r="AT62" i="20"/>
  <c r="AT54" i="20"/>
  <c r="AT45" i="20"/>
  <c r="AT42" i="20"/>
  <c r="AT34" i="20"/>
  <c r="AT37" i="20"/>
  <c r="AT21" i="20"/>
  <c r="AT85" i="20"/>
  <c r="AT77" i="20"/>
  <c r="AT61" i="20"/>
  <c r="AT53" i="20"/>
  <c r="AT106" i="20"/>
  <c r="AT98" i="20"/>
  <c r="AT90" i="20"/>
  <c r="AT66" i="20"/>
  <c r="AT58" i="20"/>
  <c r="AU30" i="20"/>
  <c r="AU29" i="20"/>
  <c r="AU25" i="20"/>
  <c r="BA41" i="20"/>
  <c r="AU41" i="20"/>
  <c r="BA13" i="20"/>
  <c r="AU13" i="20"/>
  <c r="AU105" i="20"/>
  <c r="AU97" i="20"/>
  <c r="AU89" i="20"/>
  <c r="AU81" i="20"/>
  <c r="AU73" i="20"/>
  <c r="AU65" i="20"/>
  <c r="BA57" i="20"/>
  <c r="AU57" i="20"/>
  <c r="BA49" i="20"/>
  <c r="AU49" i="20"/>
  <c r="BA10" i="20"/>
  <c r="AU10" i="20"/>
  <c r="AU102" i="20"/>
  <c r="AU94" i="20"/>
  <c r="AU86" i="20"/>
  <c r="AU78" i="20"/>
  <c r="AU70" i="20"/>
  <c r="AU62" i="20"/>
  <c r="BA54" i="20"/>
  <c r="AU54" i="20"/>
  <c r="BA45" i="20"/>
  <c r="AU45" i="20"/>
  <c r="BA42" i="20"/>
  <c r="AU42" i="20"/>
  <c r="AU34" i="20"/>
  <c r="BA37" i="20"/>
  <c r="AU37" i="20"/>
  <c r="BA21" i="20"/>
  <c r="AU21" i="20"/>
  <c r="M22" i="20"/>
  <c r="AC22" i="20" s="1"/>
  <c r="AU31" i="20"/>
  <c r="BA14" i="20"/>
  <c r="AU14" i="20"/>
  <c r="BA17" i="20"/>
  <c r="AU17" i="20"/>
  <c r="AU109" i="20"/>
  <c r="AU101" i="20"/>
  <c r="AU93" i="20"/>
  <c r="AU85" i="20"/>
  <c r="AU77" i="20"/>
  <c r="AU69" i="20"/>
  <c r="AU61" i="20"/>
  <c r="BA53" i="20"/>
  <c r="AU53" i="20"/>
  <c r="BA18" i="20"/>
  <c r="AU18" i="20"/>
  <c r="AU106" i="20"/>
  <c r="AU98" i="20"/>
  <c r="AU90" i="20"/>
  <c r="AU82" i="20"/>
  <c r="AU74" i="20"/>
  <c r="AU66" i="20"/>
  <c r="BA58" i="20"/>
  <c r="AU58" i="20"/>
  <c r="BA50" i="20"/>
  <c r="AU50" i="20"/>
  <c r="BA46" i="20"/>
  <c r="AU46" i="20"/>
  <c r="BA38" i="20"/>
  <c r="AU38" i="20"/>
  <c r="AU26" i="20"/>
  <c r="AU33" i="20"/>
  <c r="M9" i="20"/>
  <c r="AC9" i="20" s="1"/>
  <c r="O30" i="20"/>
  <c r="N30" i="20"/>
  <c r="N29" i="20"/>
  <c r="O29" i="20"/>
  <c r="N25" i="20"/>
  <c r="O25" i="20"/>
  <c r="O17" i="20"/>
  <c r="N17" i="20"/>
  <c r="O109" i="20"/>
  <c r="M109" i="20" s="1"/>
  <c r="AC109" i="20" s="1"/>
  <c r="N109" i="20"/>
  <c r="O101" i="20"/>
  <c r="M101" i="20" s="1"/>
  <c r="AC101" i="20" s="1"/>
  <c r="N101" i="20"/>
  <c r="O93" i="20"/>
  <c r="M93" i="20" s="1"/>
  <c r="AC93" i="20" s="1"/>
  <c r="N93" i="20"/>
  <c r="O85" i="20"/>
  <c r="M85" i="20" s="1"/>
  <c r="AC85" i="20" s="1"/>
  <c r="N85" i="20"/>
  <c r="O77" i="20"/>
  <c r="M77" i="20" s="1"/>
  <c r="AC77" i="20" s="1"/>
  <c r="N77" i="20"/>
  <c r="O69" i="20"/>
  <c r="M69" i="20" s="1"/>
  <c r="AC69" i="20" s="1"/>
  <c r="N69" i="20"/>
  <c r="N61" i="20"/>
  <c r="O61" i="20"/>
  <c r="M61" i="20" s="1"/>
  <c r="AC61" i="20" s="1"/>
  <c r="N53" i="20"/>
  <c r="O53" i="20"/>
  <c r="M53" i="20" s="1"/>
  <c r="AC53" i="20" s="1"/>
  <c r="O18" i="20"/>
  <c r="N18" i="20"/>
  <c r="O106" i="20"/>
  <c r="M106" i="20" s="1"/>
  <c r="AC106" i="20" s="1"/>
  <c r="N106" i="20"/>
  <c r="O98" i="20"/>
  <c r="M98" i="20" s="1"/>
  <c r="AC98" i="20" s="1"/>
  <c r="N98" i="20"/>
  <c r="O90" i="20"/>
  <c r="M90" i="20" s="1"/>
  <c r="AC90" i="20" s="1"/>
  <c r="N90" i="20"/>
  <c r="O82" i="20"/>
  <c r="M82" i="20" s="1"/>
  <c r="AC82" i="20" s="1"/>
  <c r="N82" i="20"/>
  <c r="O74" i="20"/>
  <c r="M74" i="20" s="1"/>
  <c r="AC74" i="20" s="1"/>
  <c r="N74" i="20"/>
  <c r="O66" i="20"/>
  <c r="M66" i="20" s="1"/>
  <c r="AC66" i="20" s="1"/>
  <c r="N66" i="20"/>
  <c r="O58" i="20"/>
  <c r="M58" i="20" s="1"/>
  <c r="AC58" i="20" s="1"/>
  <c r="N58" i="20"/>
  <c r="O50" i="20"/>
  <c r="M50" i="20" s="1"/>
  <c r="AC50" i="20" s="1"/>
  <c r="N50" i="20"/>
  <c r="O46" i="20"/>
  <c r="M46" i="20" s="1"/>
  <c r="AC46" i="20" s="1"/>
  <c r="N46" i="20"/>
  <c r="O38" i="20"/>
  <c r="M38" i="20" s="1"/>
  <c r="AC38" i="20" s="1"/>
  <c r="N38" i="20"/>
  <c r="O26" i="20"/>
  <c r="N26" i="20"/>
  <c r="N33" i="20"/>
  <c r="O33" i="20"/>
  <c r="N31" i="20"/>
  <c r="O31" i="20"/>
  <c r="O14" i="20"/>
  <c r="N14" i="20"/>
  <c r="N41" i="20"/>
  <c r="O41" i="20"/>
  <c r="M41" i="20" s="1"/>
  <c r="AC41" i="20" s="1"/>
  <c r="O13" i="20"/>
  <c r="N13" i="20"/>
  <c r="O105" i="20"/>
  <c r="M105" i="20" s="1"/>
  <c r="AC105" i="20" s="1"/>
  <c r="N105" i="20"/>
  <c r="O97" i="20"/>
  <c r="M97" i="20" s="1"/>
  <c r="AC97" i="20" s="1"/>
  <c r="N97" i="20"/>
  <c r="O89" i="20"/>
  <c r="M89" i="20" s="1"/>
  <c r="AC89" i="20" s="1"/>
  <c r="N89" i="20"/>
  <c r="O81" i="20"/>
  <c r="M81" i="20" s="1"/>
  <c r="AC81" i="20" s="1"/>
  <c r="N81" i="20"/>
  <c r="O73" i="20"/>
  <c r="M73" i="20" s="1"/>
  <c r="AC73" i="20" s="1"/>
  <c r="N73" i="20"/>
  <c r="N65" i="20"/>
  <c r="O65" i="20"/>
  <c r="M65" i="20" s="1"/>
  <c r="AC65" i="20" s="1"/>
  <c r="N57" i="20"/>
  <c r="O57" i="20"/>
  <c r="M57" i="20" s="1"/>
  <c r="AC57" i="20" s="1"/>
  <c r="N49" i="20"/>
  <c r="O49" i="20"/>
  <c r="M49" i="20" s="1"/>
  <c r="AC49" i="20" s="1"/>
  <c r="O10" i="20"/>
  <c r="N10" i="20"/>
  <c r="O102" i="20"/>
  <c r="M102" i="20" s="1"/>
  <c r="AC102" i="20" s="1"/>
  <c r="N102" i="20"/>
  <c r="O94" i="20"/>
  <c r="M94" i="20" s="1"/>
  <c r="AC94" i="20" s="1"/>
  <c r="N94" i="20"/>
  <c r="O86" i="20"/>
  <c r="M86" i="20" s="1"/>
  <c r="AC86" i="20" s="1"/>
  <c r="N86" i="20"/>
  <c r="O78" i="20"/>
  <c r="M78" i="20" s="1"/>
  <c r="AC78" i="20" s="1"/>
  <c r="N78" i="20"/>
  <c r="O70" i="20"/>
  <c r="M70" i="20" s="1"/>
  <c r="AC70" i="20" s="1"/>
  <c r="N70" i="20"/>
  <c r="O62" i="20"/>
  <c r="M62" i="20" s="1"/>
  <c r="AC62" i="20" s="1"/>
  <c r="N62" i="20"/>
  <c r="O54" i="20"/>
  <c r="M54" i="20" s="1"/>
  <c r="AC54" i="20" s="1"/>
  <c r="N54" i="20"/>
  <c r="N45" i="20"/>
  <c r="O45" i="20"/>
  <c r="M45" i="20" s="1"/>
  <c r="AC45" i="20" s="1"/>
  <c r="O42" i="20"/>
  <c r="M42" i="20" s="1"/>
  <c r="AC42" i="20" s="1"/>
  <c r="N42" i="20"/>
  <c r="O34" i="20"/>
  <c r="M34" i="20" s="1"/>
  <c r="AC34" i="20" s="1"/>
  <c r="N34" i="20"/>
  <c r="N37" i="20"/>
  <c r="O37" i="20"/>
  <c r="M37" i="20" s="1"/>
  <c r="AC37" i="20" s="1"/>
  <c r="O21" i="20"/>
  <c r="N21" i="20"/>
  <c r="N22" i="20"/>
  <c r="P22" i="20" s="1"/>
  <c r="C78" i="2"/>
  <c r="B190" i="2"/>
  <c r="B191" i="2"/>
  <c r="B85" i="2"/>
  <c r="F85" i="2"/>
  <c r="E85" i="2"/>
  <c r="B196" i="2"/>
  <c r="B174" i="2"/>
  <c r="B264" i="2"/>
  <c r="F266" i="2"/>
  <c r="B266" i="2"/>
  <c r="D408" i="2"/>
  <c r="D407" i="2"/>
  <c r="B129" i="2"/>
  <c r="K134" i="2" s="1"/>
  <c r="M134" i="2" s="1"/>
  <c r="B134" i="2"/>
  <c r="L104" i="2"/>
  <c r="P104" i="2" s="1"/>
  <c r="K104" i="2"/>
  <c r="E20" i="1"/>
  <c r="F92" i="2"/>
  <c r="B162" i="2"/>
  <c r="B92" i="2"/>
  <c r="E23" i="1" s="1"/>
  <c r="B104" i="2"/>
  <c r="B118" i="2" s="1"/>
  <c r="B151" i="2"/>
  <c r="K317" i="2"/>
  <c r="B276" i="2"/>
  <c r="B283" i="2"/>
  <c r="B274" i="2"/>
  <c r="B313" i="2"/>
  <c r="K5" i="17" s="1"/>
  <c r="B282" i="2"/>
  <c r="K150" i="2"/>
  <c r="K149" i="2"/>
  <c r="L150" i="2"/>
  <c r="L149" i="2"/>
  <c r="C79" i="2"/>
  <c r="B79" i="2"/>
  <c r="B78" i="2"/>
  <c r="A452" i="2"/>
  <c r="C69" i="16"/>
  <c r="D69" i="16" s="1"/>
  <c r="B415" i="2"/>
  <c r="B416" i="2" s="1"/>
  <c r="AJ87" i="20" l="1"/>
  <c r="AK87" i="20" s="1"/>
  <c r="AJ96" i="20"/>
  <c r="AK96" i="20" s="1"/>
  <c r="AJ100" i="20"/>
  <c r="AK100" i="20" s="1"/>
  <c r="P27" i="20"/>
  <c r="AD27" i="20" s="1"/>
  <c r="P51" i="20"/>
  <c r="AM51" i="20" s="1"/>
  <c r="P63" i="20"/>
  <c r="AM63" i="20" s="1"/>
  <c r="AJ84" i="20"/>
  <c r="AK84" i="20" s="1"/>
  <c r="P55" i="20"/>
  <c r="AM55" i="20" s="1"/>
  <c r="AQ80" i="20"/>
  <c r="AQ68" i="20"/>
  <c r="P56" i="20"/>
  <c r="AM56" i="20" s="1"/>
  <c r="P60" i="20"/>
  <c r="AQ60" i="20" s="1"/>
  <c r="P59" i="20"/>
  <c r="AM59" i="20" s="1"/>
  <c r="P32" i="20"/>
  <c r="AD32" i="20" s="1"/>
  <c r="P40" i="20"/>
  <c r="AF40" i="20" s="1"/>
  <c r="B170" i="2"/>
  <c r="B102" i="2"/>
  <c r="B116" i="2" s="1"/>
  <c r="P35" i="20"/>
  <c r="AO35" i="20" s="1"/>
  <c r="AP35" i="20" s="1"/>
  <c r="AJ64" i="20"/>
  <c r="AK64" i="20" s="1"/>
  <c r="P47" i="20"/>
  <c r="AA47" i="20" s="1"/>
  <c r="AB47" i="20" s="1"/>
  <c r="P48" i="20"/>
  <c r="AQ48" i="20" s="1"/>
  <c r="AQ63" i="20"/>
  <c r="P43" i="20"/>
  <c r="AQ43" i="20" s="1"/>
  <c r="P24" i="20"/>
  <c r="AJ24" i="20" s="1"/>
  <c r="AK24" i="20" s="1"/>
  <c r="X196" i="20"/>
  <c r="Y196" i="20" s="1"/>
  <c r="Z196" i="20" s="1"/>
  <c r="X173" i="20"/>
  <c r="Y173" i="20" s="1"/>
  <c r="Z173" i="20" s="1"/>
  <c r="U173" i="20"/>
  <c r="V173" i="20" s="1"/>
  <c r="W173" i="20" s="1"/>
  <c r="Q196" i="20"/>
  <c r="R196" i="20" s="1"/>
  <c r="AH173" i="20"/>
  <c r="P15" i="20"/>
  <c r="AD15" i="20" s="1"/>
  <c r="U167" i="20"/>
  <c r="V167" i="20" s="1"/>
  <c r="W167" i="20" s="1"/>
  <c r="AF146" i="20"/>
  <c r="AG146" i="20" s="1"/>
  <c r="AA172" i="20"/>
  <c r="AB172" i="20" s="1"/>
  <c r="U95" i="20"/>
  <c r="V95" i="20" s="1"/>
  <c r="W95" i="20" s="1"/>
  <c r="S103" i="20"/>
  <c r="AM64" i="20"/>
  <c r="AO64" i="20"/>
  <c r="AP64" i="20" s="1"/>
  <c r="AR64" i="20" s="1"/>
  <c r="AH151" i="20"/>
  <c r="S179" i="20"/>
  <c r="AA151" i="20"/>
  <c r="AB151" i="20" s="1"/>
  <c r="Q152" i="20"/>
  <c r="R152" i="20" s="1"/>
  <c r="P16" i="20"/>
  <c r="AJ16" i="20" s="1"/>
  <c r="AH139" i="20"/>
  <c r="P11" i="20"/>
  <c r="AD11" i="20" s="1"/>
  <c r="AD24" i="20"/>
  <c r="AO92" i="20"/>
  <c r="AP92" i="20" s="1"/>
  <c r="AR92" i="20" s="1"/>
  <c r="AF92" i="20"/>
  <c r="AH20" i="20"/>
  <c r="Q64" i="20"/>
  <c r="AS64" i="20" s="1"/>
  <c r="Q95" i="20"/>
  <c r="AS95" i="20" s="1"/>
  <c r="B149" i="2"/>
  <c r="AD152" i="20"/>
  <c r="AE152" i="20" s="1"/>
  <c r="P28" i="20"/>
  <c r="X28" i="20" s="1"/>
  <c r="Y28" i="20" s="1"/>
  <c r="Z28" i="20" s="1"/>
  <c r="X9" i="20"/>
  <c r="Y9" i="20" s="1"/>
  <c r="Z9" i="20" s="1"/>
  <c r="AD159" i="20"/>
  <c r="AD181" i="20"/>
  <c r="AA167" i="20"/>
  <c r="AB167" i="20" s="1"/>
  <c r="Q179" i="20"/>
  <c r="R179" i="20" s="1"/>
  <c r="B198" i="2"/>
  <c r="E54" i="1" s="1"/>
  <c r="AR118" i="20"/>
  <c r="AD204" i="20"/>
  <c r="S80" i="20"/>
  <c r="AO87" i="20"/>
  <c r="AP87" i="20" s="1"/>
  <c r="X80" i="20"/>
  <c r="Y80" i="20" s="1"/>
  <c r="Z80" i="20" s="1"/>
  <c r="AO139" i="20"/>
  <c r="AP139" i="20" s="1"/>
  <c r="X206" i="20"/>
  <c r="Y206" i="20" s="1"/>
  <c r="Z206" i="20" s="1"/>
  <c r="AD206" i="20"/>
  <c r="X191" i="20"/>
  <c r="Y191" i="20" s="1"/>
  <c r="Z191" i="20" s="1"/>
  <c r="AD191" i="20"/>
  <c r="AQ70" i="21"/>
  <c r="U69" i="21"/>
  <c r="V69" i="21" s="1"/>
  <c r="W69" i="21" s="1"/>
  <c r="AO69" i="21"/>
  <c r="AP69" i="21" s="1"/>
  <c r="P19" i="20"/>
  <c r="AD19" i="20" s="1"/>
  <c r="AD76" i="20"/>
  <c r="Q84" i="20"/>
  <c r="AS84" i="20" s="1"/>
  <c r="Q71" i="20"/>
  <c r="AS71" i="20" s="1"/>
  <c r="AF103" i="20"/>
  <c r="AO103" i="20"/>
  <c r="AP103" i="20" s="1"/>
  <c r="AH159" i="20"/>
  <c r="S172" i="20"/>
  <c r="AA206" i="20"/>
  <c r="AB206" i="20" s="1"/>
  <c r="AH179" i="20"/>
  <c r="AD179" i="20"/>
  <c r="T193" i="20"/>
  <c r="BI193" i="20" s="1"/>
  <c r="X167" i="20"/>
  <c r="Y167" i="20" s="1"/>
  <c r="Z167" i="20" s="1"/>
  <c r="S167" i="20"/>
  <c r="T167" i="20" s="1"/>
  <c r="BI167" i="20" s="1"/>
  <c r="AA179" i="20"/>
  <c r="AB179" i="20" s="1"/>
  <c r="AS193" i="20"/>
  <c r="AH204" i="20"/>
  <c r="AF167" i="20"/>
  <c r="AV167" i="20" s="1"/>
  <c r="BL167" i="20" s="1"/>
  <c r="Q206" i="20"/>
  <c r="AS206" i="20" s="1"/>
  <c r="AH96" i="20"/>
  <c r="AF96" i="20"/>
  <c r="AG96" i="20" s="1"/>
  <c r="AO95" i="20"/>
  <c r="AP95" i="20" s="1"/>
  <c r="AR95" i="20" s="1"/>
  <c r="AF152" i="20"/>
  <c r="AG152" i="20" s="1"/>
  <c r="AA173" i="20"/>
  <c r="AB173" i="20" s="1"/>
  <c r="X139" i="20"/>
  <c r="Y139" i="20" s="1"/>
  <c r="Z139" i="20" s="1"/>
  <c r="AS155" i="20"/>
  <c r="AO196" i="20"/>
  <c r="AP196" i="20" s="1"/>
  <c r="AO151" i="20"/>
  <c r="AP151" i="20" s="1"/>
  <c r="AR151" i="20" s="1"/>
  <c r="S152" i="20"/>
  <c r="S173" i="20"/>
  <c r="U139" i="20"/>
  <c r="V139" i="20" s="1"/>
  <c r="W139" i="20" s="1"/>
  <c r="U196" i="20"/>
  <c r="V196" i="20" s="1"/>
  <c r="W196" i="20" s="1"/>
  <c r="AD151" i="20"/>
  <c r="AF191" i="20"/>
  <c r="AG191" i="20" s="1"/>
  <c r="S191" i="20"/>
  <c r="AF196" i="20"/>
  <c r="AG196" i="20" s="1"/>
  <c r="AI196" i="20" s="1"/>
  <c r="AD80" i="20"/>
  <c r="S64" i="20"/>
  <c r="AH80" i="20"/>
  <c r="Q80" i="20"/>
  <c r="AS80" i="20" s="1"/>
  <c r="M19" i="20"/>
  <c r="AC19" i="20" s="1"/>
  <c r="AA96" i="20"/>
  <c r="AB96" i="20" s="1"/>
  <c r="AE96" i="20" s="1"/>
  <c r="AF95" i="20"/>
  <c r="AO152" i="20"/>
  <c r="AP152" i="20" s="1"/>
  <c r="AR143" i="20"/>
  <c r="AO173" i="20"/>
  <c r="AP173" i="20" s="1"/>
  <c r="AA139" i="20"/>
  <c r="AB139" i="20" s="1"/>
  <c r="AF139" i="20"/>
  <c r="AV139" i="20" s="1"/>
  <c r="BL139" i="20" s="1"/>
  <c r="AA196" i="20"/>
  <c r="AB196" i="20" s="1"/>
  <c r="AF151" i="20"/>
  <c r="AG151" i="20" s="1"/>
  <c r="AR193" i="20"/>
  <c r="X152" i="20"/>
  <c r="Y152" i="20" s="1"/>
  <c r="Z152" i="20" s="1"/>
  <c r="U152" i="20"/>
  <c r="V152" i="20" s="1"/>
  <c r="W152" i="20" s="1"/>
  <c r="AH152" i="20"/>
  <c r="AD173" i="20"/>
  <c r="AD139" i="20"/>
  <c r="S139" i="20"/>
  <c r="T155" i="20"/>
  <c r="BI155" i="20" s="1"/>
  <c r="AD196" i="20"/>
  <c r="S196" i="20"/>
  <c r="U151" i="20"/>
  <c r="V151" i="20" s="1"/>
  <c r="W151" i="20" s="1"/>
  <c r="AA191" i="20"/>
  <c r="AB191" i="20" s="1"/>
  <c r="AH191" i="20"/>
  <c r="U191" i="20"/>
  <c r="V191" i="20" s="1"/>
  <c r="W191" i="20" s="1"/>
  <c r="AR156" i="20"/>
  <c r="AR116" i="20"/>
  <c r="AD108" i="20"/>
  <c r="AD103" i="20"/>
  <c r="AF76" i="20"/>
  <c r="AF108" i="20"/>
  <c r="AF87" i="20"/>
  <c r="AV87" i="20" s="1"/>
  <c r="BL87" i="20" s="1"/>
  <c r="M32" i="20"/>
  <c r="AF32" i="20" s="1"/>
  <c r="AG32" i="20" s="1"/>
  <c r="AA87" i="20"/>
  <c r="AB87" i="20" s="1"/>
  <c r="AA103" i="20"/>
  <c r="AB103" i="20" s="1"/>
  <c r="AO108" i="20"/>
  <c r="AP108" i="20" s="1"/>
  <c r="AR108" i="20" s="1"/>
  <c r="P39" i="20"/>
  <c r="AM39" i="20" s="1"/>
  <c r="AF159" i="20"/>
  <c r="AV159" i="20" s="1"/>
  <c r="BL159" i="20" s="1"/>
  <c r="AD172" i="20"/>
  <c r="AH172" i="20"/>
  <c r="AI172" i="20" s="1"/>
  <c r="BF172" i="20" s="1"/>
  <c r="AF181" i="20"/>
  <c r="AG181" i="20" s="1"/>
  <c r="AI181" i="20" s="1"/>
  <c r="BF181" i="20" s="1"/>
  <c r="AF204" i="20"/>
  <c r="AV204" i="20" s="1"/>
  <c r="BL204" i="20" s="1"/>
  <c r="AO206" i="20"/>
  <c r="AP206" i="20" s="1"/>
  <c r="AF206" i="20"/>
  <c r="AV206" i="20" s="1"/>
  <c r="BL206" i="20" s="1"/>
  <c r="X179" i="20"/>
  <c r="Y179" i="20" s="1"/>
  <c r="Z179" i="20" s="1"/>
  <c r="AO179" i="20"/>
  <c r="AP179" i="20" s="1"/>
  <c r="AR155" i="20"/>
  <c r="X181" i="20"/>
  <c r="Y181" i="20" s="1"/>
  <c r="Z181" i="20" s="1"/>
  <c r="U181" i="20"/>
  <c r="V181" i="20" s="1"/>
  <c r="W181" i="20" s="1"/>
  <c r="U206" i="20"/>
  <c r="V206" i="20" s="1"/>
  <c r="W206" i="20" s="1"/>
  <c r="S206" i="20"/>
  <c r="AH167" i="20"/>
  <c r="AO167" i="20"/>
  <c r="AP167" i="20" s="1"/>
  <c r="AD167" i="20"/>
  <c r="AS156" i="20"/>
  <c r="AR183" i="20"/>
  <c r="P12" i="20"/>
  <c r="AO12" i="20" s="1"/>
  <c r="AP12" i="20" s="1"/>
  <c r="AH32" i="20"/>
  <c r="AL170" i="20"/>
  <c r="AL121" i="20"/>
  <c r="AL163" i="20"/>
  <c r="AL128" i="20"/>
  <c r="AL152" i="20"/>
  <c r="AL168" i="20"/>
  <c r="AL143" i="20"/>
  <c r="AN143" i="20" s="1"/>
  <c r="AL159" i="20"/>
  <c r="AL209" i="20"/>
  <c r="AL173" i="20"/>
  <c r="AL192" i="20"/>
  <c r="AL200" i="20"/>
  <c r="AL195" i="20"/>
  <c r="AL177" i="20"/>
  <c r="AL202" i="20"/>
  <c r="AL142" i="20"/>
  <c r="AL132" i="20"/>
  <c r="AL140" i="20"/>
  <c r="AL172" i="20"/>
  <c r="AL139" i="20"/>
  <c r="AL181" i="20"/>
  <c r="AL189" i="20"/>
  <c r="AL165" i="20"/>
  <c r="AL196" i="20"/>
  <c r="AL204" i="20"/>
  <c r="AL169" i="20"/>
  <c r="AL114" i="20"/>
  <c r="AL138" i="20"/>
  <c r="AL154" i="20"/>
  <c r="AL129" i="20"/>
  <c r="AL145" i="20"/>
  <c r="AL112" i="20"/>
  <c r="AL119" i="20"/>
  <c r="AL118" i="20"/>
  <c r="AN118" i="20" s="1"/>
  <c r="AL158" i="20"/>
  <c r="AL157" i="20"/>
  <c r="AL156" i="20"/>
  <c r="AN156" i="20" s="1"/>
  <c r="AL155" i="20"/>
  <c r="AN155" i="20" s="1"/>
  <c r="AL190" i="20"/>
  <c r="AL198" i="20"/>
  <c r="AL206" i="20"/>
  <c r="AL162" i="20"/>
  <c r="AL178" i="20"/>
  <c r="AL179" i="20"/>
  <c r="AL160" i="20"/>
  <c r="AL176" i="20"/>
  <c r="AL111" i="20"/>
  <c r="AL135" i="20"/>
  <c r="AL175" i="20"/>
  <c r="AL110" i="20"/>
  <c r="AL134" i="20"/>
  <c r="AL150" i="20"/>
  <c r="AL149" i="20"/>
  <c r="AL164" i="20"/>
  <c r="AL123" i="20"/>
  <c r="AL147" i="20"/>
  <c r="AL167" i="20"/>
  <c r="AL197" i="20"/>
  <c r="AL205" i="20"/>
  <c r="AL180" i="20"/>
  <c r="AL188" i="20"/>
  <c r="AL191" i="20"/>
  <c r="AL199" i="20"/>
  <c r="AL207" i="20"/>
  <c r="AL182" i="20"/>
  <c r="AL84" i="20"/>
  <c r="AL96" i="20"/>
  <c r="AL79" i="20"/>
  <c r="AL95" i="20"/>
  <c r="AN95" i="20" s="1"/>
  <c r="AL144" i="20"/>
  <c r="AL186" i="20"/>
  <c r="AL194" i="20"/>
  <c r="AL174" i="20"/>
  <c r="AL141" i="20"/>
  <c r="AL183" i="20"/>
  <c r="AN183" i="20" s="1"/>
  <c r="AL122" i="20"/>
  <c r="AL130" i="20"/>
  <c r="AL146" i="20"/>
  <c r="AL113" i="20"/>
  <c r="AL137" i="20"/>
  <c r="AL153" i="20"/>
  <c r="AL187" i="20"/>
  <c r="AL120" i="20"/>
  <c r="AL136" i="20"/>
  <c r="AL127" i="20"/>
  <c r="AL151" i="20"/>
  <c r="AL185" i="20"/>
  <c r="AL193" i="20"/>
  <c r="AN193" i="20" s="1"/>
  <c r="AL201" i="20"/>
  <c r="AL184" i="20"/>
  <c r="AL208" i="20"/>
  <c r="AL203" i="20"/>
  <c r="AL161" i="20"/>
  <c r="AL126" i="20"/>
  <c r="AL166" i="20"/>
  <c r="AL117" i="20"/>
  <c r="AL125" i="20"/>
  <c r="AL133" i="20"/>
  <c r="AL171" i="20"/>
  <c r="AN171" i="20" s="1"/>
  <c r="AL116" i="20"/>
  <c r="AN116" i="20" s="1"/>
  <c r="AL124" i="20"/>
  <c r="AL148" i="20"/>
  <c r="AL115" i="20"/>
  <c r="AL131" i="20"/>
  <c r="AL108" i="20"/>
  <c r="AN108" i="20" s="1"/>
  <c r="AL103" i="20"/>
  <c r="AL92" i="20"/>
  <c r="AN92" i="20" s="1"/>
  <c r="AL83" i="20"/>
  <c r="AL101" i="20"/>
  <c r="AL86" i="20"/>
  <c r="AL89" i="20"/>
  <c r="AL82" i="20"/>
  <c r="AL90" i="20"/>
  <c r="AL85" i="20"/>
  <c r="X163" i="20"/>
  <c r="Y163" i="20" s="1"/>
  <c r="Z163" i="20" s="1"/>
  <c r="AM163" i="20"/>
  <c r="AQ163" i="20"/>
  <c r="X195" i="20"/>
  <c r="Y195" i="20" s="1"/>
  <c r="Z195" i="20" s="1"/>
  <c r="AM195" i="20"/>
  <c r="AQ195" i="20"/>
  <c r="X174" i="20"/>
  <c r="Y174" i="20" s="1"/>
  <c r="Z174" i="20" s="1"/>
  <c r="AQ174" i="20"/>
  <c r="AM174" i="20"/>
  <c r="AJ174" i="20"/>
  <c r="AK174" i="20" s="1"/>
  <c r="X157" i="20"/>
  <c r="Y157" i="20" s="1"/>
  <c r="Z157" i="20" s="1"/>
  <c r="AM157" i="20"/>
  <c r="AQ157" i="20"/>
  <c r="AJ157" i="20"/>
  <c r="AK157" i="20" s="1"/>
  <c r="AF165" i="20"/>
  <c r="AG165" i="20" s="1"/>
  <c r="AM165" i="20"/>
  <c r="AQ165" i="20"/>
  <c r="X169" i="20"/>
  <c r="Y169" i="20" s="1"/>
  <c r="Z169" i="20" s="1"/>
  <c r="AM169" i="20"/>
  <c r="AQ169" i="20"/>
  <c r="X187" i="20"/>
  <c r="Y187" i="20" s="1"/>
  <c r="Z187" i="20" s="1"/>
  <c r="AM187" i="20"/>
  <c r="AQ187" i="20"/>
  <c r="AF176" i="20"/>
  <c r="AG176" i="20" s="1"/>
  <c r="AM176" i="20"/>
  <c r="AQ176" i="20"/>
  <c r="AA175" i="20"/>
  <c r="AB175" i="20" s="1"/>
  <c r="AM175" i="20"/>
  <c r="AQ175" i="20"/>
  <c r="AJ149" i="20"/>
  <c r="AK149" i="20" s="1"/>
  <c r="AM149" i="20"/>
  <c r="X200" i="20"/>
  <c r="Y200" i="20" s="1"/>
  <c r="Z200" i="20" s="1"/>
  <c r="AM200" i="20"/>
  <c r="AQ200" i="20"/>
  <c r="X186" i="20"/>
  <c r="Y186" i="20" s="1"/>
  <c r="Z186" i="20" s="1"/>
  <c r="AM186" i="20"/>
  <c r="AQ186" i="20"/>
  <c r="AJ132" i="20"/>
  <c r="AK132" i="20" s="1"/>
  <c r="AM132" i="20"/>
  <c r="X189" i="20"/>
  <c r="Y189" i="20" s="1"/>
  <c r="Z189" i="20" s="1"/>
  <c r="AM189" i="20"/>
  <c r="AQ189" i="20"/>
  <c r="X198" i="20"/>
  <c r="Y198" i="20" s="1"/>
  <c r="Z198" i="20" s="1"/>
  <c r="AM198" i="20"/>
  <c r="AQ198" i="20"/>
  <c r="X178" i="20"/>
  <c r="Y178" i="20" s="1"/>
  <c r="Z178" i="20" s="1"/>
  <c r="AM178" i="20"/>
  <c r="AQ178" i="20"/>
  <c r="X201" i="20"/>
  <c r="Y201" i="20" s="1"/>
  <c r="Z201" i="20" s="1"/>
  <c r="AM201" i="20"/>
  <c r="AQ201" i="20"/>
  <c r="AJ201" i="20"/>
  <c r="AK201" i="20" s="1"/>
  <c r="AM164" i="20"/>
  <c r="AQ164" i="20"/>
  <c r="X197" i="20"/>
  <c r="Y197" i="20" s="1"/>
  <c r="Z197" i="20" s="1"/>
  <c r="AM197" i="20"/>
  <c r="AQ197" i="20"/>
  <c r="X180" i="20"/>
  <c r="Y180" i="20" s="1"/>
  <c r="Z180" i="20" s="1"/>
  <c r="AM180" i="20"/>
  <c r="AJ180" i="20"/>
  <c r="AK180" i="20" s="1"/>
  <c r="AQ180" i="20"/>
  <c r="X182" i="20"/>
  <c r="Y182" i="20" s="1"/>
  <c r="Z182" i="20" s="1"/>
  <c r="AM182" i="20"/>
  <c r="AQ182" i="20"/>
  <c r="X203" i="20"/>
  <c r="Y203" i="20" s="1"/>
  <c r="Z203" i="20" s="1"/>
  <c r="AM203" i="20"/>
  <c r="AQ203" i="20"/>
  <c r="AJ203" i="20"/>
  <c r="AK203" i="20" s="1"/>
  <c r="X166" i="20"/>
  <c r="Y166" i="20" s="1"/>
  <c r="Z166" i="20" s="1"/>
  <c r="AM166" i="20"/>
  <c r="AQ166" i="20"/>
  <c r="AJ166" i="20"/>
  <c r="AK166" i="20" s="1"/>
  <c r="X188" i="20"/>
  <c r="Y188" i="20" s="1"/>
  <c r="Z188" i="20" s="1"/>
  <c r="AM188" i="20"/>
  <c r="AQ188" i="20"/>
  <c r="AL107" i="20"/>
  <c r="AL88" i="20"/>
  <c r="AL100" i="20"/>
  <c r="AL99" i="20"/>
  <c r="Q159" i="20"/>
  <c r="AM159" i="20"/>
  <c r="AQ159" i="20"/>
  <c r="Q172" i="20"/>
  <c r="AM172" i="20"/>
  <c r="AQ172" i="20"/>
  <c r="AM181" i="20"/>
  <c r="AQ181" i="20"/>
  <c r="AM204" i="20"/>
  <c r="AQ204" i="20"/>
  <c r="AJ198" i="20"/>
  <c r="AK198" i="20" s="1"/>
  <c r="AJ178" i="20"/>
  <c r="AK178" i="20" s="1"/>
  <c r="Q151" i="20"/>
  <c r="AM151" i="20"/>
  <c r="AJ164" i="20"/>
  <c r="AK164" i="20" s="1"/>
  <c r="AJ163" i="20"/>
  <c r="AK163" i="20" s="1"/>
  <c r="AJ200" i="20"/>
  <c r="AK200" i="20" s="1"/>
  <c r="AJ186" i="20"/>
  <c r="AK186" i="20" s="1"/>
  <c r="AJ188" i="20"/>
  <c r="AK188" i="20" s="1"/>
  <c r="AJ182" i="20"/>
  <c r="AK182" i="20" s="1"/>
  <c r="AL109" i="20"/>
  <c r="P66" i="20"/>
  <c r="AM66" i="20" s="1"/>
  <c r="P74" i="20"/>
  <c r="AM74" i="20" s="1"/>
  <c r="P82" i="20"/>
  <c r="AM82" i="20" s="1"/>
  <c r="P90" i="20"/>
  <c r="S90" i="20" s="1"/>
  <c r="P98" i="20"/>
  <c r="U98" i="20" s="1"/>
  <c r="V98" i="20" s="1"/>
  <c r="W98" i="20" s="1"/>
  <c r="P106" i="20"/>
  <c r="U106" i="20" s="1"/>
  <c r="V106" i="20" s="1"/>
  <c r="W106" i="20" s="1"/>
  <c r="P69" i="20"/>
  <c r="P77" i="20"/>
  <c r="AM77" i="20" s="1"/>
  <c r="P85" i="20"/>
  <c r="P93" i="20"/>
  <c r="AO93" i="20" s="1"/>
  <c r="AP93" i="20" s="1"/>
  <c r="P101" i="20"/>
  <c r="P109" i="20"/>
  <c r="AD109" i="20" s="1"/>
  <c r="AL94" i="20"/>
  <c r="AL97" i="20"/>
  <c r="AA84" i="20"/>
  <c r="AB84" i="20" s="1"/>
  <c r="AA100" i="20"/>
  <c r="AB100" i="20" s="1"/>
  <c r="AL98" i="20"/>
  <c r="Q100" i="20"/>
  <c r="AS100" i="20" s="1"/>
  <c r="AL106" i="20"/>
  <c r="AL102" i="20"/>
  <c r="AL93" i="20"/>
  <c r="AQ76" i="20"/>
  <c r="AO84" i="20"/>
  <c r="AP84" i="20" s="1"/>
  <c r="AL105" i="20"/>
  <c r="AL81" i="20"/>
  <c r="P52" i="20"/>
  <c r="AF52" i="20" s="1"/>
  <c r="AG52" i="20" s="1"/>
  <c r="X168" i="20"/>
  <c r="Y168" i="20" s="1"/>
  <c r="Z168" i="20" s="1"/>
  <c r="AM168" i="20"/>
  <c r="AQ168" i="20"/>
  <c r="AA159" i="20"/>
  <c r="AB159" i="20" s="1"/>
  <c r="X192" i="20"/>
  <c r="Y192" i="20" s="1"/>
  <c r="Z192" i="20" s="1"/>
  <c r="AM192" i="20"/>
  <c r="AQ192" i="20"/>
  <c r="AA202" i="20"/>
  <c r="AB202" i="20" s="1"/>
  <c r="AM202" i="20"/>
  <c r="AQ202" i="20"/>
  <c r="X172" i="20"/>
  <c r="Y172" i="20" s="1"/>
  <c r="Z172" i="20" s="1"/>
  <c r="U172" i="20"/>
  <c r="V172" i="20" s="1"/>
  <c r="W172" i="20" s="1"/>
  <c r="Q181" i="20"/>
  <c r="R181" i="20" s="1"/>
  <c r="AA181" i="20"/>
  <c r="AB181" i="20" s="1"/>
  <c r="X204" i="20"/>
  <c r="Y204" i="20" s="1"/>
  <c r="Z204" i="20" s="1"/>
  <c r="AA204" i="20"/>
  <c r="AB204" i="20" s="1"/>
  <c r="X190" i="20"/>
  <c r="Y190" i="20" s="1"/>
  <c r="Z190" i="20" s="1"/>
  <c r="AM190" i="20"/>
  <c r="AQ190" i="20"/>
  <c r="AJ190" i="20"/>
  <c r="AK190" i="20" s="1"/>
  <c r="AA160" i="20"/>
  <c r="AB160" i="20" s="1"/>
  <c r="AM160" i="20"/>
  <c r="AQ160" i="20"/>
  <c r="X151" i="20"/>
  <c r="Y151" i="20" s="1"/>
  <c r="Z151" i="20" s="1"/>
  <c r="AM184" i="20"/>
  <c r="AQ184" i="20"/>
  <c r="AJ184" i="20"/>
  <c r="AK184" i="20" s="1"/>
  <c r="X170" i="20"/>
  <c r="Y170" i="20" s="1"/>
  <c r="Z170" i="20" s="1"/>
  <c r="AM170" i="20"/>
  <c r="AQ170" i="20"/>
  <c r="X159" i="20"/>
  <c r="Y159" i="20" s="1"/>
  <c r="Z159" i="20" s="1"/>
  <c r="U159" i="20"/>
  <c r="V159" i="20" s="1"/>
  <c r="W159" i="20" s="1"/>
  <c r="X209" i="20"/>
  <c r="Y209" i="20" s="1"/>
  <c r="Z209" i="20" s="1"/>
  <c r="AM209" i="20"/>
  <c r="AQ209" i="20"/>
  <c r="X177" i="20"/>
  <c r="Y177" i="20" s="1"/>
  <c r="Z177" i="20" s="1"/>
  <c r="AM177" i="20"/>
  <c r="AQ177" i="20"/>
  <c r="X194" i="20"/>
  <c r="Y194" i="20" s="1"/>
  <c r="Z194" i="20" s="1"/>
  <c r="AM194" i="20"/>
  <c r="AQ194" i="20"/>
  <c r="X158" i="20"/>
  <c r="Y158" i="20" s="1"/>
  <c r="Z158" i="20" s="1"/>
  <c r="AQ158" i="20"/>
  <c r="AM158" i="20"/>
  <c r="AJ158" i="20"/>
  <c r="AK158" i="20" s="1"/>
  <c r="S181" i="20"/>
  <c r="U204" i="20"/>
  <c r="V204" i="20" s="1"/>
  <c r="W204" i="20" s="1"/>
  <c r="Q204" i="20"/>
  <c r="R204" i="20" s="1"/>
  <c r="T204" i="20" s="1"/>
  <c r="X162" i="20"/>
  <c r="Y162" i="20" s="1"/>
  <c r="Z162" i="20" s="1"/>
  <c r="AM162" i="20"/>
  <c r="AQ162" i="20"/>
  <c r="X185" i="20"/>
  <c r="Y185" i="20" s="1"/>
  <c r="Z185" i="20" s="1"/>
  <c r="AM185" i="20"/>
  <c r="AQ185" i="20"/>
  <c r="AQ148" i="20"/>
  <c r="AM148" i="20"/>
  <c r="X205" i="20"/>
  <c r="Y205" i="20" s="1"/>
  <c r="Z205" i="20" s="1"/>
  <c r="AM205" i="20"/>
  <c r="AQ205" i="20"/>
  <c r="X207" i="20"/>
  <c r="Y207" i="20" s="1"/>
  <c r="Z207" i="20" s="1"/>
  <c r="AM207" i="20"/>
  <c r="AQ207" i="20"/>
  <c r="X208" i="20"/>
  <c r="Y208" i="20" s="1"/>
  <c r="Z208" i="20" s="1"/>
  <c r="AM208" i="20"/>
  <c r="AQ208" i="20"/>
  <c r="AJ208" i="20"/>
  <c r="AK208" i="20" s="1"/>
  <c r="X161" i="20"/>
  <c r="Y161" i="20" s="1"/>
  <c r="Z161" i="20" s="1"/>
  <c r="AM161" i="20"/>
  <c r="AQ161" i="20"/>
  <c r="AJ161" i="20"/>
  <c r="AK161" i="20" s="1"/>
  <c r="AR171" i="20"/>
  <c r="X199" i="20"/>
  <c r="Y199" i="20" s="1"/>
  <c r="Z199" i="20" s="1"/>
  <c r="AM199" i="20"/>
  <c r="AQ199" i="20"/>
  <c r="AO181" i="20"/>
  <c r="AP181" i="20" s="1"/>
  <c r="AO204" i="20"/>
  <c r="AP204" i="20" s="1"/>
  <c r="AO159" i="20"/>
  <c r="AP159" i="20" s="1"/>
  <c r="AO172" i="20"/>
  <c r="AP172" i="20" s="1"/>
  <c r="AL91" i="20"/>
  <c r="P44" i="20"/>
  <c r="S44" i="20" s="1"/>
  <c r="AL104" i="20"/>
  <c r="AL80" i="20"/>
  <c r="AL87" i="20"/>
  <c r="AJ151" i="20"/>
  <c r="AK151" i="20" s="1"/>
  <c r="AQ152" i="20"/>
  <c r="AM152" i="20"/>
  <c r="AF173" i="20"/>
  <c r="AG173" i="20" s="1"/>
  <c r="AM173" i="20"/>
  <c r="AQ173" i="20"/>
  <c r="AM139" i="20"/>
  <c r="AQ139" i="20"/>
  <c r="AM196" i="20"/>
  <c r="AQ196" i="20"/>
  <c r="AJ168" i="20"/>
  <c r="AK168" i="20" s="1"/>
  <c r="AJ159" i="20"/>
  <c r="AK159" i="20" s="1"/>
  <c r="AJ209" i="20"/>
  <c r="AK209" i="20" s="1"/>
  <c r="AJ173" i="20"/>
  <c r="AJ192" i="20"/>
  <c r="AK192" i="20" s="1"/>
  <c r="AJ195" i="20"/>
  <c r="AK195" i="20" s="1"/>
  <c r="AJ177" i="20"/>
  <c r="AK177" i="20" s="1"/>
  <c r="AJ181" i="20"/>
  <c r="AK181" i="20" s="1"/>
  <c r="AJ196" i="20"/>
  <c r="AK196" i="20" s="1"/>
  <c r="AJ169" i="20"/>
  <c r="AK169" i="20" s="1"/>
  <c r="AM206" i="20"/>
  <c r="AQ206" i="20"/>
  <c r="AJ162" i="20"/>
  <c r="AK162" i="20" s="1"/>
  <c r="AF179" i="20"/>
  <c r="AG179" i="20" s="1"/>
  <c r="AM179" i="20"/>
  <c r="AQ179" i="20"/>
  <c r="AJ187" i="20"/>
  <c r="AK187" i="20" s="1"/>
  <c r="AJ176" i="20"/>
  <c r="AK176" i="20" s="1"/>
  <c r="AJ175" i="20"/>
  <c r="AK175" i="20" s="1"/>
  <c r="AM167" i="20"/>
  <c r="AQ167" i="20"/>
  <c r="AJ197" i="20"/>
  <c r="AK197" i="20" s="1"/>
  <c r="AO191" i="20"/>
  <c r="AP191" i="20" s="1"/>
  <c r="AM191" i="20"/>
  <c r="AQ191" i="20"/>
  <c r="AJ194" i="20"/>
  <c r="AK194" i="20" s="1"/>
  <c r="AJ202" i="20"/>
  <c r="AK202" i="20" s="1"/>
  <c r="AJ172" i="20"/>
  <c r="AK172" i="20" s="1"/>
  <c r="AJ189" i="20"/>
  <c r="AK189" i="20" s="1"/>
  <c r="AJ165" i="20"/>
  <c r="AK165" i="20" s="1"/>
  <c r="AJ204" i="20"/>
  <c r="AK204" i="20" s="1"/>
  <c r="AM67" i="20"/>
  <c r="AF67" i="20"/>
  <c r="X64" i="20"/>
  <c r="Y64" i="20" s="1"/>
  <c r="Z64" i="20" s="1"/>
  <c r="U64" i="20"/>
  <c r="V64" i="20" s="1"/>
  <c r="W64" i="20" s="1"/>
  <c r="P62" i="20"/>
  <c r="AM62" i="20" s="1"/>
  <c r="P70" i="20"/>
  <c r="AM70" i="20" s="1"/>
  <c r="P78" i="20"/>
  <c r="AM78" i="20" s="1"/>
  <c r="P86" i="20"/>
  <c r="S86" i="20" s="1"/>
  <c r="P94" i="20"/>
  <c r="AO94" i="20" s="1"/>
  <c r="AP94" i="20" s="1"/>
  <c r="P102" i="20"/>
  <c r="AH102" i="20" s="1"/>
  <c r="P73" i="20"/>
  <c r="AM73" i="20" s="1"/>
  <c r="P81" i="20"/>
  <c r="AD81" i="20" s="1"/>
  <c r="P89" i="20"/>
  <c r="AA89" i="20" s="1"/>
  <c r="AB89" i="20" s="1"/>
  <c r="P97" i="20"/>
  <c r="P105" i="20"/>
  <c r="AO105" i="20" s="1"/>
  <c r="AP105" i="20" s="1"/>
  <c r="AQ90" i="20"/>
  <c r="AM90" i="20"/>
  <c r="AQ98" i="20"/>
  <c r="AQ106" i="20"/>
  <c r="AM106" i="20"/>
  <c r="AQ85" i="20"/>
  <c r="AQ93" i="20"/>
  <c r="AM93" i="20"/>
  <c r="AQ101" i="20"/>
  <c r="X128" i="20"/>
  <c r="Y128" i="20" s="1"/>
  <c r="Z128" i="20" s="1"/>
  <c r="AQ128" i="20"/>
  <c r="AJ128" i="20"/>
  <c r="AK128" i="20" s="1"/>
  <c r="X141" i="20"/>
  <c r="Y141" i="20" s="1"/>
  <c r="Z141" i="20" s="1"/>
  <c r="AQ141" i="20"/>
  <c r="X140" i="20"/>
  <c r="Y140" i="20" s="1"/>
  <c r="Z140" i="20" s="1"/>
  <c r="AQ140" i="20"/>
  <c r="X113" i="20"/>
  <c r="Y113" i="20" s="1"/>
  <c r="Z113" i="20" s="1"/>
  <c r="AJ113" i="20"/>
  <c r="AK113" i="20" s="1"/>
  <c r="AQ113" i="20"/>
  <c r="X126" i="20"/>
  <c r="Y126" i="20" s="1"/>
  <c r="Z126" i="20" s="1"/>
  <c r="AJ126" i="20"/>
  <c r="AK126" i="20" s="1"/>
  <c r="AQ126" i="20"/>
  <c r="X133" i="20"/>
  <c r="Y133" i="20" s="1"/>
  <c r="Z133" i="20" s="1"/>
  <c r="AQ133" i="20"/>
  <c r="X138" i="20"/>
  <c r="Y138" i="20" s="1"/>
  <c r="Z138" i="20" s="1"/>
  <c r="AQ138" i="20"/>
  <c r="AJ138" i="20"/>
  <c r="AK138" i="20" s="1"/>
  <c r="X129" i="20"/>
  <c r="Y129" i="20" s="1"/>
  <c r="Z129" i="20" s="1"/>
  <c r="AQ129" i="20"/>
  <c r="AJ129" i="20"/>
  <c r="AK129" i="20" s="1"/>
  <c r="X119" i="20"/>
  <c r="Y119" i="20" s="1"/>
  <c r="Z119" i="20" s="1"/>
  <c r="AQ119" i="20"/>
  <c r="AJ119" i="20"/>
  <c r="AK119" i="20" s="1"/>
  <c r="X130" i="20"/>
  <c r="Y130" i="20" s="1"/>
  <c r="Z130" i="20" s="1"/>
  <c r="AJ130" i="20"/>
  <c r="AK130" i="20" s="1"/>
  <c r="AQ130" i="20"/>
  <c r="X137" i="20"/>
  <c r="Y137" i="20" s="1"/>
  <c r="Z137" i="20" s="1"/>
  <c r="AJ137" i="20"/>
  <c r="AK137" i="20" s="1"/>
  <c r="AQ137" i="20"/>
  <c r="X120" i="20"/>
  <c r="Y120" i="20" s="1"/>
  <c r="Z120" i="20" s="1"/>
  <c r="AQ120" i="20"/>
  <c r="X127" i="20"/>
  <c r="Y127" i="20" s="1"/>
  <c r="Z127" i="20" s="1"/>
  <c r="AQ127" i="20"/>
  <c r="AJ127" i="20"/>
  <c r="AK127" i="20" s="1"/>
  <c r="X123" i="20"/>
  <c r="Y123" i="20" s="1"/>
  <c r="Z123" i="20" s="1"/>
  <c r="AQ123" i="20"/>
  <c r="X147" i="20"/>
  <c r="Y147" i="20" s="1"/>
  <c r="Z147" i="20" s="1"/>
  <c r="AJ147" i="20"/>
  <c r="AK147" i="20" s="1"/>
  <c r="AQ147" i="20"/>
  <c r="X150" i="20"/>
  <c r="Y150" i="20" s="1"/>
  <c r="Z150" i="20" s="1"/>
  <c r="AQ150" i="20"/>
  <c r="X117" i="20"/>
  <c r="Y117" i="20" s="1"/>
  <c r="Z117" i="20" s="1"/>
  <c r="AQ117" i="20"/>
  <c r="AO91" i="20"/>
  <c r="AP91" i="20" s="1"/>
  <c r="AM91" i="20"/>
  <c r="AQ96" i="20"/>
  <c r="AM96" i="20"/>
  <c r="AF83" i="20"/>
  <c r="AG83" i="20" s="1"/>
  <c r="AM83" i="20"/>
  <c r="AJ141" i="20"/>
  <c r="AK141" i="20" s="1"/>
  <c r="AJ150" i="20"/>
  <c r="AK150" i="20" s="1"/>
  <c r="AJ133" i="20"/>
  <c r="AK133" i="20" s="1"/>
  <c r="AJ148" i="20"/>
  <c r="AK148" i="20" s="1"/>
  <c r="AJ123" i="20"/>
  <c r="AK123" i="20" s="1"/>
  <c r="X144" i="20"/>
  <c r="Y144" i="20" s="1"/>
  <c r="Z144" i="20" s="1"/>
  <c r="AQ144" i="20"/>
  <c r="AJ144" i="20"/>
  <c r="AK144" i="20" s="1"/>
  <c r="X153" i="20"/>
  <c r="Y153" i="20" s="1"/>
  <c r="Z153" i="20" s="1"/>
  <c r="AJ153" i="20"/>
  <c r="AK153" i="20" s="1"/>
  <c r="AQ153" i="20"/>
  <c r="X135" i="20"/>
  <c r="Y135" i="20" s="1"/>
  <c r="Z135" i="20" s="1"/>
  <c r="AJ135" i="20"/>
  <c r="AK135" i="20" s="1"/>
  <c r="AQ135" i="20"/>
  <c r="X125" i="20"/>
  <c r="Y125" i="20" s="1"/>
  <c r="Z125" i="20" s="1"/>
  <c r="AQ125" i="20"/>
  <c r="X149" i="20"/>
  <c r="Y149" i="20" s="1"/>
  <c r="Z149" i="20" s="1"/>
  <c r="AQ149" i="20"/>
  <c r="X114" i="20"/>
  <c r="Y114" i="20" s="1"/>
  <c r="Z114" i="20" s="1"/>
  <c r="AQ114" i="20"/>
  <c r="AJ114" i="20"/>
  <c r="AK114" i="20" s="1"/>
  <c r="X154" i="20"/>
  <c r="Y154" i="20" s="1"/>
  <c r="Z154" i="20" s="1"/>
  <c r="AQ154" i="20"/>
  <c r="AJ154" i="20"/>
  <c r="AK154" i="20" s="1"/>
  <c r="X121" i="20"/>
  <c r="Y121" i="20" s="1"/>
  <c r="Z121" i="20" s="1"/>
  <c r="AQ121" i="20"/>
  <c r="AJ121" i="20"/>
  <c r="AK121" i="20" s="1"/>
  <c r="X145" i="20"/>
  <c r="Y145" i="20" s="1"/>
  <c r="Z145" i="20" s="1"/>
  <c r="AQ145" i="20"/>
  <c r="AJ145" i="20"/>
  <c r="AK145" i="20" s="1"/>
  <c r="X142" i="20"/>
  <c r="Y142" i="20" s="1"/>
  <c r="Z142" i="20" s="1"/>
  <c r="AQ142" i="20"/>
  <c r="X132" i="20"/>
  <c r="Y132" i="20" s="1"/>
  <c r="Z132" i="20" s="1"/>
  <c r="AQ132" i="20"/>
  <c r="X122" i="20"/>
  <c r="Y122" i="20" s="1"/>
  <c r="Z122" i="20" s="1"/>
  <c r="AQ122" i="20"/>
  <c r="X146" i="20"/>
  <c r="Y146" i="20" s="1"/>
  <c r="Z146" i="20" s="1"/>
  <c r="AJ146" i="20"/>
  <c r="AK146" i="20" s="1"/>
  <c r="AQ146" i="20"/>
  <c r="X136" i="20"/>
  <c r="Y136" i="20" s="1"/>
  <c r="Z136" i="20" s="1"/>
  <c r="AJ136" i="20"/>
  <c r="AK136" i="20" s="1"/>
  <c r="AQ136" i="20"/>
  <c r="X124" i="20"/>
  <c r="Y124" i="20" s="1"/>
  <c r="Z124" i="20" s="1"/>
  <c r="AJ124" i="20"/>
  <c r="AK124" i="20" s="1"/>
  <c r="AQ124" i="20"/>
  <c r="X131" i="20"/>
  <c r="Y131" i="20" s="1"/>
  <c r="Z131" i="20" s="1"/>
  <c r="AQ131" i="20"/>
  <c r="X134" i="20"/>
  <c r="Y134" i="20" s="1"/>
  <c r="Z134" i="20" s="1"/>
  <c r="AQ134" i="20"/>
  <c r="X115" i="20"/>
  <c r="Y115" i="20" s="1"/>
  <c r="Z115" i="20" s="1"/>
  <c r="AQ115" i="20"/>
  <c r="AJ91" i="20"/>
  <c r="AK91" i="20" s="1"/>
  <c r="P107" i="20"/>
  <c r="Q107" i="20" s="1"/>
  <c r="AS107" i="20" s="1"/>
  <c r="P104" i="20"/>
  <c r="AF104" i="20" s="1"/>
  <c r="P88" i="20"/>
  <c r="X88" i="20" s="1"/>
  <c r="Y88" i="20" s="1"/>
  <c r="Z88" i="20" s="1"/>
  <c r="AQ84" i="20"/>
  <c r="AM84" i="20"/>
  <c r="AQ100" i="20"/>
  <c r="AR100" i="20" s="1"/>
  <c r="AM100" i="20"/>
  <c r="AQ87" i="20"/>
  <c r="AM87" i="20"/>
  <c r="AQ103" i="20"/>
  <c r="AM103" i="20"/>
  <c r="AJ142" i="20"/>
  <c r="AK142" i="20" s="1"/>
  <c r="AJ140" i="20"/>
  <c r="AK140" i="20" s="1"/>
  <c r="AJ122" i="20"/>
  <c r="AK122" i="20" s="1"/>
  <c r="AJ120" i="20"/>
  <c r="AK120" i="20" s="1"/>
  <c r="AJ134" i="20"/>
  <c r="AK134" i="20" s="1"/>
  <c r="AJ117" i="20"/>
  <c r="AK117" i="20" s="1"/>
  <c r="AJ125" i="20"/>
  <c r="AK125" i="20" s="1"/>
  <c r="AJ115" i="20"/>
  <c r="AK115" i="20" s="1"/>
  <c r="AJ131" i="20"/>
  <c r="AK131" i="20" s="1"/>
  <c r="P17" i="20"/>
  <c r="AD17" i="20" s="1"/>
  <c r="B178" i="2"/>
  <c r="B160" i="2"/>
  <c r="B167" i="2"/>
  <c r="AD16" i="20"/>
  <c r="AO9" i="20"/>
  <c r="AP9" i="20" s="1"/>
  <c r="P23" i="20"/>
  <c r="AA64" i="20"/>
  <c r="AB64" i="20" s="1"/>
  <c r="P10" i="20"/>
  <c r="AD10" i="20" s="1"/>
  <c r="P13" i="20"/>
  <c r="AD13" i="20" s="1"/>
  <c r="P14" i="20"/>
  <c r="AD14" i="20" s="1"/>
  <c r="AF9" i="20"/>
  <c r="AG9" i="20" s="1"/>
  <c r="S96" i="20"/>
  <c r="AD64" i="20"/>
  <c r="X96" i="20"/>
  <c r="Y96" i="20" s="1"/>
  <c r="Z96" i="20" s="1"/>
  <c r="AH64" i="20"/>
  <c r="U80" i="20"/>
  <c r="V80" i="20" s="1"/>
  <c r="W80" i="20" s="1"/>
  <c r="U96" i="20"/>
  <c r="V96" i="20" s="1"/>
  <c r="W96" i="20" s="1"/>
  <c r="AF64" i="20"/>
  <c r="AF80" i="20"/>
  <c r="AG80" i="20" s="1"/>
  <c r="Q96" i="20"/>
  <c r="AS96" i="20" s="1"/>
  <c r="AA80" i="20"/>
  <c r="AB80" i="20" s="1"/>
  <c r="M28" i="20"/>
  <c r="AC28" i="20" s="1"/>
  <c r="AO96" i="20"/>
  <c r="AP96" i="20" s="1"/>
  <c r="AO67" i="20"/>
  <c r="AP67" i="20" s="1"/>
  <c r="P36" i="20"/>
  <c r="AF36" i="20" s="1"/>
  <c r="AG36" i="20" s="1"/>
  <c r="AA68" i="20"/>
  <c r="AB68" i="20" s="1"/>
  <c r="Q68" i="20"/>
  <c r="AS68" i="20" s="1"/>
  <c r="Q79" i="20"/>
  <c r="AS79" i="20" s="1"/>
  <c r="AA71" i="20"/>
  <c r="AB71" i="20" s="1"/>
  <c r="S79" i="20"/>
  <c r="X20" i="20"/>
  <c r="Y20" i="20" s="1"/>
  <c r="Z20" i="20" s="1"/>
  <c r="AF71" i="20"/>
  <c r="AG71" i="20" s="1"/>
  <c r="AF79" i="20"/>
  <c r="AA79" i="20"/>
  <c r="AB79" i="20" s="1"/>
  <c r="AI143" i="20"/>
  <c r="BF143" i="20" s="1"/>
  <c r="AE156" i="20"/>
  <c r="T156" i="20"/>
  <c r="BI156" i="20" s="1"/>
  <c r="AV156" i="20"/>
  <c r="BL156" i="20" s="1"/>
  <c r="AJ27" i="20"/>
  <c r="AK27" i="20" s="1"/>
  <c r="X111" i="20"/>
  <c r="Y111" i="20" s="1"/>
  <c r="Z111" i="20" s="1"/>
  <c r="AQ111" i="20"/>
  <c r="AJ111" i="20"/>
  <c r="AK111" i="20" s="1"/>
  <c r="X112" i="20"/>
  <c r="Y112" i="20" s="1"/>
  <c r="Z112" i="20" s="1"/>
  <c r="AQ112" i="20"/>
  <c r="X110" i="20"/>
  <c r="Y110" i="20" s="1"/>
  <c r="Z110" i="20" s="1"/>
  <c r="AQ110" i="20"/>
  <c r="AJ110" i="20"/>
  <c r="AK110" i="20" s="1"/>
  <c r="AJ112" i="20"/>
  <c r="AK112" i="20" s="1"/>
  <c r="AQ91" i="20"/>
  <c r="P65" i="20"/>
  <c r="AM65" i="20" s="1"/>
  <c r="AJ90" i="20"/>
  <c r="AK90" i="20" s="1"/>
  <c r="AJ93" i="20"/>
  <c r="AK93" i="20" s="1"/>
  <c r="AJ94" i="20"/>
  <c r="AK94" i="20" s="1"/>
  <c r="AJ97" i="20"/>
  <c r="AK97" i="20" s="1"/>
  <c r="AO99" i="20"/>
  <c r="AP99" i="20" s="1"/>
  <c r="AQ99" i="20"/>
  <c r="AQ107" i="20"/>
  <c r="AJ104" i="20"/>
  <c r="AK104" i="20" s="1"/>
  <c r="P72" i="20"/>
  <c r="S72" i="20" s="1"/>
  <c r="AJ106" i="20"/>
  <c r="AK106" i="20" s="1"/>
  <c r="AJ102" i="20"/>
  <c r="AK102" i="20" s="1"/>
  <c r="AJ89" i="20"/>
  <c r="AK89" i="20" s="1"/>
  <c r="AJ105" i="20"/>
  <c r="AK105" i="20" s="1"/>
  <c r="S75" i="20"/>
  <c r="AM75" i="20"/>
  <c r="M88" i="20"/>
  <c r="AJ99" i="20"/>
  <c r="AK99" i="20" s="1"/>
  <c r="AA199" i="20"/>
  <c r="AB199" i="20" s="1"/>
  <c r="AF188" i="20"/>
  <c r="AG188" i="20" s="1"/>
  <c r="AF35" i="21"/>
  <c r="AG35" i="21" s="1"/>
  <c r="U20" i="20"/>
  <c r="V20" i="20" s="1"/>
  <c r="W20" i="20" s="1"/>
  <c r="Q75" i="20"/>
  <c r="AS75" i="20" s="1"/>
  <c r="AO27" i="20"/>
  <c r="AP27" i="20" s="1"/>
  <c r="AA75" i="20"/>
  <c r="AB75" i="20" s="1"/>
  <c r="M23" i="20"/>
  <c r="AC23" i="20" s="1"/>
  <c r="M20" i="20"/>
  <c r="AF20" i="20" s="1"/>
  <c r="AG20" i="20" s="1"/>
  <c r="S35" i="21"/>
  <c r="AQ27" i="20"/>
  <c r="AO60" i="20"/>
  <c r="AP60" i="20" s="1"/>
  <c r="AF67" i="21"/>
  <c r="AH47" i="21"/>
  <c r="AH82" i="21"/>
  <c r="AM27" i="20"/>
  <c r="AF60" i="20"/>
  <c r="AE183" i="20"/>
  <c r="AE116" i="20"/>
  <c r="BE116" i="20" s="1"/>
  <c r="AF81" i="21"/>
  <c r="AG81" i="21" s="1"/>
  <c r="AF68" i="21"/>
  <c r="AG68" i="21" s="1"/>
  <c r="AI68" i="21" s="1"/>
  <c r="AH35" i="21"/>
  <c r="AH81" i="21"/>
  <c r="AM56" i="21"/>
  <c r="Q27" i="20"/>
  <c r="AS27" i="20" s="1"/>
  <c r="AC27" i="20"/>
  <c r="AA27" i="20"/>
  <c r="AB27" i="20" s="1"/>
  <c r="AF27" i="20"/>
  <c r="AF24" i="20"/>
  <c r="AC24" i="20"/>
  <c r="AH83" i="20"/>
  <c r="AF63" i="20"/>
  <c r="AG63" i="20" s="1"/>
  <c r="AF76" i="21"/>
  <c r="AG76" i="21" s="1"/>
  <c r="AH97" i="21"/>
  <c r="AJ51" i="20"/>
  <c r="AK51" i="20" s="1"/>
  <c r="AF51" i="20"/>
  <c r="AQ51" i="20"/>
  <c r="AA185" i="20"/>
  <c r="AB185" i="20" s="1"/>
  <c r="AF98" i="21"/>
  <c r="AG98" i="21" s="1"/>
  <c r="AI98" i="21" s="1"/>
  <c r="AF101" i="21"/>
  <c r="AG101" i="21" s="1"/>
  <c r="AH45" i="21"/>
  <c r="AH105" i="21"/>
  <c r="AA119" i="20"/>
  <c r="AB119" i="20" s="1"/>
  <c r="X83" i="20"/>
  <c r="Y83" i="20" s="1"/>
  <c r="Z83" i="20" s="1"/>
  <c r="U63" i="20"/>
  <c r="V63" i="20" s="1"/>
  <c r="W63" i="20" s="1"/>
  <c r="P31" i="20"/>
  <c r="AD31" i="20" s="1"/>
  <c r="P33" i="20"/>
  <c r="AD33" i="20" s="1"/>
  <c r="AA63" i="20"/>
  <c r="AB63" i="20" s="1"/>
  <c r="AO63" i="20"/>
  <c r="AP63" i="20" s="1"/>
  <c r="AA200" i="20"/>
  <c r="AB200" i="20" s="1"/>
  <c r="AA198" i="20"/>
  <c r="AB198" i="20" s="1"/>
  <c r="AA203" i="20"/>
  <c r="AB203" i="20" s="1"/>
  <c r="AF90" i="21"/>
  <c r="AG90" i="21" s="1"/>
  <c r="AF106" i="21"/>
  <c r="AG106" i="21" s="1"/>
  <c r="AF45" i="21"/>
  <c r="AG45" i="21" s="1"/>
  <c r="AH90" i="21"/>
  <c r="AH43" i="21"/>
  <c r="AH106" i="21"/>
  <c r="AH83" i="21"/>
  <c r="AH93" i="21"/>
  <c r="AH101" i="21"/>
  <c r="AH109" i="21"/>
  <c r="AD22" i="20"/>
  <c r="AQ22" i="20"/>
  <c r="P25" i="20"/>
  <c r="AD25" i="20" s="1"/>
  <c r="P29" i="20"/>
  <c r="AQ29" i="20" s="1"/>
  <c r="AF12" i="20"/>
  <c r="AG12" i="20" s="1"/>
  <c r="P21" i="20"/>
  <c r="AD21" i="20" s="1"/>
  <c r="P26" i="20"/>
  <c r="AH26" i="20" s="1"/>
  <c r="P18" i="20"/>
  <c r="AD18" i="20" s="1"/>
  <c r="P30" i="20"/>
  <c r="AD30" i="20" s="1"/>
  <c r="AJ22" i="20"/>
  <c r="AK22" i="20" s="1"/>
  <c r="AF11" i="20"/>
  <c r="AG11" i="20" s="1"/>
  <c r="AA58" i="21"/>
  <c r="AB58" i="21" s="1"/>
  <c r="Q11" i="21"/>
  <c r="AS11" i="21" s="1"/>
  <c r="AD63" i="20"/>
  <c r="AH63" i="20"/>
  <c r="Q51" i="20"/>
  <c r="AS51" i="20" s="1"/>
  <c r="Q91" i="20"/>
  <c r="AS91" i="20" s="1"/>
  <c r="AA166" i="20"/>
  <c r="AB166" i="20" s="1"/>
  <c r="S63" i="20"/>
  <c r="AH55" i="20"/>
  <c r="X63" i="20"/>
  <c r="Y63" i="20" s="1"/>
  <c r="Z63" i="20" s="1"/>
  <c r="Q63" i="20"/>
  <c r="AS63" i="20" s="1"/>
  <c r="AA40" i="20"/>
  <c r="AB40" i="20" s="1"/>
  <c r="AF194" i="20"/>
  <c r="AF158" i="20"/>
  <c r="AV158" i="20" s="1"/>
  <c r="BL158" i="20" s="1"/>
  <c r="AV172" i="20"/>
  <c r="BL172" i="20" s="1"/>
  <c r="AF162" i="20"/>
  <c r="AV162" i="20" s="1"/>
  <c r="BL162" i="20" s="1"/>
  <c r="AA137" i="20"/>
  <c r="AB137" i="20" s="1"/>
  <c r="AF120" i="20"/>
  <c r="AV120" i="20" s="1"/>
  <c r="BL120" i="20" s="1"/>
  <c r="AF166" i="20"/>
  <c r="AV166" i="20" s="1"/>
  <c r="BL166" i="20" s="1"/>
  <c r="AA115" i="20"/>
  <c r="AB115" i="20" s="1"/>
  <c r="AS167" i="20"/>
  <c r="AA188" i="20"/>
  <c r="AB188" i="20" s="1"/>
  <c r="AA22" i="21"/>
  <c r="AB22" i="21" s="1"/>
  <c r="AE22" i="21" s="1"/>
  <c r="AS116" i="20"/>
  <c r="S84" i="21"/>
  <c r="AM15" i="21"/>
  <c r="AQ76" i="21"/>
  <c r="AJ76" i="21"/>
  <c r="AK76" i="21" s="1"/>
  <c r="X99" i="20"/>
  <c r="Y99" i="20" s="1"/>
  <c r="Z99" i="20" s="1"/>
  <c r="Q40" i="20"/>
  <c r="AS40" i="20" s="1"/>
  <c r="Q83" i="20"/>
  <c r="AS83" i="20" s="1"/>
  <c r="Q99" i="20"/>
  <c r="AS99" i="20" s="1"/>
  <c r="AA177" i="20"/>
  <c r="AB177" i="20" s="1"/>
  <c r="AF130" i="20"/>
  <c r="AV130" i="20" s="1"/>
  <c r="BL130" i="20" s="1"/>
  <c r="AA162" i="20"/>
  <c r="AB162" i="20" s="1"/>
  <c r="AF185" i="20"/>
  <c r="AV185" i="20" s="1"/>
  <c r="BL185" i="20" s="1"/>
  <c r="AA150" i="20"/>
  <c r="AB150" i="20" s="1"/>
  <c r="AA76" i="21"/>
  <c r="AB76" i="21" s="1"/>
  <c r="AE76" i="21" s="1"/>
  <c r="X69" i="21"/>
  <c r="Y69" i="21" s="1"/>
  <c r="Z69" i="21" s="1"/>
  <c r="AA51" i="20"/>
  <c r="AB51" i="20" s="1"/>
  <c r="AA91" i="20"/>
  <c r="AB91" i="20" s="1"/>
  <c r="AF91" i="20"/>
  <c r="AO51" i="20"/>
  <c r="AP51" i="20" s="1"/>
  <c r="AA112" i="20"/>
  <c r="AB112" i="20" s="1"/>
  <c r="AV143" i="20"/>
  <c r="BL143" i="20" s="1"/>
  <c r="AF142" i="20"/>
  <c r="AG142" i="20" s="1"/>
  <c r="AI156" i="20"/>
  <c r="BF156" i="20" s="1"/>
  <c r="AF136" i="20"/>
  <c r="AV136" i="20" s="1"/>
  <c r="BL136" i="20" s="1"/>
  <c r="AA208" i="20"/>
  <c r="AB208" i="20" s="1"/>
  <c r="AF161" i="20"/>
  <c r="AV161" i="20" s="1"/>
  <c r="BL161" i="20" s="1"/>
  <c r="AA117" i="20"/>
  <c r="AB117" i="20" s="1"/>
  <c r="T116" i="20"/>
  <c r="BI116" i="20" s="1"/>
  <c r="AQ47" i="21"/>
  <c r="AJ11" i="21"/>
  <c r="AK11" i="21" s="1"/>
  <c r="Q109" i="21"/>
  <c r="R109" i="21" s="1"/>
  <c r="AQ35" i="21"/>
  <c r="S98" i="21"/>
  <c r="S22" i="21"/>
  <c r="Q58" i="21"/>
  <c r="R58" i="21" s="1"/>
  <c r="AM42" i="21"/>
  <c r="U75" i="21"/>
  <c r="V75" i="21" s="1"/>
  <c r="W75" i="21" s="1"/>
  <c r="AF93" i="21"/>
  <c r="AG93" i="21" s="1"/>
  <c r="Q105" i="21"/>
  <c r="R105" i="21" s="1"/>
  <c r="AF55" i="21"/>
  <c r="AG55" i="21" s="1"/>
  <c r="AF43" i="21"/>
  <c r="AG43" i="21" s="1"/>
  <c r="AF53" i="21"/>
  <c r="AG53" i="21" s="1"/>
  <c r="AI53" i="21" s="1"/>
  <c r="AF102" i="21"/>
  <c r="AG102" i="21" s="1"/>
  <c r="AI102" i="21" s="1"/>
  <c r="AH89" i="21"/>
  <c r="AM21" i="21"/>
  <c r="AJ44" i="21"/>
  <c r="AK44" i="21" s="1"/>
  <c r="Q84" i="21"/>
  <c r="R84" i="21" s="1"/>
  <c r="S66" i="21"/>
  <c r="S9" i="21"/>
  <c r="Q89" i="21"/>
  <c r="AS89" i="21" s="1"/>
  <c r="AA66" i="21"/>
  <c r="AB66" i="21" s="1"/>
  <c r="AJ21" i="21"/>
  <c r="AK21" i="21" s="1"/>
  <c r="S53" i="21"/>
  <c r="Q9" i="21"/>
  <c r="AS9" i="21" s="1"/>
  <c r="S44" i="21"/>
  <c r="AQ74" i="21"/>
  <c r="AM74" i="21"/>
  <c r="AQ57" i="21"/>
  <c r="AA53" i="21"/>
  <c r="AB53" i="21" s="1"/>
  <c r="AJ9" i="21"/>
  <c r="AK9" i="21" s="1"/>
  <c r="Q94" i="21"/>
  <c r="R94" i="21" s="1"/>
  <c r="AA70" i="21"/>
  <c r="AB70" i="21" s="1"/>
  <c r="AJ15" i="21"/>
  <c r="AK15" i="21" s="1"/>
  <c r="Q66" i="21"/>
  <c r="R66" i="21" s="1"/>
  <c r="T66" i="21" s="1"/>
  <c r="Q53" i="21"/>
  <c r="AS53" i="21" s="1"/>
  <c r="AQ21" i="21"/>
  <c r="S21" i="21"/>
  <c r="AM9" i="21"/>
  <c r="Q44" i="21"/>
  <c r="AS44" i="21" s="1"/>
  <c r="S70" i="21"/>
  <c r="AM36" i="21"/>
  <c r="S72" i="21"/>
  <c r="AM30" i="21"/>
  <c r="AQ15" i="21"/>
  <c r="AJ68" i="21"/>
  <c r="AK68" i="21" s="1"/>
  <c r="AF83" i="21"/>
  <c r="AG83" i="21" s="1"/>
  <c r="AF97" i="21"/>
  <c r="AG97" i="21" s="1"/>
  <c r="AF105" i="21"/>
  <c r="AG105" i="21" s="1"/>
  <c r="AO109" i="21"/>
  <c r="AP109" i="21" s="1"/>
  <c r="Q82" i="21"/>
  <c r="AS82" i="21" s="1"/>
  <c r="AF89" i="21"/>
  <c r="AG89" i="21" s="1"/>
  <c r="AF66" i="21"/>
  <c r="AG66" i="21" s="1"/>
  <c r="AI66" i="21" s="1"/>
  <c r="AJ53" i="21"/>
  <c r="AK53" i="21" s="1"/>
  <c r="AJ56" i="21"/>
  <c r="AK56" i="21" s="1"/>
  <c r="AA9" i="21"/>
  <c r="AB9" i="21" s="1"/>
  <c r="AA44" i="21"/>
  <c r="AB44" i="21" s="1"/>
  <c r="AF44" i="21"/>
  <c r="AG44" i="21" s="1"/>
  <c r="AI44" i="21" s="1"/>
  <c r="AF84" i="21"/>
  <c r="AG84" i="21" s="1"/>
  <c r="AI84" i="21" s="1"/>
  <c r="Q72" i="21"/>
  <c r="AS72" i="21" s="1"/>
  <c r="AF63" i="21"/>
  <c r="AG63" i="21" s="1"/>
  <c r="AA30" i="21"/>
  <c r="AB30" i="21" s="1"/>
  <c r="AE30" i="21" s="1"/>
  <c r="AF109" i="21"/>
  <c r="AG109" i="21" s="1"/>
  <c r="AA74" i="21"/>
  <c r="AB74" i="21" s="1"/>
  <c r="AQ53" i="21"/>
  <c r="AH56" i="21"/>
  <c r="AQ44" i="21"/>
  <c r="S94" i="21"/>
  <c r="S102" i="21"/>
  <c r="Q70" i="21"/>
  <c r="R70" i="21" s="1"/>
  <c r="AQ36" i="21"/>
  <c r="AH63" i="21"/>
  <c r="AQ30" i="21"/>
  <c r="S68" i="21"/>
  <c r="S74" i="21"/>
  <c r="AJ70" i="21"/>
  <c r="AK70" i="21" s="1"/>
  <c r="AJ59" i="21"/>
  <c r="AK59" i="21" s="1"/>
  <c r="AJ74" i="21"/>
  <c r="AK74" i="21" s="1"/>
  <c r="U89" i="21"/>
  <c r="V89" i="21" s="1"/>
  <c r="W89" i="21" s="1"/>
  <c r="AF57" i="21"/>
  <c r="AG57" i="21" s="1"/>
  <c r="AI57" i="21" s="1"/>
  <c r="AF58" i="21"/>
  <c r="AG58" i="21" s="1"/>
  <c r="AI58" i="21" s="1"/>
  <c r="AF42" i="21"/>
  <c r="AG42" i="21" s="1"/>
  <c r="AH62" i="21"/>
  <c r="AH76" i="21"/>
  <c r="Q22" i="21"/>
  <c r="AS22" i="21" s="1"/>
  <c r="X89" i="21"/>
  <c r="Y89" i="21" s="1"/>
  <c r="Z89" i="21" s="1"/>
  <c r="AO89" i="21"/>
  <c r="AP89" i="21" s="1"/>
  <c r="S83" i="20"/>
  <c r="AD83" i="20"/>
  <c r="AD55" i="20"/>
  <c r="U83" i="20"/>
  <c r="V83" i="20" s="1"/>
  <c r="W83" i="20" s="1"/>
  <c r="AF55" i="20"/>
  <c r="AG55" i="20" s="1"/>
  <c r="AA83" i="20"/>
  <c r="AB83" i="20" s="1"/>
  <c r="AA99" i="20"/>
  <c r="AB99" i="20" s="1"/>
  <c r="AF99" i="20"/>
  <c r="AQ55" i="20"/>
  <c r="AF119" i="20"/>
  <c r="AG119" i="20" s="1"/>
  <c r="AA209" i="20"/>
  <c r="AB209" i="20" s="1"/>
  <c r="AF200" i="20"/>
  <c r="AG200" i="20" s="1"/>
  <c r="AA186" i="20"/>
  <c r="AB186" i="20" s="1"/>
  <c r="AA132" i="20"/>
  <c r="AB132" i="20" s="1"/>
  <c r="AA189" i="20"/>
  <c r="AB189" i="20" s="1"/>
  <c r="AF198" i="20"/>
  <c r="AG198" i="20" s="1"/>
  <c r="AA122" i="20"/>
  <c r="AB122" i="20" s="1"/>
  <c r="AA146" i="20"/>
  <c r="AB146" i="20" s="1"/>
  <c r="AF178" i="20"/>
  <c r="AV178" i="20" s="1"/>
  <c r="BL178" i="20" s="1"/>
  <c r="AF201" i="20"/>
  <c r="AV201" i="20" s="1"/>
  <c r="BL201" i="20" s="1"/>
  <c r="AJ14" i="21"/>
  <c r="AK14" i="21" s="1"/>
  <c r="AJ47" i="21"/>
  <c r="AK47" i="21" s="1"/>
  <c r="AJ58" i="21"/>
  <c r="AK58" i="21" s="1"/>
  <c r="S11" i="21"/>
  <c r="AQ67" i="21"/>
  <c r="AH55" i="21"/>
  <c r="Q14" i="21"/>
  <c r="AS14" i="21" s="1"/>
  <c r="AH67" i="21"/>
  <c r="AQ58" i="21"/>
  <c r="S58" i="21"/>
  <c r="AQ11" i="21"/>
  <c r="AM11" i="21"/>
  <c r="AQ42" i="21"/>
  <c r="AQ62" i="21"/>
  <c r="AJ67" i="21"/>
  <c r="AK67" i="21" s="1"/>
  <c r="AL69" i="20"/>
  <c r="AF82" i="21"/>
  <c r="AG82" i="21" s="1"/>
  <c r="AA55" i="21"/>
  <c r="AB55" i="21" s="1"/>
  <c r="AE55" i="21" s="1"/>
  <c r="AF62" i="21"/>
  <c r="AG62" i="21" s="1"/>
  <c r="AA24" i="21"/>
  <c r="AB24" i="21" s="1"/>
  <c r="AE24" i="21" s="1"/>
  <c r="AF94" i="21"/>
  <c r="AG94" i="21" s="1"/>
  <c r="AI94" i="21" s="1"/>
  <c r="AF70" i="21"/>
  <c r="AG70" i="21" s="1"/>
  <c r="AI70" i="21" s="1"/>
  <c r="AA36" i="21"/>
  <c r="AB36" i="21" s="1"/>
  <c r="AF47" i="21"/>
  <c r="AG47" i="21" s="1"/>
  <c r="AF72" i="21"/>
  <c r="AG72" i="21" s="1"/>
  <c r="AI72" i="21" s="1"/>
  <c r="AA67" i="21"/>
  <c r="AB67" i="21" s="1"/>
  <c r="Q68" i="21"/>
  <c r="AS68" i="21" s="1"/>
  <c r="AF59" i="21"/>
  <c r="AF74" i="21"/>
  <c r="AG74" i="21" s="1"/>
  <c r="AI74" i="21" s="1"/>
  <c r="Q24" i="21"/>
  <c r="AS24" i="21" s="1"/>
  <c r="AH36" i="21"/>
  <c r="AA47" i="21"/>
  <c r="AB47" i="21" s="1"/>
  <c r="AE47" i="21" s="1"/>
  <c r="Q67" i="21"/>
  <c r="R67" i="21" s="1"/>
  <c r="T67" i="21" s="1"/>
  <c r="AH42" i="21"/>
  <c r="AL78" i="20"/>
  <c r="AL72" i="20"/>
  <c r="AL75" i="20"/>
  <c r="AL74" i="20"/>
  <c r="AL68" i="20"/>
  <c r="AL76" i="20"/>
  <c r="AL71" i="20"/>
  <c r="AL70" i="20"/>
  <c r="AL73" i="20"/>
  <c r="AL77" i="20"/>
  <c r="AE118" i="20"/>
  <c r="BE118" i="20" s="1"/>
  <c r="AE193" i="20"/>
  <c r="BE193" i="20" s="1"/>
  <c r="AL64" i="20"/>
  <c r="AL63" i="20"/>
  <c r="AL65" i="20"/>
  <c r="AL60" i="20"/>
  <c r="AL59" i="20"/>
  <c r="AL67" i="20"/>
  <c r="AL62" i="20"/>
  <c r="AL61" i="20"/>
  <c r="AL66" i="20"/>
  <c r="AE143" i="20"/>
  <c r="AE155" i="20"/>
  <c r="BE155" i="20" s="1"/>
  <c r="AE171" i="20"/>
  <c r="AO90" i="21"/>
  <c r="AP90" i="21" s="1"/>
  <c r="AD90" i="21"/>
  <c r="AO40" i="21"/>
  <c r="AP40" i="21" s="1"/>
  <c r="AD40" i="21"/>
  <c r="AM66" i="21"/>
  <c r="AD66" i="21"/>
  <c r="AM53" i="21"/>
  <c r="AD53" i="21"/>
  <c r="X48" i="21"/>
  <c r="Y48" i="21" s="1"/>
  <c r="Z48" i="21" s="1"/>
  <c r="AD48" i="21"/>
  <c r="X21" i="21"/>
  <c r="Y21" i="21" s="1"/>
  <c r="Z21" i="21" s="1"/>
  <c r="AD21" i="21"/>
  <c r="AE21" i="21" s="1"/>
  <c r="X9" i="21"/>
  <c r="Y9" i="21" s="1"/>
  <c r="Z9" i="21" s="1"/>
  <c r="AD9" i="21"/>
  <c r="AM44" i="21"/>
  <c r="AD44" i="21"/>
  <c r="X96" i="21"/>
  <c r="Y96" i="21" s="1"/>
  <c r="Z96" i="21" s="1"/>
  <c r="AD96" i="21"/>
  <c r="X104" i="21"/>
  <c r="Y104" i="21" s="1"/>
  <c r="Z104" i="21" s="1"/>
  <c r="AD104" i="21"/>
  <c r="X73" i="21"/>
  <c r="Y73" i="21" s="1"/>
  <c r="Z73" i="21" s="1"/>
  <c r="AD73" i="21"/>
  <c r="X84" i="21"/>
  <c r="Y84" i="21" s="1"/>
  <c r="Z84" i="21" s="1"/>
  <c r="AD84" i="21"/>
  <c r="X27" i="21"/>
  <c r="Y27" i="21" s="1"/>
  <c r="Z27" i="21" s="1"/>
  <c r="AD27" i="21"/>
  <c r="X28" i="21"/>
  <c r="Y28" i="21" s="1"/>
  <c r="Z28" i="21" s="1"/>
  <c r="AD28" i="21"/>
  <c r="AO77" i="21"/>
  <c r="AP77" i="21" s="1"/>
  <c r="AD77" i="21"/>
  <c r="AE77" i="21" s="1"/>
  <c r="AO37" i="21"/>
  <c r="AP37" i="21" s="1"/>
  <c r="AD37" i="21"/>
  <c r="AO17" i="21"/>
  <c r="AP17" i="21" s="1"/>
  <c r="AD17" i="21"/>
  <c r="AO91" i="21"/>
  <c r="AP91" i="21" s="1"/>
  <c r="AD91" i="21"/>
  <c r="AO99" i="21"/>
  <c r="AP99" i="21" s="1"/>
  <c r="AD99" i="21"/>
  <c r="AO107" i="21"/>
  <c r="AP107" i="21" s="1"/>
  <c r="AD107" i="21"/>
  <c r="X78" i="21"/>
  <c r="Y78" i="21" s="1"/>
  <c r="Z78" i="21" s="1"/>
  <c r="AD78" i="21"/>
  <c r="AO86" i="21"/>
  <c r="AP86" i="21" s="1"/>
  <c r="AD86" i="21"/>
  <c r="AE86" i="21" s="1"/>
  <c r="AO35" i="21"/>
  <c r="AP35" i="21" s="1"/>
  <c r="AD35" i="21"/>
  <c r="AO34" i="21"/>
  <c r="AP34" i="21" s="1"/>
  <c r="AD34" i="21"/>
  <c r="AO64" i="21"/>
  <c r="AP64" i="21" s="1"/>
  <c r="AD64" i="21"/>
  <c r="AO31" i="21"/>
  <c r="AP31" i="21" s="1"/>
  <c r="AD31" i="21"/>
  <c r="AO41" i="21"/>
  <c r="AP41" i="21" s="1"/>
  <c r="AD41" i="21"/>
  <c r="AO16" i="21"/>
  <c r="AP16" i="21" s="1"/>
  <c r="AD16" i="21"/>
  <c r="AO51" i="21"/>
  <c r="AP51" i="21" s="1"/>
  <c r="AD51" i="21"/>
  <c r="AO98" i="21"/>
  <c r="AP98" i="21" s="1"/>
  <c r="AD98" i="21"/>
  <c r="AO80" i="21"/>
  <c r="AP80" i="21" s="1"/>
  <c r="AD80" i="21"/>
  <c r="AO65" i="21"/>
  <c r="AP65" i="21" s="1"/>
  <c r="AD65" i="21"/>
  <c r="AO38" i="21"/>
  <c r="AP38" i="21" s="1"/>
  <c r="AD38" i="21"/>
  <c r="AO19" i="21"/>
  <c r="AP19" i="21" s="1"/>
  <c r="AD19" i="21"/>
  <c r="AO46" i="21"/>
  <c r="AP46" i="21" s="1"/>
  <c r="AD46" i="21"/>
  <c r="AO81" i="21"/>
  <c r="AP81" i="21" s="1"/>
  <c r="AD81" i="21"/>
  <c r="U85" i="21"/>
  <c r="V85" i="21" s="1"/>
  <c r="W85" i="21" s="1"/>
  <c r="AD85" i="21"/>
  <c r="AO82" i="21"/>
  <c r="AP82" i="21" s="1"/>
  <c r="AD82" i="21"/>
  <c r="AM57" i="21"/>
  <c r="AD57" i="21"/>
  <c r="AO26" i="21"/>
  <c r="AP26" i="21" s="1"/>
  <c r="AD26" i="21"/>
  <c r="X33" i="21"/>
  <c r="Y33" i="21" s="1"/>
  <c r="Z33" i="21" s="1"/>
  <c r="AD33" i="21"/>
  <c r="X10" i="21"/>
  <c r="Y10" i="21" s="1"/>
  <c r="Z10" i="21" s="1"/>
  <c r="AD10" i="21"/>
  <c r="X92" i="21"/>
  <c r="Y92" i="21" s="1"/>
  <c r="Z92" i="21" s="1"/>
  <c r="AD92" i="21"/>
  <c r="X100" i="21"/>
  <c r="Y100" i="21" s="1"/>
  <c r="Z100" i="21" s="1"/>
  <c r="AD100" i="21"/>
  <c r="X108" i="21"/>
  <c r="Y108" i="21" s="1"/>
  <c r="Z108" i="21" s="1"/>
  <c r="AD108" i="21"/>
  <c r="AO79" i="21"/>
  <c r="AP79" i="21" s="1"/>
  <c r="AD79" i="21"/>
  <c r="X87" i="21"/>
  <c r="Y87" i="21" s="1"/>
  <c r="Z87" i="21" s="1"/>
  <c r="AD87" i="21"/>
  <c r="AM67" i="21"/>
  <c r="AD67" i="21"/>
  <c r="AM58" i="21"/>
  <c r="AD58" i="21"/>
  <c r="AO52" i="21"/>
  <c r="AP52" i="21" s="1"/>
  <c r="AD52" i="21"/>
  <c r="AO23" i="21"/>
  <c r="AP23" i="21" s="1"/>
  <c r="AD23" i="21"/>
  <c r="AO11" i="21"/>
  <c r="AP11" i="21" s="1"/>
  <c r="AD11" i="21"/>
  <c r="AE11" i="21" s="1"/>
  <c r="AO42" i="21"/>
  <c r="AP42" i="21" s="1"/>
  <c r="AD42" i="21"/>
  <c r="AO95" i="21"/>
  <c r="AP95" i="21" s="1"/>
  <c r="AD95" i="21"/>
  <c r="AO103" i="21"/>
  <c r="AP103" i="21" s="1"/>
  <c r="AD103" i="21"/>
  <c r="AO71" i="21"/>
  <c r="AP71" i="21" s="1"/>
  <c r="AD71" i="21"/>
  <c r="AO50" i="21"/>
  <c r="AP50" i="21" s="1"/>
  <c r="AD50" i="21"/>
  <c r="AO60" i="21"/>
  <c r="AP60" i="21" s="1"/>
  <c r="AD60" i="21"/>
  <c r="AO56" i="21"/>
  <c r="AP56" i="21" s="1"/>
  <c r="AD56" i="21"/>
  <c r="AO25" i="21"/>
  <c r="AP25" i="21" s="1"/>
  <c r="AD25" i="21"/>
  <c r="AO12" i="21"/>
  <c r="AP12" i="21" s="1"/>
  <c r="AD12" i="21"/>
  <c r="AO32" i="21"/>
  <c r="AP32" i="21" s="1"/>
  <c r="AD32" i="21"/>
  <c r="AO94" i="21"/>
  <c r="AP94" i="21" s="1"/>
  <c r="AD94" i="21"/>
  <c r="AO102" i="21"/>
  <c r="AP102" i="21" s="1"/>
  <c r="AD102" i="21"/>
  <c r="AM70" i="21"/>
  <c r="AD70" i="21"/>
  <c r="AO88" i="21"/>
  <c r="AP88" i="21" s="1"/>
  <c r="AD88" i="21"/>
  <c r="AO36" i="21"/>
  <c r="AP36" i="21" s="1"/>
  <c r="AD36" i="21"/>
  <c r="AO39" i="21"/>
  <c r="AP39" i="21" s="1"/>
  <c r="AD39" i="21"/>
  <c r="AO72" i="21"/>
  <c r="AP72" i="21" s="1"/>
  <c r="AD72" i="21"/>
  <c r="AO61" i="21"/>
  <c r="AP61" i="21" s="1"/>
  <c r="AD61" i="21"/>
  <c r="AO68" i="21"/>
  <c r="AP68" i="21" s="1"/>
  <c r="AD68" i="21"/>
  <c r="AO29" i="21"/>
  <c r="AP29" i="21" s="1"/>
  <c r="AD29" i="21"/>
  <c r="AO13" i="21"/>
  <c r="AP13" i="21" s="1"/>
  <c r="AD13" i="21"/>
  <c r="AO59" i="21"/>
  <c r="AP59" i="21" s="1"/>
  <c r="AD59" i="21"/>
  <c r="AO74" i="21"/>
  <c r="AP74" i="21" s="1"/>
  <c r="AD74" i="21"/>
  <c r="AQ66" i="21"/>
  <c r="AJ66" i="21"/>
  <c r="AK66" i="21" s="1"/>
  <c r="U81" i="21"/>
  <c r="V81" i="21" s="1"/>
  <c r="W81" i="21" s="1"/>
  <c r="AM62" i="21"/>
  <c r="AJ62" i="21"/>
  <c r="AK62" i="21" s="1"/>
  <c r="AA62" i="21"/>
  <c r="AB62" i="21" s="1"/>
  <c r="AE62" i="21" s="1"/>
  <c r="X24" i="21"/>
  <c r="Y24" i="21" s="1"/>
  <c r="Z24" i="21" s="1"/>
  <c r="AM24" i="21"/>
  <c r="AQ24" i="21"/>
  <c r="AJ24" i="21"/>
  <c r="AK24" i="21" s="1"/>
  <c r="X14" i="21"/>
  <c r="Y14" i="21" s="1"/>
  <c r="Z14" i="21" s="1"/>
  <c r="AM14" i="21"/>
  <c r="AQ14" i="21"/>
  <c r="AA14" i="21"/>
  <c r="AB14" i="21" s="1"/>
  <c r="AE14" i="21" s="1"/>
  <c r="X49" i="21"/>
  <c r="Y49" i="21" s="1"/>
  <c r="Z49" i="21" s="1"/>
  <c r="AM49" i="21"/>
  <c r="X47" i="21"/>
  <c r="Y47" i="21" s="1"/>
  <c r="Z47" i="21" s="1"/>
  <c r="AM47" i="21"/>
  <c r="S47" i="21"/>
  <c r="AM55" i="21"/>
  <c r="AQ55" i="21"/>
  <c r="AJ55" i="21"/>
  <c r="AK55" i="21" s="1"/>
  <c r="AO45" i="21"/>
  <c r="AP45" i="21" s="1"/>
  <c r="AM45" i="21"/>
  <c r="AJ45" i="21"/>
  <c r="AK45" i="21" s="1"/>
  <c r="AO20" i="21"/>
  <c r="AP20" i="21" s="1"/>
  <c r="AJ20" i="21"/>
  <c r="AK20" i="21" s="1"/>
  <c r="AO75" i="21"/>
  <c r="AP75" i="21" s="1"/>
  <c r="X75" i="21"/>
  <c r="Y75" i="21" s="1"/>
  <c r="Z75" i="21" s="1"/>
  <c r="AO83" i="21"/>
  <c r="AP83" i="21" s="1"/>
  <c r="U83" i="21"/>
  <c r="V83" i="21" s="1"/>
  <c r="W83" i="21" s="1"/>
  <c r="X83" i="21"/>
  <c r="Y83" i="21" s="1"/>
  <c r="Z83" i="21" s="1"/>
  <c r="AO93" i="21"/>
  <c r="AP93" i="21" s="1"/>
  <c r="U93" i="21"/>
  <c r="V93" i="21" s="1"/>
  <c r="W93" i="21" s="1"/>
  <c r="X93" i="21"/>
  <c r="Y93" i="21" s="1"/>
  <c r="Z93" i="21" s="1"/>
  <c r="AJ93" i="21"/>
  <c r="AK93" i="21" s="1"/>
  <c r="Q93" i="21"/>
  <c r="AO97" i="21"/>
  <c r="AP97" i="21" s="1"/>
  <c r="U97" i="21"/>
  <c r="V97" i="21" s="1"/>
  <c r="W97" i="21" s="1"/>
  <c r="X97" i="21"/>
  <c r="Y97" i="21" s="1"/>
  <c r="Z97" i="21" s="1"/>
  <c r="U101" i="21"/>
  <c r="V101" i="21" s="1"/>
  <c r="W101" i="21" s="1"/>
  <c r="X101" i="21"/>
  <c r="Y101" i="21" s="1"/>
  <c r="Z101" i="21" s="1"/>
  <c r="AO105" i="21"/>
  <c r="AP105" i="21" s="1"/>
  <c r="U105" i="21"/>
  <c r="V105" i="21" s="1"/>
  <c r="W105" i="21" s="1"/>
  <c r="X105" i="21"/>
  <c r="Y105" i="21" s="1"/>
  <c r="Z105" i="21" s="1"/>
  <c r="S105" i="21"/>
  <c r="U109" i="21"/>
  <c r="V109" i="21" s="1"/>
  <c r="W109" i="21" s="1"/>
  <c r="X109" i="21"/>
  <c r="Y109" i="21" s="1"/>
  <c r="Z109" i="21" s="1"/>
  <c r="AJ109" i="21"/>
  <c r="AK109" i="21" s="1"/>
  <c r="AJ100" i="21"/>
  <c r="AK100" i="21" s="1"/>
  <c r="Q55" i="21"/>
  <c r="R55" i="21" s="1"/>
  <c r="S55" i="21"/>
  <c r="Q62" i="21"/>
  <c r="S62" i="21"/>
  <c r="S24" i="21"/>
  <c r="S14" i="21"/>
  <c r="Q47" i="21"/>
  <c r="R47" i="21" s="1"/>
  <c r="AO43" i="21"/>
  <c r="AP43" i="21" s="1"/>
  <c r="AM43" i="21"/>
  <c r="AO63" i="21"/>
  <c r="AP63" i="21" s="1"/>
  <c r="AM63" i="21"/>
  <c r="AJ63" i="21"/>
  <c r="AK63" i="21" s="1"/>
  <c r="AQ63" i="21"/>
  <c r="S63" i="21"/>
  <c r="Q63" i="21"/>
  <c r="AS63" i="21" s="1"/>
  <c r="AA63" i="21"/>
  <c r="AB63" i="21" s="1"/>
  <c r="AE63" i="21" s="1"/>
  <c r="AO30" i="21"/>
  <c r="AP30" i="21" s="1"/>
  <c r="S30" i="21"/>
  <c r="Q30" i="21"/>
  <c r="R30" i="21" s="1"/>
  <c r="AJ30" i="21"/>
  <c r="AK30" i="21" s="1"/>
  <c r="AO15" i="21"/>
  <c r="AP15" i="21" s="1"/>
  <c r="S15" i="21"/>
  <c r="Q15" i="21"/>
  <c r="R15" i="21" s="1"/>
  <c r="AA15" i="21"/>
  <c r="AB15" i="21" s="1"/>
  <c r="AE15" i="21" s="1"/>
  <c r="AO18" i="21"/>
  <c r="AP18" i="21" s="1"/>
  <c r="AJ18" i="21"/>
  <c r="AK18" i="21" s="1"/>
  <c r="AO106" i="21"/>
  <c r="AP106" i="21" s="1"/>
  <c r="Q106" i="21"/>
  <c r="R106" i="21" s="1"/>
  <c r="AM76" i="21"/>
  <c r="S76" i="21"/>
  <c r="Q76" i="21"/>
  <c r="AS76" i="21" s="1"/>
  <c r="AO54" i="21"/>
  <c r="AP54" i="21" s="1"/>
  <c r="AM54" i="21"/>
  <c r="AO22" i="21"/>
  <c r="AP22" i="21" s="1"/>
  <c r="AM22" i="21"/>
  <c r="AQ22" i="21"/>
  <c r="AJ22" i="21"/>
  <c r="AK22" i="21" s="1"/>
  <c r="AO85" i="21"/>
  <c r="AP85" i="21" s="1"/>
  <c r="AO101" i="21"/>
  <c r="AP101" i="21" s="1"/>
  <c r="AO10" i="21"/>
  <c r="AP10" i="21" s="1"/>
  <c r="AO44" i="21"/>
  <c r="AP44" i="21" s="1"/>
  <c r="AO76" i="21"/>
  <c r="AP76" i="21" s="1"/>
  <c r="AO58" i="21"/>
  <c r="AP58" i="21" s="1"/>
  <c r="AO53" i="21"/>
  <c r="AP53" i="21" s="1"/>
  <c r="AO9" i="21"/>
  <c r="AP9" i="21" s="1"/>
  <c r="AR9" i="21" s="1"/>
  <c r="AO92" i="21"/>
  <c r="AP92" i="21" s="1"/>
  <c r="AO96" i="21"/>
  <c r="AP96" i="21" s="1"/>
  <c r="AO100" i="21"/>
  <c r="AP100" i="21" s="1"/>
  <c r="AO104" i="21"/>
  <c r="AP104" i="21" s="1"/>
  <c r="AO108" i="21"/>
  <c r="AP108" i="21" s="1"/>
  <c r="AO84" i="21"/>
  <c r="AP84" i="21" s="1"/>
  <c r="AO49" i="21"/>
  <c r="AP49" i="21" s="1"/>
  <c r="AO47" i="21"/>
  <c r="AP47" i="21" s="1"/>
  <c r="AO87" i="21"/>
  <c r="AP87" i="21" s="1"/>
  <c r="AO66" i="21"/>
  <c r="AP66" i="21" s="1"/>
  <c r="AR66" i="21" s="1"/>
  <c r="AO62" i="21"/>
  <c r="AP62" i="21" s="1"/>
  <c r="AO24" i="21"/>
  <c r="AP24" i="21" s="1"/>
  <c r="AO48" i="21"/>
  <c r="AP48" i="21" s="1"/>
  <c r="AO14" i="21"/>
  <c r="AP14" i="21" s="1"/>
  <c r="AO70" i="21"/>
  <c r="AP70" i="21" s="1"/>
  <c r="AO28" i="21"/>
  <c r="AP28" i="21" s="1"/>
  <c r="AO78" i="21"/>
  <c r="AP78" i="21" s="1"/>
  <c r="AO55" i="21"/>
  <c r="AP55" i="21" s="1"/>
  <c r="AO57" i="21"/>
  <c r="AP57" i="21" s="1"/>
  <c r="AO33" i="21"/>
  <c r="AP33" i="21" s="1"/>
  <c r="AO21" i="21"/>
  <c r="AP21" i="21" s="1"/>
  <c r="AO73" i="21"/>
  <c r="AP73" i="21" s="1"/>
  <c r="AO27" i="21"/>
  <c r="AP27" i="21" s="1"/>
  <c r="AO67" i="21"/>
  <c r="AP67" i="21" s="1"/>
  <c r="AL86" i="21"/>
  <c r="AL82" i="21"/>
  <c r="AL75" i="21"/>
  <c r="AL64" i="21"/>
  <c r="AL62" i="21"/>
  <c r="AL92" i="21"/>
  <c r="AL94" i="21"/>
  <c r="AL96" i="21"/>
  <c r="AL98" i="21"/>
  <c r="AL108" i="21"/>
  <c r="AL70" i="21"/>
  <c r="AL79" i="21"/>
  <c r="AL88" i="21"/>
  <c r="AL84" i="21"/>
  <c r="AL87" i="21"/>
  <c r="AL83" i="21"/>
  <c r="AL67" i="21"/>
  <c r="AL65" i="21"/>
  <c r="AL63" i="21"/>
  <c r="AL61" i="21"/>
  <c r="AL68" i="21"/>
  <c r="AL91" i="21"/>
  <c r="AL93" i="21"/>
  <c r="AL95" i="21"/>
  <c r="AL97" i="21"/>
  <c r="AL99" i="21"/>
  <c r="AL101" i="21"/>
  <c r="AL103" i="21"/>
  <c r="AL105" i="21"/>
  <c r="AL107" i="21"/>
  <c r="AL109" i="21"/>
  <c r="AL71" i="21"/>
  <c r="AL74" i="21"/>
  <c r="AL78" i="21"/>
  <c r="AL90" i="21"/>
  <c r="AL89" i="21"/>
  <c r="AL85" i="21"/>
  <c r="AL81" i="21"/>
  <c r="AL69" i="21"/>
  <c r="AL66" i="21"/>
  <c r="AL60" i="21"/>
  <c r="AL100" i="21"/>
  <c r="AL102" i="21"/>
  <c r="AL104" i="21"/>
  <c r="AL106" i="21"/>
  <c r="AL73" i="21"/>
  <c r="AL76" i="21"/>
  <c r="AL80" i="21"/>
  <c r="AL77" i="21"/>
  <c r="AL72" i="21"/>
  <c r="AL59" i="21"/>
  <c r="X66" i="21"/>
  <c r="Y66" i="21" s="1"/>
  <c r="Z66" i="21" s="1"/>
  <c r="X62" i="21"/>
  <c r="Y62" i="21" s="1"/>
  <c r="Z62" i="21" s="1"/>
  <c r="X53" i="21"/>
  <c r="Y53" i="21" s="1"/>
  <c r="Z53" i="21" s="1"/>
  <c r="X44" i="21"/>
  <c r="Y44" i="21" s="1"/>
  <c r="Z44" i="21" s="1"/>
  <c r="X76" i="21"/>
  <c r="Y76" i="21" s="1"/>
  <c r="Z76" i="21" s="1"/>
  <c r="U90" i="21"/>
  <c r="V90" i="21" s="1"/>
  <c r="W90" i="21" s="1"/>
  <c r="U82" i="21"/>
  <c r="V82" i="21" s="1"/>
  <c r="W82" i="21" s="1"/>
  <c r="U40" i="21"/>
  <c r="V40" i="21" s="1"/>
  <c r="W40" i="21" s="1"/>
  <c r="U57" i="21"/>
  <c r="V57" i="21" s="1"/>
  <c r="W57" i="21" s="1"/>
  <c r="U43" i="21"/>
  <c r="V43" i="21" s="1"/>
  <c r="W43" i="21" s="1"/>
  <c r="U26" i="21"/>
  <c r="V26" i="21" s="1"/>
  <c r="W26" i="21" s="1"/>
  <c r="AH26" i="21"/>
  <c r="AF26" i="21"/>
  <c r="AG26" i="21" s="1"/>
  <c r="U79" i="21"/>
  <c r="V79" i="21" s="1"/>
  <c r="W79" i="21" s="1"/>
  <c r="U67" i="21"/>
  <c r="V67" i="21" s="1"/>
  <c r="W67" i="21" s="1"/>
  <c r="U63" i="21"/>
  <c r="V63" i="21" s="1"/>
  <c r="W63" i="21" s="1"/>
  <c r="U58" i="21"/>
  <c r="V58" i="21" s="1"/>
  <c r="W58" i="21" s="1"/>
  <c r="U30" i="21"/>
  <c r="V30" i="21" s="1"/>
  <c r="W30" i="21" s="1"/>
  <c r="AF30" i="21"/>
  <c r="AG30" i="21" s="1"/>
  <c r="AH30" i="21"/>
  <c r="U52" i="21"/>
  <c r="V52" i="21" s="1"/>
  <c r="W52" i="21" s="1"/>
  <c r="U37" i="21"/>
  <c r="V37" i="21" s="1"/>
  <c r="W37" i="21" s="1"/>
  <c r="U23" i="21"/>
  <c r="V23" i="21" s="1"/>
  <c r="W23" i="21" s="1"/>
  <c r="AF23" i="21"/>
  <c r="AG23" i="21" s="1"/>
  <c r="AH23" i="21"/>
  <c r="U15" i="21"/>
  <c r="V15" i="21" s="1"/>
  <c r="W15" i="21" s="1"/>
  <c r="AH15" i="21"/>
  <c r="AF15" i="21"/>
  <c r="AG15" i="21" s="1"/>
  <c r="U11" i="21"/>
  <c r="V11" i="21" s="1"/>
  <c r="W11" i="21" s="1"/>
  <c r="AH11" i="21"/>
  <c r="AF11" i="21"/>
  <c r="AG11" i="21" s="1"/>
  <c r="U17" i="21"/>
  <c r="V17" i="21" s="1"/>
  <c r="W17" i="21" s="1"/>
  <c r="AF17" i="21"/>
  <c r="AG17" i="21" s="1"/>
  <c r="AH17" i="21"/>
  <c r="U42" i="21"/>
  <c r="V42" i="21" s="1"/>
  <c r="W42" i="21" s="1"/>
  <c r="U91" i="21"/>
  <c r="V91" i="21" s="1"/>
  <c r="W91" i="21" s="1"/>
  <c r="U95" i="21"/>
  <c r="V95" i="21" s="1"/>
  <c r="W95" i="21" s="1"/>
  <c r="U99" i="21"/>
  <c r="V99" i="21" s="1"/>
  <c r="W99" i="21" s="1"/>
  <c r="U103" i="21"/>
  <c r="V103" i="21" s="1"/>
  <c r="W103" i="21" s="1"/>
  <c r="U107" i="21"/>
  <c r="V107" i="21" s="1"/>
  <c r="W107" i="21" s="1"/>
  <c r="U71" i="21"/>
  <c r="V71" i="21" s="1"/>
  <c r="W71" i="21" s="1"/>
  <c r="U86" i="21"/>
  <c r="V86" i="21" s="1"/>
  <c r="W86" i="21" s="1"/>
  <c r="U55" i="21"/>
  <c r="V55" i="21" s="1"/>
  <c r="W55" i="21" s="1"/>
  <c r="U35" i="21"/>
  <c r="V35" i="21" s="1"/>
  <c r="W35" i="21" s="1"/>
  <c r="U50" i="21"/>
  <c r="V50" i="21" s="1"/>
  <c r="W50" i="21" s="1"/>
  <c r="U34" i="21"/>
  <c r="V34" i="21" s="1"/>
  <c r="W34" i="21" s="1"/>
  <c r="AH34" i="21"/>
  <c r="AF34" i="21"/>
  <c r="AG34" i="21" s="1"/>
  <c r="U64" i="21"/>
  <c r="V64" i="21" s="1"/>
  <c r="W64" i="21" s="1"/>
  <c r="U60" i="21"/>
  <c r="V60" i="21" s="1"/>
  <c r="W60" i="21" s="1"/>
  <c r="U31" i="21"/>
  <c r="V31" i="21" s="1"/>
  <c r="W31" i="21" s="1"/>
  <c r="AF31" i="21"/>
  <c r="AG31" i="21" s="1"/>
  <c r="AH31" i="21"/>
  <c r="U56" i="21"/>
  <c r="V56" i="21" s="1"/>
  <c r="W56" i="21" s="1"/>
  <c r="U41" i="21"/>
  <c r="V41" i="21" s="1"/>
  <c r="W41" i="21" s="1"/>
  <c r="U25" i="21"/>
  <c r="V25" i="21" s="1"/>
  <c r="W25" i="21" s="1"/>
  <c r="AH25" i="21"/>
  <c r="AF25" i="21"/>
  <c r="AG25" i="21" s="1"/>
  <c r="U16" i="21"/>
  <c r="V16" i="21" s="1"/>
  <c r="W16" i="21" s="1"/>
  <c r="AH16" i="21"/>
  <c r="AF16" i="21"/>
  <c r="AG16" i="21" s="1"/>
  <c r="U12" i="21"/>
  <c r="V12" i="21" s="1"/>
  <c r="W12" i="21" s="1"/>
  <c r="AH12" i="21"/>
  <c r="AF12" i="21"/>
  <c r="AG12" i="21" s="1"/>
  <c r="U18" i="21"/>
  <c r="V18" i="21" s="1"/>
  <c r="W18" i="21" s="1"/>
  <c r="AF18" i="21"/>
  <c r="AG18" i="21" s="1"/>
  <c r="AH18" i="21"/>
  <c r="U32" i="21"/>
  <c r="V32" i="21" s="1"/>
  <c r="W32" i="21" s="1"/>
  <c r="AH32" i="21"/>
  <c r="AF32" i="21"/>
  <c r="AG32" i="21" s="1"/>
  <c r="U51" i="21"/>
  <c r="V51" i="21" s="1"/>
  <c r="W51" i="21" s="1"/>
  <c r="U94" i="21"/>
  <c r="V94" i="21" s="1"/>
  <c r="W94" i="21" s="1"/>
  <c r="U98" i="21"/>
  <c r="V98" i="21" s="1"/>
  <c r="W98" i="21" s="1"/>
  <c r="U102" i="21"/>
  <c r="V102" i="21" s="1"/>
  <c r="W102" i="21" s="1"/>
  <c r="U106" i="21"/>
  <c r="V106" i="21" s="1"/>
  <c r="W106" i="21" s="1"/>
  <c r="U70" i="21"/>
  <c r="V70" i="21" s="1"/>
  <c r="W70" i="21" s="1"/>
  <c r="U88" i="21"/>
  <c r="V88" i="21" s="1"/>
  <c r="W88" i="21" s="1"/>
  <c r="U80" i="21"/>
  <c r="V80" i="21" s="1"/>
  <c r="W80" i="21" s="1"/>
  <c r="U36" i="21"/>
  <c r="V36" i="21" s="1"/>
  <c r="W36" i="21" s="1"/>
  <c r="U54" i="21"/>
  <c r="V54" i="21" s="1"/>
  <c r="W54" i="21" s="1"/>
  <c r="U39" i="21"/>
  <c r="V39" i="21" s="1"/>
  <c r="W39" i="21" s="1"/>
  <c r="U22" i="21"/>
  <c r="V22" i="21" s="1"/>
  <c r="W22" i="21" s="1"/>
  <c r="AF22" i="21"/>
  <c r="AG22" i="21" s="1"/>
  <c r="AH22" i="21"/>
  <c r="U72" i="21"/>
  <c r="V72" i="21" s="1"/>
  <c r="W72" i="21" s="1"/>
  <c r="U65" i="21"/>
  <c r="V65" i="21" s="1"/>
  <c r="W65" i="21" s="1"/>
  <c r="U61" i="21"/>
  <c r="V61" i="21" s="1"/>
  <c r="W61" i="21" s="1"/>
  <c r="U38" i="21"/>
  <c r="V38" i="21" s="1"/>
  <c r="W38" i="21" s="1"/>
  <c r="U68" i="21"/>
  <c r="V68" i="21" s="1"/>
  <c r="W68" i="21" s="1"/>
  <c r="U45" i="21"/>
  <c r="V45" i="21" s="1"/>
  <c r="W45" i="21" s="1"/>
  <c r="U29" i="21"/>
  <c r="V29" i="21" s="1"/>
  <c r="W29" i="21" s="1"/>
  <c r="AF29" i="21"/>
  <c r="AG29" i="21" s="1"/>
  <c r="AH29" i="21"/>
  <c r="U19" i="21"/>
  <c r="V19" i="21" s="1"/>
  <c r="W19" i="21" s="1"/>
  <c r="AH19" i="21"/>
  <c r="AF19" i="21"/>
  <c r="AG19" i="21" s="1"/>
  <c r="U13" i="21"/>
  <c r="V13" i="21" s="1"/>
  <c r="W13" i="21" s="1"/>
  <c r="AH13" i="21"/>
  <c r="AF13" i="21"/>
  <c r="AG13" i="21" s="1"/>
  <c r="U20" i="21"/>
  <c r="V20" i="21" s="1"/>
  <c r="W20" i="21" s="1"/>
  <c r="AF20" i="21"/>
  <c r="AG20" i="21" s="1"/>
  <c r="AH20" i="21"/>
  <c r="U59" i="21"/>
  <c r="V59" i="21" s="1"/>
  <c r="W59" i="21" s="1"/>
  <c r="U46" i="21"/>
  <c r="V46" i="21" s="1"/>
  <c r="W46" i="21" s="1"/>
  <c r="X91" i="21"/>
  <c r="Y91" i="21" s="1"/>
  <c r="Z91" i="21" s="1"/>
  <c r="X99" i="21"/>
  <c r="Y99" i="21" s="1"/>
  <c r="Z99" i="21" s="1"/>
  <c r="X107" i="21"/>
  <c r="Y107" i="21" s="1"/>
  <c r="Z107" i="21" s="1"/>
  <c r="U74" i="21"/>
  <c r="V74" i="21" s="1"/>
  <c r="W74" i="21" s="1"/>
  <c r="X90" i="21"/>
  <c r="Y90" i="21" s="1"/>
  <c r="Z90" i="21" s="1"/>
  <c r="X82" i="21"/>
  <c r="Y82" i="21" s="1"/>
  <c r="Z82" i="21" s="1"/>
  <c r="X40" i="21"/>
  <c r="Y40" i="21" s="1"/>
  <c r="Z40" i="21" s="1"/>
  <c r="X57" i="21"/>
  <c r="Y57" i="21" s="1"/>
  <c r="Z57" i="21" s="1"/>
  <c r="X43" i="21"/>
  <c r="Y43" i="21" s="1"/>
  <c r="Z43" i="21" s="1"/>
  <c r="X26" i="21"/>
  <c r="Y26" i="21" s="1"/>
  <c r="Z26" i="21" s="1"/>
  <c r="U66" i="21"/>
  <c r="V66" i="21" s="1"/>
  <c r="W66" i="21" s="1"/>
  <c r="U62" i="21"/>
  <c r="V62" i="21" s="1"/>
  <c r="W62" i="21" s="1"/>
  <c r="U53" i="21"/>
  <c r="V53" i="21" s="1"/>
  <c r="W53" i="21" s="1"/>
  <c r="U24" i="21"/>
  <c r="V24" i="21" s="1"/>
  <c r="W24" i="21" s="1"/>
  <c r="AF24" i="21"/>
  <c r="AG24" i="21" s="1"/>
  <c r="AH24" i="21"/>
  <c r="U48" i="21"/>
  <c r="V48" i="21" s="1"/>
  <c r="W48" i="21" s="1"/>
  <c r="U33" i="21"/>
  <c r="V33" i="21" s="1"/>
  <c r="W33" i="21" s="1"/>
  <c r="AH33" i="21"/>
  <c r="AF33" i="21"/>
  <c r="AG33" i="21" s="1"/>
  <c r="U21" i="21"/>
  <c r="V21" i="21" s="1"/>
  <c r="W21" i="21" s="1"/>
  <c r="AF21" i="21"/>
  <c r="AG21" i="21" s="1"/>
  <c r="AH21" i="21"/>
  <c r="Q21" i="21"/>
  <c r="U14" i="21"/>
  <c r="V14" i="21" s="1"/>
  <c r="W14" i="21" s="1"/>
  <c r="AH14" i="21"/>
  <c r="AF14" i="21"/>
  <c r="U9" i="21"/>
  <c r="V9" i="21" s="1"/>
  <c r="W9" i="21" s="1"/>
  <c r="AH9" i="21"/>
  <c r="AF9" i="21"/>
  <c r="U10" i="21"/>
  <c r="V10" i="21" s="1"/>
  <c r="W10" i="21" s="1"/>
  <c r="AF10" i="21"/>
  <c r="AG10" i="21" s="1"/>
  <c r="AH10" i="21"/>
  <c r="U44" i="21"/>
  <c r="V44" i="21" s="1"/>
  <c r="W44" i="21" s="1"/>
  <c r="U92" i="21"/>
  <c r="V92" i="21" s="1"/>
  <c r="W92" i="21" s="1"/>
  <c r="U96" i="21"/>
  <c r="V96" i="21" s="1"/>
  <c r="W96" i="21" s="1"/>
  <c r="U100" i="21"/>
  <c r="V100" i="21" s="1"/>
  <c r="W100" i="21" s="1"/>
  <c r="U104" i="21"/>
  <c r="V104" i="21" s="1"/>
  <c r="W104" i="21" s="1"/>
  <c r="U108" i="21"/>
  <c r="V108" i="21" s="1"/>
  <c r="W108" i="21" s="1"/>
  <c r="U73" i="21"/>
  <c r="V73" i="21" s="1"/>
  <c r="W73" i="21" s="1"/>
  <c r="U84" i="21"/>
  <c r="V84" i="21" s="1"/>
  <c r="W84" i="21" s="1"/>
  <c r="U49" i="21"/>
  <c r="V49" i="21" s="1"/>
  <c r="W49" i="21" s="1"/>
  <c r="U27" i="21"/>
  <c r="V27" i="21" s="1"/>
  <c r="W27" i="21" s="1"/>
  <c r="AF27" i="21"/>
  <c r="AG27" i="21" s="1"/>
  <c r="AH27" i="21"/>
  <c r="U47" i="21"/>
  <c r="V47" i="21" s="1"/>
  <c r="W47" i="21" s="1"/>
  <c r="U28" i="21"/>
  <c r="V28" i="21" s="1"/>
  <c r="W28" i="21" s="1"/>
  <c r="AH28" i="21"/>
  <c r="AF28" i="21"/>
  <c r="AG28" i="21" s="1"/>
  <c r="U87" i="21"/>
  <c r="V87" i="21" s="1"/>
  <c r="W87" i="21" s="1"/>
  <c r="U77" i="21"/>
  <c r="V77" i="21" s="1"/>
  <c r="W77" i="21" s="1"/>
  <c r="X67" i="21"/>
  <c r="Y67" i="21" s="1"/>
  <c r="Z67" i="21" s="1"/>
  <c r="X63" i="21"/>
  <c r="Y63" i="21" s="1"/>
  <c r="Z63" i="21" s="1"/>
  <c r="X58" i="21"/>
  <c r="Y58" i="21" s="1"/>
  <c r="Z58" i="21" s="1"/>
  <c r="X30" i="21"/>
  <c r="Y30" i="21" s="1"/>
  <c r="Z30" i="21" s="1"/>
  <c r="X52" i="21"/>
  <c r="Y52" i="21" s="1"/>
  <c r="Z52" i="21" s="1"/>
  <c r="X37" i="21"/>
  <c r="Y37" i="21" s="1"/>
  <c r="Z37" i="21" s="1"/>
  <c r="X23" i="21"/>
  <c r="Y23" i="21" s="1"/>
  <c r="Z23" i="21" s="1"/>
  <c r="X15" i="21"/>
  <c r="Y15" i="21" s="1"/>
  <c r="Z15" i="21" s="1"/>
  <c r="X11" i="21"/>
  <c r="Y11" i="21" s="1"/>
  <c r="Z11" i="21" s="1"/>
  <c r="X17" i="21"/>
  <c r="Y17" i="21" s="1"/>
  <c r="Z17" i="21" s="1"/>
  <c r="X42" i="21"/>
  <c r="Y42" i="21" s="1"/>
  <c r="Z42" i="21" s="1"/>
  <c r="U78" i="21"/>
  <c r="V78" i="21" s="1"/>
  <c r="W78" i="21" s="1"/>
  <c r="X86" i="21"/>
  <c r="Y86" i="21" s="1"/>
  <c r="Z86" i="21" s="1"/>
  <c r="X55" i="21"/>
  <c r="Y55" i="21" s="1"/>
  <c r="Z55" i="21" s="1"/>
  <c r="X35" i="21"/>
  <c r="Y35" i="21" s="1"/>
  <c r="Z35" i="21" s="1"/>
  <c r="X50" i="21"/>
  <c r="Y50" i="21" s="1"/>
  <c r="Z50" i="21" s="1"/>
  <c r="X34" i="21"/>
  <c r="Y34" i="21" s="1"/>
  <c r="Z34" i="21" s="1"/>
  <c r="X64" i="21"/>
  <c r="Y64" i="21" s="1"/>
  <c r="Z64" i="21" s="1"/>
  <c r="X60" i="21"/>
  <c r="Y60" i="21" s="1"/>
  <c r="Z60" i="21" s="1"/>
  <c r="X31" i="21"/>
  <c r="Y31" i="21" s="1"/>
  <c r="Z31" i="21" s="1"/>
  <c r="X56" i="21"/>
  <c r="Y56" i="21" s="1"/>
  <c r="Z56" i="21" s="1"/>
  <c r="X41" i="21"/>
  <c r="Y41" i="21" s="1"/>
  <c r="Z41" i="21" s="1"/>
  <c r="X25" i="21"/>
  <c r="Y25" i="21" s="1"/>
  <c r="Z25" i="21" s="1"/>
  <c r="X16" i="21"/>
  <c r="Y16" i="21" s="1"/>
  <c r="Z16" i="21" s="1"/>
  <c r="X12" i="21"/>
  <c r="Y12" i="21" s="1"/>
  <c r="Z12" i="21" s="1"/>
  <c r="X18" i="21"/>
  <c r="Y18" i="21" s="1"/>
  <c r="Z18" i="21" s="1"/>
  <c r="X32" i="21"/>
  <c r="Y32" i="21" s="1"/>
  <c r="Z32" i="21" s="1"/>
  <c r="X51" i="21"/>
  <c r="Y51" i="21" s="1"/>
  <c r="Z51" i="21" s="1"/>
  <c r="X94" i="21"/>
  <c r="Y94" i="21" s="1"/>
  <c r="Z94" i="21" s="1"/>
  <c r="X98" i="21"/>
  <c r="Y98" i="21" s="1"/>
  <c r="Z98" i="21" s="1"/>
  <c r="X102" i="21"/>
  <c r="Y102" i="21" s="1"/>
  <c r="Z102" i="21" s="1"/>
  <c r="X106" i="21"/>
  <c r="Y106" i="21" s="1"/>
  <c r="Z106" i="21" s="1"/>
  <c r="X70" i="21"/>
  <c r="Y70" i="21" s="1"/>
  <c r="Z70" i="21" s="1"/>
  <c r="U76" i="21"/>
  <c r="V76" i="21" s="1"/>
  <c r="W76" i="21" s="1"/>
  <c r="X79" i="21"/>
  <c r="Y79" i="21" s="1"/>
  <c r="Z79" i="21" s="1"/>
  <c r="X88" i="21"/>
  <c r="Y88" i="21" s="1"/>
  <c r="Z88" i="21" s="1"/>
  <c r="X80" i="21"/>
  <c r="Y80" i="21" s="1"/>
  <c r="Z80" i="21" s="1"/>
  <c r="X36" i="21"/>
  <c r="Y36" i="21" s="1"/>
  <c r="Z36" i="21" s="1"/>
  <c r="X54" i="21"/>
  <c r="Y54" i="21" s="1"/>
  <c r="Z54" i="21" s="1"/>
  <c r="X39" i="21"/>
  <c r="Y39" i="21" s="1"/>
  <c r="Z39" i="21" s="1"/>
  <c r="X22" i="21"/>
  <c r="Y22" i="21" s="1"/>
  <c r="Z22" i="21" s="1"/>
  <c r="X77" i="21"/>
  <c r="Y77" i="21" s="1"/>
  <c r="Z77" i="21" s="1"/>
  <c r="X72" i="21"/>
  <c r="Y72" i="21" s="1"/>
  <c r="Z72" i="21" s="1"/>
  <c r="X65" i="21"/>
  <c r="Y65" i="21" s="1"/>
  <c r="Z65" i="21" s="1"/>
  <c r="X61" i="21"/>
  <c r="Y61" i="21" s="1"/>
  <c r="Z61" i="21" s="1"/>
  <c r="X38" i="21"/>
  <c r="Y38" i="21" s="1"/>
  <c r="Z38" i="21" s="1"/>
  <c r="X68" i="21"/>
  <c r="Y68" i="21" s="1"/>
  <c r="Z68" i="21" s="1"/>
  <c r="X45" i="21"/>
  <c r="Y45" i="21" s="1"/>
  <c r="Z45" i="21" s="1"/>
  <c r="X29" i="21"/>
  <c r="Y29" i="21" s="1"/>
  <c r="Z29" i="21" s="1"/>
  <c r="X19" i="21"/>
  <c r="Y19" i="21" s="1"/>
  <c r="Z19" i="21" s="1"/>
  <c r="X13" i="21"/>
  <c r="Y13" i="21" s="1"/>
  <c r="Z13" i="21" s="1"/>
  <c r="X20" i="21"/>
  <c r="Y20" i="21" s="1"/>
  <c r="Z20" i="21" s="1"/>
  <c r="X59" i="21"/>
  <c r="Y59" i="21" s="1"/>
  <c r="Z59" i="21" s="1"/>
  <c r="X46" i="21"/>
  <c r="Y46" i="21" s="1"/>
  <c r="Z46" i="21" s="1"/>
  <c r="X95" i="21"/>
  <c r="Y95" i="21" s="1"/>
  <c r="Z95" i="21" s="1"/>
  <c r="X103" i="21"/>
  <c r="Y103" i="21" s="1"/>
  <c r="Z103" i="21" s="1"/>
  <c r="X71" i="21"/>
  <c r="Y71" i="21" s="1"/>
  <c r="Z71" i="21" s="1"/>
  <c r="X74" i="21"/>
  <c r="Y74" i="21" s="1"/>
  <c r="Z74" i="21" s="1"/>
  <c r="Q81" i="21"/>
  <c r="R81" i="21" s="1"/>
  <c r="AJ25" i="21"/>
  <c r="Q98" i="21"/>
  <c r="Q59" i="21"/>
  <c r="AS59" i="21" s="1"/>
  <c r="Q97" i="21"/>
  <c r="Q101" i="21"/>
  <c r="R101" i="21" s="1"/>
  <c r="S81" i="21"/>
  <c r="Q74" i="21"/>
  <c r="R74" i="21" s="1"/>
  <c r="AJ57" i="21"/>
  <c r="AK57" i="21" s="1"/>
  <c r="AQ43" i="21"/>
  <c r="Y81" i="21"/>
  <c r="Z81" i="21" s="1"/>
  <c r="Q83" i="21"/>
  <c r="AS83" i="21" s="1"/>
  <c r="AQ45" i="21"/>
  <c r="S90" i="21"/>
  <c r="S57" i="21"/>
  <c r="AA57" i="21"/>
  <c r="AB57" i="21" s="1"/>
  <c r="S106" i="21"/>
  <c r="S83" i="21"/>
  <c r="S45" i="21"/>
  <c r="AA45" i="21"/>
  <c r="AB45" i="21" s="1"/>
  <c r="S93" i="21"/>
  <c r="S109" i="21"/>
  <c r="Q45" i="21"/>
  <c r="AS45" i="21" s="1"/>
  <c r="Q57" i="21"/>
  <c r="R57" i="21" s="1"/>
  <c r="AM50" i="21"/>
  <c r="AF85" i="21"/>
  <c r="AG85" i="21" s="1"/>
  <c r="AM85" i="21"/>
  <c r="AQ85" i="21"/>
  <c r="AM75" i="21"/>
  <c r="AQ75" i="21"/>
  <c r="AM65" i="21"/>
  <c r="AQ65" i="21"/>
  <c r="AF61" i="21"/>
  <c r="AG61" i="21" s="1"/>
  <c r="AM61" i="21"/>
  <c r="AQ61" i="21"/>
  <c r="AJ61" i="21"/>
  <c r="AK61" i="21" s="1"/>
  <c r="AF46" i="21"/>
  <c r="AG46" i="21" s="1"/>
  <c r="AM46" i="21"/>
  <c r="AF91" i="21"/>
  <c r="AG91" i="21" s="1"/>
  <c r="AM91" i="21"/>
  <c r="AQ91" i="21"/>
  <c r="AM95" i="21"/>
  <c r="AQ95" i="21"/>
  <c r="AF99" i="21"/>
  <c r="AG99" i="21" s="1"/>
  <c r="AM99" i="21"/>
  <c r="AQ99" i="21"/>
  <c r="AM103" i="21"/>
  <c r="AQ103" i="21"/>
  <c r="AF107" i="21"/>
  <c r="AG107" i="21" s="1"/>
  <c r="AM107" i="21"/>
  <c r="AQ107" i="21"/>
  <c r="AM71" i="21"/>
  <c r="AQ71" i="21"/>
  <c r="AJ71" i="21"/>
  <c r="AK71" i="21" s="1"/>
  <c r="AM78" i="21"/>
  <c r="AQ78" i="21"/>
  <c r="AA40" i="21"/>
  <c r="AB40" i="21" s="1"/>
  <c r="AM89" i="21"/>
  <c r="AQ89" i="21"/>
  <c r="AJ89" i="21"/>
  <c r="AK89" i="21" s="1"/>
  <c r="AA89" i="21"/>
  <c r="AB89" i="21" s="1"/>
  <c r="AE89" i="21" s="1"/>
  <c r="AM102" i="21"/>
  <c r="AQ102" i="21"/>
  <c r="AJ102" i="21"/>
  <c r="AK102" i="21" s="1"/>
  <c r="AA102" i="21"/>
  <c r="AB102" i="21" s="1"/>
  <c r="AJ95" i="21"/>
  <c r="AK95" i="21" s="1"/>
  <c r="AM97" i="21"/>
  <c r="AQ97" i="21"/>
  <c r="AJ97" i="21"/>
  <c r="AK97" i="21" s="1"/>
  <c r="AA97" i="21"/>
  <c r="AB97" i="21" s="1"/>
  <c r="AE97" i="21" s="1"/>
  <c r="AM59" i="21"/>
  <c r="AA59" i="21"/>
  <c r="AB59" i="21" s="1"/>
  <c r="AQ59" i="21"/>
  <c r="AJ99" i="21"/>
  <c r="AK99" i="21" s="1"/>
  <c r="AM101" i="21"/>
  <c r="AA101" i="21"/>
  <c r="AB101" i="21" s="1"/>
  <c r="AE101" i="21" s="1"/>
  <c r="AQ101" i="21"/>
  <c r="AM86" i="21"/>
  <c r="AQ86" i="21"/>
  <c r="AJ43" i="21"/>
  <c r="AK43" i="21" s="1"/>
  <c r="AA75" i="21"/>
  <c r="AB75" i="21" s="1"/>
  <c r="AE75" i="21" s="1"/>
  <c r="AM69" i="21"/>
  <c r="AQ69" i="21"/>
  <c r="AF64" i="21"/>
  <c r="AG64" i="21" s="1"/>
  <c r="AM64" i="21"/>
  <c r="AQ64" i="21"/>
  <c r="AJ64" i="21"/>
  <c r="AK64" i="21" s="1"/>
  <c r="AM60" i="21"/>
  <c r="AQ60" i="21"/>
  <c r="AQ56" i="21"/>
  <c r="AJ41" i="21"/>
  <c r="AK41" i="21" s="1"/>
  <c r="Q51" i="21"/>
  <c r="AM51" i="21"/>
  <c r="AM92" i="21"/>
  <c r="AQ92" i="21"/>
  <c r="AM96" i="21"/>
  <c r="AQ96" i="21"/>
  <c r="AM100" i="21"/>
  <c r="AQ100" i="21"/>
  <c r="Q102" i="21"/>
  <c r="AS102" i="21" s="1"/>
  <c r="AM104" i="21"/>
  <c r="AQ104" i="21"/>
  <c r="AM108" i="21"/>
  <c r="AQ108" i="21"/>
  <c r="AM73" i="21"/>
  <c r="AQ73" i="21"/>
  <c r="AM79" i="21"/>
  <c r="AQ79" i="21"/>
  <c r="AJ79" i="21"/>
  <c r="AK79" i="21" s="1"/>
  <c r="AM88" i="21"/>
  <c r="AQ88" i="21"/>
  <c r="AM80" i="21"/>
  <c r="AQ80" i="21"/>
  <c r="AF87" i="21"/>
  <c r="AG87" i="21" s="1"/>
  <c r="AM87" i="21"/>
  <c r="AQ87" i="21"/>
  <c r="AM77" i="21"/>
  <c r="AQ77" i="21"/>
  <c r="S43" i="21"/>
  <c r="AA43" i="21"/>
  <c r="AB43" i="21" s="1"/>
  <c r="S89" i="21"/>
  <c r="S56" i="21"/>
  <c r="AA56" i="21"/>
  <c r="AB56" i="21" s="1"/>
  <c r="S59" i="21"/>
  <c r="S97" i="21"/>
  <c r="S101" i="21"/>
  <c r="AJ86" i="21"/>
  <c r="AK86" i="21" s="1"/>
  <c r="AM82" i="21"/>
  <c r="AQ82" i="21"/>
  <c r="AJ82" i="21"/>
  <c r="AK82" i="21" s="1"/>
  <c r="AA82" i="21"/>
  <c r="AB82" i="21" s="1"/>
  <c r="Q43" i="21"/>
  <c r="AJ75" i="21"/>
  <c r="AK75" i="21" s="1"/>
  <c r="Q56" i="21"/>
  <c r="AJ92" i="21"/>
  <c r="AK92" i="21" s="1"/>
  <c r="AM94" i="21"/>
  <c r="AQ94" i="21"/>
  <c r="AJ94" i="21"/>
  <c r="AK94" i="21" s="1"/>
  <c r="AA94" i="21"/>
  <c r="AB94" i="21" s="1"/>
  <c r="AJ108" i="21"/>
  <c r="AK108" i="21" s="1"/>
  <c r="AJ77" i="21"/>
  <c r="AK77" i="21" s="1"/>
  <c r="AM72" i="21"/>
  <c r="AQ72" i="21"/>
  <c r="AJ72" i="21"/>
  <c r="AK72" i="21" s="1"/>
  <c r="AA72" i="21"/>
  <c r="AB72" i="21" s="1"/>
  <c r="AM90" i="21"/>
  <c r="AA90" i="21"/>
  <c r="AB90" i="21" s="1"/>
  <c r="AQ90" i="21"/>
  <c r="AJ90" i="21"/>
  <c r="AK90" i="21" s="1"/>
  <c r="AJ85" i="21"/>
  <c r="AK85" i="21" s="1"/>
  <c r="AJ96" i="21"/>
  <c r="AK96" i="21" s="1"/>
  <c r="AM106" i="21"/>
  <c r="AA106" i="21"/>
  <c r="AB106" i="21" s="1"/>
  <c r="AQ106" i="21"/>
  <c r="AJ106" i="21"/>
  <c r="AK106" i="21" s="1"/>
  <c r="AJ88" i="21"/>
  <c r="AK88" i="21" s="1"/>
  <c r="AM83" i="21"/>
  <c r="AA83" i="21"/>
  <c r="AB83" i="21" s="1"/>
  <c r="AE83" i="21" s="1"/>
  <c r="AQ83" i="21"/>
  <c r="AJ83" i="21"/>
  <c r="AK83" i="21" s="1"/>
  <c r="AJ101" i="21"/>
  <c r="AK101" i="21" s="1"/>
  <c r="AJ103" i="21"/>
  <c r="AK103" i="21" s="1"/>
  <c r="AM105" i="21"/>
  <c r="AQ105" i="21"/>
  <c r="AJ105" i="21"/>
  <c r="AK105" i="21" s="1"/>
  <c r="AA105" i="21"/>
  <c r="AB105" i="21" s="1"/>
  <c r="AE105" i="21" s="1"/>
  <c r="AJ78" i="21"/>
  <c r="AK78" i="21" s="1"/>
  <c r="AM81" i="21"/>
  <c r="AA81" i="21"/>
  <c r="AB81" i="21" s="1"/>
  <c r="AQ81" i="21"/>
  <c r="AJ81" i="21"/>
  <c r="AK81" i="21" s="1"/>
  <c r="AJ69" i="21"/>
  <c r="AK69" i="21" s="1"/>
  <c r="AJ60" i="21"/>
  <c r="AK60" i="21" s="1"/>
  <c r="AM98" i="21"/>
  <c r="AA98" i="21"/>
  <c r="AB98" i="21" s="1"/>
  <c r="AQ98" i="21"/>
  <c r="AJ98" i="21"/>
  <c r="AK98" i="21" s="1"/>
  <c r="AJ104" i="21"/>
  <c r="AK104" i="21" s="1"/>
  <c r="AJ73" i="21"/>
  <c r="AK73" i="21" s="1"/>
  <c r="AM84" i="21"/>
  <c r="AA84" i="21"/>
  <c r="AB84" i="21" s="1"/>
  <c r="AQ84" i="21"/>
  <c r="AJ84" i="21"/>
  <c r="AK84" i="21" s="1"/>
  <c r="AJ87" i="21"/>
  <c r="AK87" i="21" s="1"/>
  <c r="AJ65" i="21"/>
  <c r="AK65" i="21" s="1"/>
  <c r="AM68" i="21"/>
  <c r="AQ68" i="21"/>
  <c r="AA68" i="21"/>
  <c r="AB68" i="21" s="1"/>
  <c r="AJ91" i="21"/>
  <c r="AK91" i="21" s="1"/>
  <c r="AM93" i="21"/>
  <c r="AA93" i="21"/>
  <c r="AB93" i="21" s="1"/>
  <c r="AE93" i="21" s="1"/>
  <c r="AQ93" i="21"/>
  <c r="AJ107" i="21"/>
  <c r="AK107" i="21" s="1"/>
  <c r="AM109" i="21"/>
  <c r="AA109" i="21"/>
  <c r="AB109" i="21" s="1"/>
  <c r="AE109" i="21" s="1"/>
  <c r="AQ109" i="21"/>
  <c r="AL53" i="20"/>
  <c r="AL40" i="21"/>
  <c r="AL50" i="21"/>
  <c r="AL34" i="21"/>
  <c r="AL31" i="21"/>
  <c r="AL48" i="21"/>
  <c r="AL33" i="21"/>
  <c r="AL16" i="21"/>
  <c r="AL12" i="21"/>
  <c r="AL10" i="21"/>
  <c r="AL32" i="21"/>
  <c r="AL51" i="21"/>
  <c r="AL49" i="21"/>
  <c r="AL27" i="21"/>
  <c r="AL54" i="21"/>
  <c r="AL39" i="21"/>
  <c r="AL38" i="21"/>
  <c r="AL52" i="21"/>
  <c r="AL37" i="21"/>
  <c r="AL23" i="21"/>
  <c r="AL19" i="21"/>
  <c r="AL13" i="21"/>
  <c r="AL17" i="21"/>
  <c r="AL46" i="21"/>
  <c r="AL55" i="21"/>
  <c r="AL35" i="21"/>
  <c r="AL57" i="21"/>
  <c r="AL43" i="21"/>
  <c r="AL26" i="21"/>
  <c r="AL53" i="21"/>
  <c r="AL24" i="21"/>
  <c r="AL56" i="21"/>
  <c r="AL41" i="21"/>
  <c r="AL25" i="21"/>
  <c r="AL21" i="21"/>
  <c r="AL14" i="21"/>
  <c r="AL9" i="21"/>
  <c r="AL18" i="21"/>
  <c r="AL44" i="21"/>
  <c r="AL36" i="21"/>
  <c r="AL47" i="21"/>
  <c r="AL28" i="21"/>
  <c r="AL22" i="21"/>
  <c r="AL58" i="21"/>
  <c r="AL30" i="21"/>
  <c r="AL45" i="21"/>
  <c r="AL29" i="21"/>
  <c r="AL15" i="21"/>
  <c r="AL11" i="21"/>
  <c r="AL20" i="21"/>
  <c r="AL42" i="21"/>
  <c r="R90" i="21"/>
  <c r="AS90" i="21"/>
  <c r="S86" i="21"/>
  <c r="AH86" i="21"/>
  <c r="Q86" i="21"/>
  <c r="S40" i="21"/>
  <c r="AM40" i="21"/>
  <c r="AQ40" i="21"/>
  <c r="AH40" i="21"/>
  <c r="AA85" i="21"/>
  <c r="AB85" i="21" s="1"/>
  <c r="S75" i="21"/>
  <c r="AH75" i="21"/>
  <c r="Q75" i="21"/>
  <c r="S69" i="21"/>
  <c r="Q69" i="21"/>
  <c r="AH69" i="21"/>
  <c r="S60" i="21"/>
  <c r="Q60" i="21"/>
  <c r="AH60" i="21"/>
  <c r="S31" i="21"/>
  <c r="AM31" i="21"/>
  <c r="AQ31" i="21"/>
  <c r="Q31" i="21"/>
  <c r="AA31" i="21"/>
  <c r="AB31" i="21" s="1"/>
  <c r="AJ31" i="21"/>
  <c r="S48" i="21"/>
  <c r="AH48" i="21"/>
  <c r="AJ48" i="21"/>
  <c r="AK48" i="21" s="1"/>
  <c r="AQ48" i="21"/>
  <c r="Q48" i="21"/>
  <c r="AA48" i="21"/>
  <c r="AB48" i="21" s="1"/>
  <c r="S33" i="21"/>
  <c r="AM33" i="21"/>
  <c r="AA33" i="21"/>
  <c r="AB33" i="21" s="1"/>
  <c r="AJ33" i="21"/>
  <c r="AQ33" i="21"/>
  <c r="Q33" i="21"/>
  <c r="S16" i="21"/>
  <c r="AM16" i="21"/>
  <c r="AQ16" i="21"/>
  <c r="Q16" i="21"/>
  <c r="AA16" i="21"/>
  <c r="AB16" i="21" s="1"/>
  <c r="AJ16" i="21"/>
  <c r="S12" i="21"/>
  <c r="AM12" i="21"/>
  <c r="AQ12" i="21"/>
  <c r="Q12" i="21"/>
  <c r="AA12" i="21"/>
  <c r="AB12" i="21" s="1"/>
  <c r="AJ12" i="21"/>
  <c r="AA92" i="21"/>
  <c r="AB92" i="21" s="1"/>
  <c r="S96" i="21"/>
  <c r="AH96" i="21"/>
  <c r="Q96" i="21"/>
  <c r="AA100" i="21"/>
  <c r="AB100" i="21" s="1"/>
  <c r="S104" i="21"/>
  <c r="AH104" i="21"/>
  <c r="Q104" i="21"/>
  <c r="AA108" i="21"/>
  <c r="AB108" i="21" s="1"/>
  <c r="S79" i="21"/>
  <c r="Q79" i="21"/>
  <c r="AH79" i="21"/>
  <c r="AA88" i="21"/>
  <c r="AB88" i="21" s="1"/>
  <c r="S80" i="21"/>
  <c r="AH80" i="21"/>
  <c r="Q80" i="21"/>
  <c r="S49" i="21"/>
  <c r="AQ49" i="21"/>
  <c r="AH49" i="21"/>
  <c r="AJ49" i="21"/>
  <c r="AK49" i="21" s="1"/>
  <c r="AF36" i="21"/>
  <c r="S54" i="21"/>
  <c r="AH54" i="21"/>
  <c r="AJ54" i="21"/>
  <c r="AK54" i="21" s="1"/>
  <c r="AQ54" i="21"/>
  <c r="Q54" i="21"/>
  <c r="AA54" i="21"/>
  <c r="AB54" i="21" s="1"/>
  <c r="AJ39" i="21"/>
  <c r="AK39" i="21" s="1"/>
  <c r="Q39" i="21"/>
  <c r="AA87" i="21"/>
  <c r="AB87" i="21" s="1"/>
  <c r="S77" i="21"/>
  <c r="AH77" i="21"/>
  <c r="Q77" i="21"/>
  <c r="S65" i="21"/>
  <c r="Q65" i="21"/>
  <c r="AH65" i="21"/>
  <c r="S38" i="21"/>
  <c r="AM38" i="21"/>
  <c r="AQ38" i="21"/>
  <c r="AH38" i="21"/>
  <c r="S52" i="21"/>
  <c r="AH52" i="21"/>
  <c r="AJ52" i="21"/>
  <c r="AK52" i="21" s="1"/>
  <c r="AQ52" i="21"/>
  <c r="Q52" i="21"/>
  <c r="AA52" i="21"/>
  <c r="AB52" i="21" s="1"/>
  <c r="AJ37" i="21"/>
  <c r="AK37" i="21" s="1"/>
  <c r="Q37" i="21"/>
  <c r="S23" i="21"/>
  <c r="AM23" i="21"/>
  <c r="AA23" i="21"/>
  <c r="AB23" i="21" s="1"/>
  <c r="AJ23" i="21"/>
  <c r="AQ23" i="21"/>
  <c r="Q23" i="21"/>
  <c r="S19" i="21"/>
  <c r="AM19" i="21"/>
  <c r="AQ19" i="21"/>
  <c r="Q19" i="21"/>
  <c r="AA19" i="21"/>
  <c r="AB19" i="21" s="1"/>
  <c r="AJ19" i="21"/>
  <c r="S13" i="21"/>
  <c r="AM13" i="21"/>
  <c r="AQ13" i="21"/>
  <c r="Q13" i="21"/>
  <c r="AA13" i="21"/>
  <c r="AB13" i="21" s="1"/>
  <c r="AJ13" i="21"/>
  <c r="AA91" i="21"/>
  <c r="AB91" i="21" s="1"/>
  <c r="S95" i="21"/>
  <c r="AH95" i="21"/>
  <c r="Q95" i="21"/>
  <c r="AA99" i="21"/>
  <c r="AB99" i="21" s="1"/>
  <c r="S103" i="21"/>
  <c r="AH103" i="21"/>
  <c r="Q103" i="21"/>
  <c r="AA107" i="21"/>
  <c r="AB107" i="21" s="1"/>
  <c r="S78" i="21"/>
  <c r="Q78" i="21"/>
  <c r="AH78" i="21"/>
  <c r="R183" i="20"/>
  <c r="T183" i="20" s="1"/>
  <c r="BI183" i="20" s="1"/>
  <c r="AS183" i="20"/>
  <c r="AG116" i="20"/>
  <c r="AI116" i="20" s="1"/>
  <c r="AV116" i="20"/>
  <c r="BL116" i="20" s="1"/>
  <c r="AF86" i="21"/>
  <c r="AF40" i="21"/>
  <c r="S26" i="21"/>
  <c r="AM26" i="21"/>
  <c r="AQ26" i="21"/>
  <c r="Q26" i="21"/>
  <c r="AA26" i="21"/>
  <c r="AB26" i="21" s="1"/>
  <c r="AA69" i="21"/>
  <c r="AB69" i="21" s="1"/>
  <c r="AE69" i="21" s="1"/>
  <c r="AA60" i="21"/>
  <c r="AB60" i="21" s="1"/>
  <c r="AF48" i="21"/>
  <c r="S41" i="21"/>
  <c r="AM41" i="21"/>
  <c r="AQ41" i="21"/>
  <c r="AH41" i="21"/>
  <c r="AA51" i="21"/>
  <c r="AB51" i="21" s="1"/>
  <c r="AF96" i="21"/>
  <c r="AF104" i="21"/>
  <c r="AA73" i="21"/>
  <c r="AB73" i="21" s="1"/>
  <c r="AF79" i="21"/>
  <c r="AF80" i="21"/>
  <c r="AA49" i="21"/>
  <c r="AB49" i="21" s="1"/>
  <c r="AF54" i="21"/>
  <c r="AF39" i="21"/>
  <c r="S28" i="21"/>
  <c r="AM28" i="21"/>
  <c r="AQ28" i="21"/>
  <c r="Q28" i="21"/>
  <c r="AA28" i="21"/>
  <c r="AB28" i="21" s="1"/>
  <c r="AA65" i="21"/>
  <c r="AB65" i="21" s="1"/>
  <c r="Q38" i="21"/>
  <c r="AJ38" i="21"/>
  <c r="AK38" i="21" s="1"/>
  <c r="AF52" i="21"/>
  <c r="AF37" i="21"/>
  <c r="S29" i="21"/>
  <c r="AM29" i="21"/>
  <c r="AQ29" i="21"/>
  <c r="Q29" i="21"/>
  <c r="AA29" i="21"/>
  <c r="AB29" i="21" s="1"/>
  <c r="AA71" i="21"/>
  <c r="AB71" i="21" s="1"/>
  <c r="AF78" i="21"/>
  <c r="AA38" i="21"/>
  <c r="AB38" i="21" s="1"/>
  <c r="AA37" i="21"/>
  <c r="AB37" i="21" s="1"/>
  <c r="C79" i="21"/>
  <c r="B79" i="21" s="1"/>
  <c r="B80" i="21" s="1"/>
  <c r="B70" i="21"/>
  <c r="AJ35" i="21"/>
  <c r="AK35" i="21" s="1"/>
  <c r="Q35" i="21"/>
  <c r="S50" i="21"/>
  <c r="AH50" i="21"/>
  <c r="AJ50" i="21"/>
  <c r="AK50" i="21" s="1"/>
  <c r="AQ50" i="21"/>
  <c r="Q50" i="21"/>
  <c r="AA50" i="21"/>
  <c r="AB50" i="21" s="1"/>
  <c r="S34" i="21"/>
  <c r="AM34" i="21"/>
  <c r="AA34" i="21"/>
  <c r="AB34" i="21" s="1"/>
  <c r="AJ34" i="21"/>
  <c r="AQ34" i="21"/>
  <c r="Q34" i="21"/>
  <c r="AK26" i="21"/>
  <c r="S85" i="21"/>
  <c r="AH85" i="21"/>
  <c r="Q85" i="21"/>
  <c r="S64" i="21"/>
  <c r="Q64" i="21"/>
  <c r="AH64" i="21"/>
  <c r="AG56" i="21"/>
  <c r="S10" i="21"/>
  <c r="AM10" i="21"/>
  <c r="AA10" i="21"/>
  <c r="AB10" i="21" s="1"/>
  <c r="AJ10" i="21"/>
  <c r="AQ10" i="21"/>
  <c r="Q10" i="21"/>
  <c r="S32" i="21"/>
  <c r="AM32" i="21"/>
  <c r="AQ32" i="21"/>
  <c r="Q32" i="21"/>
  <c r="AA32" i="21"/>
  <c r="AB32" i="21" s="1"/>
  <c r="AJ32" i="21"/>
  <c r="S51" i="21"/>
  <c r="AQ51" i="21"/>
  <c r="AH51" i="21"/>
  <c r="AJ51" i="21"/>
  <c r="AK51" i="21" s="1"/>
  <c r="S92" i="21"/>
  <c r="AH92" i="21"/>
  <c r="Q92" i="21"/>
  <c r="AA96" i="21"/>
  <c r="AB96" i="21" s="1"/>
  <c r="S100" i="21"/>
  <c r="AH100" i="21"/>
  <c r="Q100" i="21"/>
  <c r="AA104" i="21"/>
  <c r="AB104" i="21" s="1"/>
  <c r="S108" i="21"/>
  <c r="AH108" i="21"/>
  <c r="Q108" i="21"/>
  <c r="S73" i="21"/>
  <c r="Q73" i="21"/>
  <c r="AH73" i="21"/>
  <c r="S88" i="21"/>
  <c r="AH88" i="21"/>
  <c r="Q88" i="21"/>
  <c r="AA80" i="21"/>
  <c r="AB80" i="21" s="1"/>
  <c r="AJ36" i="21"/>
  <c r="AK36" i="21" s="1"/>
  <c r="Q36" i="21"/>
  <c r="S27" i="21"/>
  <c r="AM27" i="21"/>
  <c r="AQ27" i="21"/>
  <c r="Q27" i="21"/>
  <c r="AA27" i="21"/>
  <c r="AB27" i="21" s="1"/>
  <c r="AJ27" i="21"/>
  <c r="S39" i="21"/>
  <c r="AM39" i="21"/>
  <c r="AH39" i="21"/>
  <c r="AQ39" i="21"/>
  <c r="AK28" i="21"/>
  <c r="S87" i="21"/>
  <c r="AH87" i="21"/>
  <c r="Q87" i="21"/>
  <c r="S61" i="21"/>
  <c r="Q61" i="21"/>
  <c r="AH61" i="21"/>
  <c r="S37" i="21"/>
  <c r="AM37" i="21"/>
  <c r="AH37" i="21"/>
  <c r="AQ37" i="21"/>
  <c r="AK29" i="21"/>
  <c r="S17" i="21"/>
  <c r="AM17" i="21"/>
  <c r="AA17" i="21"/>
  <c r="AB17" i="21" s="1"/>
  <c r="AJ17" i="21"/>
  <c r="AQ17" i="21"/>
  <c r="Q17" i="21"/>
  <c r="AJ42" i="21"/>
  <c r="AK42" i="21" s="1"/>
  <c r="Q42" i="21"/>
  <c r="S46" i="21"/>
  <c r="AQ46" i="21"/>
  <c r="AH46" i="21"/>
  <c r="AJ46" i="21"/>
  <c r="AK46" i="21" s="1"/>
  <c r="S91" i="21"/>
  <c r="AH91" i="21"/>
  <c r="Q91" i="21"/>
  <c r="AA95" i="21"/>
  <c r="AB95" i="21" s="1"/>
  <c r="S99" i="21"/>
  <c r="AH99" i="21"/>
  <c r="Q99" i="21"/>
  <c r="AA103" i="21"/>
  <c r="AB103" i="21" s="1"/>
  <c r="S107" i="21"/>
  <c r="AH107" i="21"/>
  <c r="Q107" i="21"/>
  <c r="S71" i="21"/>
  <c r="Q71" i="21"/>
  <c r="AH71" i="21"/>
  <c r="Q40" i="21"/>
  <c r="AJ40" i="21"/>
  <c r="AK40" i="21" s="1"/>
  <c r="AF50" i="21"/>
  <c r="Y85" i="21"/>
  <c r="Z85" i="21" s="1"/>
  <c r="AF75" i="21"/>
  <c r="AF69" i="21"/>
  <c r="AA64" i="21"/>
  <c r="AB64" i="21" s="1"/>
  <c r="AF60" i="21"/>
  <c r="Q41" i="21"/>
  <c r="AA41" i="21"/>
  <c r="AB41" i="21" s="1"/>
  <c r="S25" i="21"/>
  <c r="AM25" i="21"/>
  <c r="AQ25" i="21"/>
  <c r="Q25" i="21"/>
  <c r="AA25" i="21"/>
  <c r="AB25" i="21" s="1"/>
  <c r="S18" i="21"/>
  <c r="AM18" i="21"/>
  <c r="AQ18" i="21"/>
  <c r="Q18" i="21"/>
  <c r="AA18" i="21"/>
  <c r="AB18" i="21" s="1"/>
  <c r="AF51" i="21"/>
  <c r="AF92" i="21"/>
  <c r="AF100" i="21"/>
  <c r="AF108" i="21"/>
  <c r="AF73" i="21"/>
  <c r="AA79" i="21"/>
  <c r="AB79" i="21" s="1"/>
  <c r="AF88" i="21"/>
  <c r="AF49" i="21"/>
  <c r="AF77" i="21"/>
  <c r="AF65" i="21"/>
  <c r="AA61" i="21"/>
  <c r="AB61" i="21" s="1"/>
  <c r="AF38" i="21"/>
  <c r="S20" i="21"/>
  <c r="AM20" i="21"/>
  <c r="AQ20" i="21"/>
  <c r="Q20" i="21"/>
  <c r="AA20" i="21"/>
  <c r="AB20" i="21" s="1"/>
  <c r="AA46" i="21"/>
  <c r="AB46" i="21" s="1"/>
  <c r="AF95" i="21"/>
  <c r="AF103" i="21"/>
  <c r="AF71" i="21"/>
  <c r="AA78" i="21"/>
  <c r="AB78" i="21" s="1"/>
  <c r="AA35" i="21"/>
  <c r="AB35" i="21" s="1"/>
  <c r="AA39" i="21"/>
  <c r="AB39" i="21" s="1"/>
  <c r="Q46" i="21"/>
  <c r="AF41" i="21"/>
  <c r="Q49" i="21"/>
  <c r="AA42" i="21"/>
  <c r="AB42" i="21" s="1"/>
  <c r="AF203" i="20"/>
  <c r="AG203" i="20" s="1"/>
  <c r="AA161" i="20"/>
  <c r="AB161" i="20" s="1"/>
  <c r="AF134" i="20"/>
  <c r="AG134" i="20" s="1"/>
  <c r="AF208" i="20"/>
  <c r="AG208" i="20" s="1"/>
  <c r="AF150" i="20"/>
  <c r="AG150" i="20" s="1"/>
  <c r="AF117" i="20"/>
  <c r="AG117" i="20" s="1"/>
  <c r="AG183" i="20"/>
  <c r="AV183" i="20"/>
  <c r="BL183" i="20" s="1"/>
  <c r="R143" i="20"/>
  <c r="T143" i="20" s="1"/>
  <c r="AS143" i="20"/>
  <c r="R139" i="20"/>
  <c r="AS139" i="20"/>
  <c r="P61" i="20"/>
  <c r="AM61" i="20" s="1"/>
  <c r="AO83" i="20"/>
  <c r="AP83" i="20" s="1"/>
  <c r="AQ83" i="20"/>
  <c r="AO163" i="20"/>
  <c r="AP163" i="20" s="1"/>
  <c r="S163" i="20"/>
  <c r="U163" i="20"/>
  <c r="V163" i="20" s="1"/>
  <c r="W163" i="20" s="1"/>
  <c r="AD163" i="20"/>
  <c r="AF163" i="20"/>
  <c r="AA163" i="20"/>
  <c r="AB163" i="20" s="1"/>
  <c r="AH163" i="20"/>
  <c r="Q163" i="20"/>
  <c r="AF168" i="20"/>
  <c r="S202" i="20"/>
  <c r="U202" i="20"/>
  <c r="V202" i="20" s="1"/>
  <c r="W202" i="20" s="1"/>
  <c r="AD202" i="20"/>
  <c r="AH202" i="20"/>
  <c r="Q202" i="20"/>
  <c r="AO202" i="20"/>
  <c r="AP202" i="20" s="1"/>
  <c r="AF202" i="20"/>
  <c r="R118" i="20"/>
  <c r="T118" i="20" s="1"/>
  <c r="AS118" i="20"/>
  <c r="AH174" i="20"/>
  <c r="S174" i="20"/>
  <c r="AD174" i="20"/>
  <c r="U174" i="20"/>
  <c r="V174" i="20" s="1"/>
  <c r="W174" i="20" s="1"/>
  <c r="AA174" i="20"/>
  <c r="AB174" i="20" s="1"/>
  <c r="Q174" i="20"/>
  <c r="AO174" i="20"/>
  <c r="AP174" i="20" s="1"/>
  <c r="AF174" i="20"/>
  <c r="S141" i="20"/>
  <c r="AD141" i="20"/>
  <c r="U141" i="20"/>
  <c r="V141" i="20" s="1"/>
  <c r="W141" i="20" s="1"/>
  <c r="Q141" i="20"/>
  <c r="AA141" i="20"/>
  <c r="AB141" i="20" s="1"/>
  <c r="AH141" i="20"/>
  <c r="AF141" i="20"/>
  <c r="AO141" i="20"/>
  <c r="AP141" i="20" s="1"/>
  <c r="S157" i="20"/>
  <c r="U157" i="20"/>
  <c r="V157" i="20" s="1"/>
  <c r="W157" i="20" s="1"/>
  <c r="AD157" i="20"/>
  <c r="AA157" i="20"/>
  <c r="AB157" i="20" s="1"/>
  <c r="AO157" i="20"/>
  <c r="AP157" i="20" s="1"/>
  <c r="AH157" i="20"/>
  <c r="Q157" i="20"/>
  <c r="AF157" i="20"/>
  <c r="S140" i="20"/>
  <c r="AD140" i="20"/>
  <c r="U140" i="20"/>
  <c r="V140" i="20" s="1"/>
  <c r="W140" i="20" s="1"/>
  <c r="AH140" i="20"/>
  <c r="AF140" i="20"/>
  <c r="AA140" i="20"/>
  <c r="AB140" i="20" s="1"/>
  <c r="AO140" i="20"/>
  <c r="AP140" i="20" s="1"/>
  <c r="Q140" i="20"/>
  <c r="AG155" i="20"/>
  <c r="AI155" i="20" s="1"/>
  <c r="BF155" i="20" s="1"/>
  <c r="AV155" i="20"/>
  <c r="BL155" i="20" s="1"/>
  <c r="Q165" i="20"/>
  <c r="S165" i="20"/>
  <c r="AD165" i="20"/>
  <c r="U165" i="20"/>
  <c r="V165" i="20" s="1"/>
  <c r="W165" i="20" s="1"/>
  <c r="AO165" i="20"/>
  <c r="AP165" i="20" s="1"/>
  <c r="AA165" i="20"/>
  <c r="AB165" i="20" s="1"/>
  <c r="AH165" i="20"/>
  <c r="S113" i="20"/>
  <c r="U113" i="20"/>
  <c r="V113" i="20" s="1"/>
  <c r="W113" i="20" s="1"/>
  <c r="AD113" i="20"/>
  <c r="AO113" i="20"/>
  <c r="AP113" i="20" s="1"/>
  <c r="AF113" i="20"/>
  <c r="AH113" i="20"/>
  <c r="Q113" i="20"/>
  <c r="AA113" i="20"/>
  <c r="AB113" i="20" s="1"/>
  <c r="S187" i="20"/>
  <c r="U187" i="20"/>
  <c r="V187" i="20" s="1"/>
  <c r="W187" i="20" s="1"/>
  <c r="AD187" i="20"/>
  <c r="AF187" i="20"/>
  <c r="AH187" i="20"/>
  <c r="Q187" i="20"/>
  <c r="AA187" i="20"/>
  <c r="AB187" i="20" s="1"/>
  <c r="AO187" i="20"/>
  <c r="AP187" i="20" s="1"/>
  <c r="Q176" i="20"/>
  <c r="S176" i="20"/>
  <c r="AD176" i="20"/>
  <c r="U176" i="20"/>
  <c r="V176" i="20" s="1"/>
  <c r="W176" i="20" s="1"/>
  <c r="AH176" i="20"/>
  <c r="AA176" i="20"/>
  <c r="AB176" i="20" s="1"/>
  <c r="AO176" i="20"/>
  <c r="AP176" i="20" s="1"/>
  <c r="AH184" i="20"/>
  <c r="S184" i="20"/>
  <c r="U184" i="20"/>
  <c r="V184" i="20" s="1"/>
  <c r="W184" i="20" s="1"/>
  <c r="AD184" i="20"/>
  <c r="AO184" i="20"/>
  <c r="AP184" i="20" s="1"/>
  <c r="Q184" i="20"/>
  <c r="AF184" i="20"/>
  <c r="AA184" i="20"/>
  <c r="AB184" i="20" s="1"/>
  <c r="S110" i="20"/>
  <c r="U110" i="20"/>
  <c r="V110" i="20" s="1"/>
  <c r="W110" i="20" s="1"/>
  <c r="AD110" i="20"/>
  <c r="AF110" i="20"/>
  <c r="Q110" i="20"/>
  <c r="AO110" i="20"/>
  <c r="AP110" i="20" s="1"/>
  <c r="AA110" i="20"/>
  <c r="AB110" i="20" s="1"/>
  <c r="AH110" i="20"/>
  <c r="S126" i="20"/>
  <c r="U126" i="20"/>
  <c r="V126" i="20" s="1"/>
  <c r="W126" i="20" s="1"/>
  <c r="AD126" i="20"/>
  <c r="AH126" i="20"/>
  <c r="AO126" i="20"/>
  <c r="AP126" i="20" s="1"/>
  <c r="AA126" i="20"/>
  <c r="AB126" i="20" s="1"/>
  <c r="Q126" i="20"/>
  <c r="AF126" i="20"/>
  <c r="S125" i="20"/>
  <c r="AD125" i="20"/>
  <c r="U125" i="20"/>
  <c r="V125" i="20" s="1"/>
  <c r="W125" i="20" s="1"/>
  <c r="AA125" i="20"/>
  <c r="AB125" i="20" s="1"/>
  <c r="AO125" i="20"/>
  <c r="AP125" i="20" s="1"/>
  <c r="AF125" i="20"/>
  <c r="AH125" i="20"/>
  <c r="Q125" i="20"/>
  <c r="S133" i="20"/>
  <c r="U133" i="20"/>
  <c r="V133" i="20" s="1"/>
  <c r="W133" i="20" s="1"/>
  <c r="AD133" i="20"/>
  <c r="AF133" i="20"/>
  <c r="AO133" i="20"/>
  <c r="AP133" i="20" s="1"/>
  <c r="AH133" i="20"/>
  <c r="AA133" i="20"/>
  <c r="AB133" i="20" s="1"/>
  <c r="Q133" i="20"/>
  <c r="S149" i="20"/>
  <c r="U149" i="20"/>
  <c r="V149" i="20" s="1"/>
  <c r="W149" i="20" s="1"/>
  <c r="AD149" i="20"/>
  <c r="AA149" i="20"/>
  <c r="AB149" i="20" s="1"/>
  <c r="AO149" i="20"/>
  <c r="AP149" i="20" s="1"/>
  <c r="AH149" i="20"/>
  <c r="AF149" i="20"/>
  <c r="Q149" i="20"/>
  <c r="S119" i="20"/>
  <c r="U119" i="20"/>
  <c r="V119" i="20" s="1"/>
  <c r="W119" i="20" s="1"/>
  <c r="AD119" i="20"/>
  <c r="AO119" i="20"/>
  <c r="AP119" i="20" s="1"/>
  <c r="Q119" i="20"/>
  <c r="AH119" i="20"/>
  <c r="S209" i="20"/>
  <c r="U209" i="20"/>
  <c r="V209" i="20" s="1"/>
  <c r="W209" i="20" s="1"/>
  <c r="AD209" i="20"/>
  <c r="AH209" i="20"/>
  <c r="AO209" i="20"/>
  <c r="AP209" i="20" s="1"/>
  <c r="AF209" i="20"/>
  <c r="Q209" i="20"/>
  <c r="R173" i="20"/>
  <c r="AS173" i="20"/>
  <c r="S200" i="20"/>
  <c r="U200" i="20"/>
  <c r="V200" i="20" s="1"/>
  <c r="W200" i="20" s="1"/>
  <c r="AD200" i="20"/>
  <c r="AH200" i="20"/>
  <c r="AO200" i="20"/>
  <c r="AP200" i="20" s="1"/>
  <c r="Q200" i="20"/>
  <c r="S177" i="20"/>
  <c r="U177" i="20"/>
  <c r="V177" i="20" s="1"/>
  <c r="W177" i="20" s="1"/>
  <c r="AD177" i="20"/>
  <c r="AH177" i="20"/>
  <c r="AO177" i="20"/>
  <c r="AP177" i="20" s="1"/>
  <c r="AF177" i="20"/>
  <c r="Q177" i="20"/>
  <c r="S186" i="20"/>
  <c r="AD186" i="20"/>
  <c r="U186" i="20"/>
  <c r="V186" i="20" s="1"/>
  <c r="W186" i="20" s="1"/>
  <c r="Q186" i="20"/>
  <c r="AH186" i="20"/>
  <c r="AO186" i="20"/>
  <c r="AP186" i="20" s="1"/>
  <c r="AF186" i="20"/>
  <c r="S194" i="20"/>
  <c r="AD194" i="20"/>
  <c r="U194" i="20"/>
  <c r="V194" i="20" s="1"/>
  <c r="W194" i="20" s="1"/>
  <c r="Q194" i="20"/>
  <c r="AO194" i="20"/>
  <c r="AP194" i="20" s="1"/>
  <c r="AH194" i="20"/>
  <c r="AA194" i="20"/>
  <c r="AB194" i="20" s="1"/>
  <c r="S132" i="20"/>
  <c r="AD132" i="20"/>
  <c r="U132" i="20"/>
  <c r="V132" i="20" s="1"/>
  <c r="W132" i="20" s="1"/>
  <c r="Q132" i="20"/>
  <c r="AO132" i="20"/>
  <c r="AP132" i="20" s="1"/>
  <c r="AF132" i="20"/>
  <c r="AH132" i="20"/>
  <c r="X165" i="20"/>
  <c r="Y165" i="20" s="1"/>
  <c r="Z165" i="20" s="1"/>
  <c r="S198" i="20"/>
  <c r="AD198" i="20"/>
  <c r="U198" i="20"/>
  <c r="V198" i="20" s="1"/>
  <c r="W198" i="20" s="1"/>
  <c r="AO198" i="20"/>
  <c r="AP198" i="20" s="1"/>
  <c r="AH198" i="20"/>
  <c r="Q198" i="20"/>
  <c r="S122" i="20"/>
  <c r="U122" i="20"/>
  <c r="V122" i="20" s="1"/>
  <c r="W122" i="20" s="1"/>
  <c r="AD122" i="20"/>
  <c r="AO122" i="20"/>
  <c r="AP122" i="20" s="1"/>
  <c r="AF122" i="20"/>
  <c r="AH122" i="20"/>
  <c r="Q122" i="20"/>
  <c r="S130" i="20"/>
  <c r="AD130" i="20"/>
  <c r="U130" i="20"/>
  <c r="V130" i="20" s="1"/>
  <c r="W130" i="20" s="1"/>
  <c r="Q130" i="20"/>
  <c r="AH130" i="20"/>
  <c r="AO130" i="20"/>
  <c r="AP130" i="20" s="1"/>
  <c r="AA130" i="20"/>
  <c r="AB130" i="20" s="1"/>
  <c r="S146" i="20"/>
  <c r="AD146" i="20"/>
  <c r="U146" i="20"/>
  <c r="V146" i="20" s="1"/>
  <c r="W146" i="20" s="1"/>
  <c r="Q146" i="20"/>
  <c r="AO146" i="20"/>
  <c r="AP146" i="20" s="1"/>
  <c r="AH146" i="20"/>
  <c r="S162" i="20"/>
  <c r="AD162" i="20"/>
  <c r="U162" i="20"/>
  <c r="V162" i="20" s="1"/>
  <c r="W162" i="20" s="1"/>
  <c r="AO162" i="20"/>
  <c r="AP162" i="20" s="1"/>
  <c r="Q162" i="20"/>
  <c r="AH162" i="20"/>
  <c r="S178" i="20"/>
  <c r="AD178" i="20"/>
  <c r="U178" i="20"/>
  <c r="V178" i="20" s="1"/>
  <c r="W178" i="20" s="1"/>
  <c r="Q178" i="20"/>
  <c r="AA178" i="20"/>
  <c r="AB178" i="20" s="1"/>
  <c r="AH178" i="20"/>
  <c r="AO178" i="20"/>
  <c r="AP178" i="20" s="1"/>
  <c r="S137" i="20"/>
  <c r="U137" i="20"/>
  <c r="V137" i="20" s="1"/>
  <c r="W137" i="20" s="1"/>
  <c r="AD137" i="20"/>
  <c r="Q137" i="20"/>
  <c r="AH137" i="20"/>
  <c r="AF137" i="20"/>
  <c r="AO137" i="20"/>
  <c r="AP137" i="20" s="1"/>
  <c r="S120" i="20"/>
  <c r="U120" i="20"/>
  <c r="V120" i="20" s="1"/>
  <c r="W120" i="20" s="1"/>
  <c r="AD120" i="20"/>
  <c r="AH120" i="20"/>
  <c r="AO120" i="20"/>
  <c r="AP120" i="20" s="1"/>
  <c r="AA120" i="20"/>
  <c r="AB120" i="20" s="1"/>
  <c r="Q120" i="20"/>
  <c r="S136" i="20"/>
  <c r="AD136" i="20"/>
  <c r="U136" i="20"/>
  <c r="V136" i="20" s="1"/>
  <c r="W136" i="20" s="1"/>
  <c r="AO136" i="20"/>
  <c r="AP136" i="20" s="1"/>
  <c r="Q136" i="20"/>
  <c r="AH136" i="20"/>
  <c r="AA136" i="20"/>
  <c r="AB136" i="20" s="1"/>
  <c r="X176" i="20"/>
  <c r="Y176" i="20" s="1"/>
  <c r="Z176" i="20" s="1"/>
  <c r="S127" i="20"/>
  <c r="U127" i="20"/>
  <c r="V127" i="20" s="1"/>
  <c r="W127" i="20" s="1"/>
  <c r="AD127" i="20"/>
  <c r="AO127" i="20"/>
  <c r="AP127" i="20" s="1"/>
  <c r="AH127" i="20"/>
  <c r="AF127" i="20"/>
  <c r="AA127" i="20"/>
  <c r="AB127" i="20" s="1"/>
  <c r="Q127" i="20"/>
  <c r="S201" i="20"/>
  <c r="AD201" i="20"/>
  <c r="U201" i="20"/>
  <c r="V201" i="20" s="1"/>
  <c r="W201" i="20" s="1"/>
  <c r="AH201" i="20"/>
  <c r="AO201" i="20"/>
  <c r="AP201" i="20" s="1"/>
  <c r="Q201" i="20"/>
  <c r="AA201" i="20"/>
  <c r="AB201" i="20" s="1"/>
  <c r="AH148" i="20"/>
  <c r="S148" i="20"/>
  <c r="U148" i="20"/>
  <c r="V148" i="20" s="1"/>
  <c r="W148" i="20" s="1"/>
  <c r="AD148" i="20"/>
  <c r="AO148" i="20"/>
  <c r="AP148" i="20" s="1"/>
  <c r="AF148" i="20"/>
  <c r="AA148" i="20"/>
  <c r="AB148" i="20" s="1"/>
  <c r="Q148" i="20"/>
  <c r="S123" i="20"/>
  <c r="AD123" i="20"/>
  <c r="U123" i="20"/>
  <c r="V123" i="20" s="1"/>
  <c r="W123" i="20" s="1"/>
  <c r="AF123" i="20"/>
  <c r="Q123" i="20"/>
  <c r="AO123" i="20"/>
  <c r="AP123" i="20" s="1"/>
  <c r="AA123" i="20"/>
  <c r="AB123" i="20" s="1"/>
  <c r="AH123" i="20"/>
  <c r="S131" i="20"/>
  <c r="AD131" i="20"/>
  <c r="U131" i="20"/>
  <c r="V131" i="20" s="1"/>
  <c r="W131" i="20" s="1"/>
  <c r="AH131" i="20"/>
  <c r="AO131" i="20"/>
  <c r="AP131" i="20" s="1"/>
  <c r="Q131" i="20"/>
  <c r="AF131" i="20"/>
  <c r="AA131" i="20"/>
  <c r="AB131" i="20" s="1"/>
  <c r="S147" i="20"/>
  <c r="AD147" i="20"/>
  <c r="U147" i="20"/>
  <c r="V147" i="20" s="1"/>
  <c r="W147" i="20" s="1"/>
  <c r="AO147" i="20"/>
  <c r="AP147" i="20" s="1"/>
  <c r="AF147" i="20"/>
  <c r="Q147" i="20"/>
  <c r="AH147" i="20"/>
  <c r="AA147" i="20"/>
  <c r="AB147" i="20" s="1"/>
  <c r="S197" i="20"/>
  <c r="U197" i="20"/>
  <c r="V197" i="20" s="1"/>
  <c r="W197" i="20" s="1"/>
  <c r="AD197" i="20"/>
  <c r="AA197" i="20"/>
  <c r="AB197" i="20" s="1"/>
  <c r="AF197" i="20"/>
  <c r="AH197" i="20"/>
  <c r="AO197" i="20"/>
  <c r="AP197" i="20" s="1"/>
  <c r="Q197" i="20"/>
  <c r="S205" i="20"/>
  <c r="AD205" i="20"/>
  <c r="U205" i="20"/>
  <c r="V205" i="20" s="1"/>
  <c r="W205" i="20" s="1"/>
  <c r="AH205" i="20"/>
  <c r="Q205" i="20"/>
  <c r="AA205" i="20"/>
  <c r="AB205" i="20" s="1"/>
  <c r="AF205" i="20"/>
  <c r="AO205" i="20"/>
  <c r="AP205" i="20" s="1"/>
  <c r="S207" i="20"/>
  <c r="AD207" i="20"/>
  <c r="U207" i="20"/>
  <c r="V207" i="20" s="1"/>
  <c r="W207" i="20" s="1"/>
  <c r="AA207" i="20"/>
  <c r="AB207" i="20" s="1"/>
  <c r="AF207" i="20"/>
  <c r="Q207" i="20"/>
  <c r="AH207" i="20"/>
  <c r="AO207" i="20"/>
  <c r="AP207" i="20" s="1"/>
  <c r="S203" i="20"/>
  <c r="U203" i="20"/>
  <c r="V203" i="20" s="1"/>
  <c r="W203" i="20" s="1"/>
  <c r="AD203" i="20"/>
  <c r="Q203" i="20"/>
  <c r="AH203" i="20"/>
  <c r="AO203" i="20"/>
  <c r="AP203" i="20" s="1"/>
  <c r="AA134" i="20"/>
  <c r="AB134" i="20" s="1"/>
  <c r="R171" i="20"/>
  <c r="T171" i="20" s="1"/>
  <c r="AS171" i="20"/>
  <c r="AJ83" i="20"/>
  <c r="AK83" i="20" s="1"/>
  <c r="AJ85" i="20"/>
  <c r="AK85" i="20" s="1"/>
  <c r="S128" i="20"/>
  <c r="AD128" i="20"/>
  <c r="U128" i="20"/>
  <c r="V128" i="20" s="1"/>
  <c r="W128" i="20" s="1"/>
  <c r="AO128" i="20"/>
  <c r="AP128" i="20" s="1"/>
  <c r="Q128" i="20"/>
  <c r="AA128" i="20"/>
  <c r="AB128" i="20" s="1"/>
  <c r="AH128" i="20"/>
  <c r="AF128" i="20"/>
  <c r="S144" i="20"/>
  <c r="AD144" i="20"/>
  <c r="U144" i="20"/>
  <c r="V144" i="20" s="1"/>
  <c r="W144" i="20" s="1"/>
  <c r="AH144" i="20"/>
  <c r="AF144" i="20"/>
  <c r="AA144" i="20"/>
  <c r="AB144" i="20" s="1"/>
  <c r="AO144" i="20"/>
  <c r="AP144" i="20" s="1"/>
  <c r="Q144" i="20"/>
  <c r="Q168" i="20"/>
  <c r="S168" i="20"/>
  <c r="U168" i="20"/>
  <c r="V168" i="20" s="1"/>
  <c r="W168" i="20" s="1"/>
  <c r="AD168" i="20"/>
  <c r="AH168" i="20"/>
  <c r="AO168" i="20"/>
  <c r="AP168" i="20" s="1"/>
  <c r="AA168" i="20"/>
  <c r="AB168" i="20" s="1"/>
  <c r="S192" i="20"/>
  <c r="AD192" i="20"/>
  <c r="U192" i="20"/>
  <c r="V192" i="20" s="1"/>
  <c r="W192" i="20" s="1"/>
  <c r="AA192" i="20"/>
  <c r="AB192" i="20" s="1"/>
  <c r="AH192" i="20"/>
  <c r="AO192" i="20"/>
  <c r="AP192" i="20" s="1"/>
  <c r="AF192" i="20"/>
  <c r="Q192" i="20"/>
  <c r="S195" i="20"/>
  <c r="U195" i="20"/>
  <c r="V195" i="20" s="1"/>
  <c r="W195" i="20" s="1"/>
  <c r="AD195" i="20"/>
  <c r="AA195" i="20"/>
  <c r="AB195" i="20" s="1"/>
  <c r="AH195" i="20"/>
  <c r="AF195" i="20"/>
  <c r="Q195" i="20"/>
  <c r="AO195" i="20"/>
  <c r="AP195" i="20" s="1"/>
  <c r="S169" i="20"/>
  <c r="U169" i="20"/>
  <c r="V169" i="20" s="1"/>
  <c r="W169" i="20" s="1"/>
  <c r="AD169" i="20"/>
  <c r="AF169" i="20"/>
  <c r="Q169" i="20"/>
  <c r="AA169" i="20"/>
  <c r="AB169" i="20" s="1"/>
  <c r="AO169" i="20"/>
  <c r="AP169" i="20" s="1"/>
  <c r="AH169" i="20"/>
  <c r="S190" i="20"/>
  <c r="AD190" i="20"/>
  <c r="U190" i="20"/>
  <c r="V190" i="20" s="1"/>
  <c r="W190" i="20" s="1"/>
  <c r="AH190" i="20"/>
  <c r="Q190" i="20"/>
  <c r="AA190" i="20"/>
  <c r="AB190" i="20" s="1"/>
  <c r="AF190" i="20"/>
  <c r="AO190" i="20"/>
  <c r="AP190" i="20" s="1"/>
  <c r="S153" i="20"/>
  <c r="U153" i="20"/>
  <c r="V153" i="20" s="1"/>
  <c r="W153" i="20" s="1"/>
  <c r="AD153" i="20"/>
  <c r="AO153" i="20"/>
  <c r="AP153" i="20" s="1"/>
  <c r="AH153" i="20"/>
  <c r="Q153" i="20"/>
  <c r="AF153" i="20"/>
  <c r="AA153" i="20"/>
  <c r="AB153" i="20" s="1"/>
  <c r="Q160" i="20"/>
  <c r="S160" i="20"/>
  <c r="AD160" i="20"/>
  <c r="U160" i="20"/>
  <c r="V160" i="20" s="1"/>
  <c r="W160" i="20" s="1"/>
  <c r="AH160" i="20"/>
  <c r="AO160" i="20"/>
  <c r="AP160" i="20" s="1"/>
  <c r="AF160" i="20"/>
  <c r="S111" i="20"/>
  <c r="AD111" i="20"/>
  <c r="U111" i="20"/>
  <c r="V111" i="20" s="1"/>
  <c r="W111" i="20" s="1"/>
  <c r="AF111" i="20"/>
  <c r="AH111" i="20"/>
  <c r="AO111" i="20"/>
  <c r="AP111" i="20" s="1"/>
  <c r="AA111" i="20"/>
  <c r="AB111" i="20" s="1"/>
  <c r="Q111" i="20"/>
  <c r="S135" i="20"/>
  <c r="U135" i="20"/>
  <c r="V135" i="20" s="1"/>
  <c r="W135" i="20" s="1"/>
  <c r="AD135" i="20"/>
  <c r="Q135" i="20"/>
  <c r="AO135" i="20"/>
  <c r="AP135" i="20" s="1"/>
  <c r="AF135" i="20"/>
  <c r="AH135" i="20"/>
  <c r="AA135" i="20"/>
  <c r="AB135" i="20" s="1"/>
  <c r="S175" i="20"/>
  <c r="AD175" i="20"/>
  <c r="U175" i="20"/>
  <c r="V175" i="20" s="1"/>
  <c r="W175" i="20" s="1"/>
  <c r="Q175" i="20"/>
  <c r="AH175" i="20"/>
  <c r="AO175" i="20"/>
  <c r="AP175" i="20" s="1"/>
  <c r="AF175" i="20"/>
  <c r="S114" i="20"/>
  <c r="AD114" i="20"/>
  <c r="U114" i="20"/>
  <c r="V114" i="20" s="1"/>
  <c r="W114" i="20" s="1"/>
  <c r="Q114" i="20"/>
  <c r="AF114" i="20"/>
  <c r="AH114" i="20"/>
  <c r="AA114" i="20"/>
  <c r="AB114" i="20" s="1"/>
  <c r="AO114" i="20"/>
  <c r="AP114" i="20" s="1"/>
  <c r="S138" i="20"/>
  <c r="AD138" i="20"/>
  <c r="U138" i="20"/>
  <c r="V138" i="20" s="1"/>
  <c r="W138" i="20" s="1"/>
  <c r="AF138" i="20"/>
  <c r="AH138" i="20"/>
  <c r="Q138" i="20"/>
  <c r="AA138" i="20"/>
  <c r="AB138" i="20" s="1"/>
  <c r="AO138" i="20"/>
  <c r="AP138" i="20" s="1"/>
  <c r="S154" i="20"/>
  <c r="AD154" i="20"/>
  <c r="U154" i="20"/>
  <c r="V154" i="20" s="1"/>
  <c r="W154" i="20" s="1"/>
  <c r="AO154" i="20"/>
  <c r="AP154" i="20" s="1"/>
  <c r="AA154" i="20"/>
  <c r="AB154" i="20" s="1"/>
  <c r="AF154" i="20"/>
  <c r="Q154" i="20"/>
  <c r="AH154" i="20"/>
  <c r="S170" i="20"/>
  <c r="AD170" i="20"/>
  <c r="U170" i="20"/>
  <c r="V170" i="20" s="1"/>
  <c r="W170" i="20" s="1"/>
  <c r="AO170" i="20"/>
  <c r="AP170" i="20" s="1"/>
  <c r="AA170" i="20"/>
  <c r="AB170" i="20" s="1"/>
  <c r="AF170" i="20"/>
  <c r="Q170" i="20"/>
  <c r="AH170" i="20"/>
  <c r="S121" i="20"/>
  <c r="U121" i="20"/>
  <c r="V121" i="20" s="1"/>
  <c r="W121" i="20" s="1"/>
  <c r="AD121" i="20"/>
  <c r="AO121" i="20"/>
  <c r="AP121" i="20" s="1"/>
  <c r="AH121" i="20"/>
  <c r="AF121" i="20"/>
  <c r="AA121" i="20"/>
  <c r="AB121" i="20" s="1"/>
  <c r="Q121" i="20"/>
  <c r="S129" i="20"/>
  <c r="U129" i="20"/>
  <c r="V129" i="20" s="1"/>
  <c r="W129" i="20" s="1"/>
  <c r="AD129" i="20"/>
  <c r="AF129" i="20"/>
  <c r="Q129" i="20"/>
  <c r="AH129" i="20"/>
  <c r="AO129" i="20"/>
  <c r="AP129" i="20" s="1"/>
  <c r="AA129" i="20"/>
  <c r="AB129" i="20" s="1"/>
  <c r="S145" i="20"/>
  <c r="U145" i="20"/>
  <c r="V145" i="20" s="1"/>
  <c r="W145" i="20" s="1"/>
  <c r="AD145" i="20"/>
  <c r="AH145" i="20"/>
  <c r="AO145" i="20"/>
  <c r="AP145" i="20" s="1"/>
  <c r="Q145" i="20"/>
  <c r="AA145" i="20"/>
  <c r="AB145" i="20" s="1"/>
  <c r="AF145" i="20"/>
  <c r="S112" i="20"/>
  <c r="AD112" i="20"/>
  <c r="U112" i="20"/>
  <c r="V112" i="20" s="1"/>
  <c r="W112" i="20" s="1"/>
  <c r="AO112" i="20"/>
  <c r="AP112" i="20" s="1"/>
  <c r="AF112" i="20"/>
  <c r="AH112" i="20"/>
  <c r="Q112" i="20"/>
  <c r="X202" i="20"/>
  <c r="Y202" i="20" s="1"/>
  <c r="Z202" i="20" s="1"/>
  <c r="AG118" i="20"/>
  <c r="AV118" i="20"/>
  <c r="BL118" i="20" s="1"/>
  <c r="S142" i="20"/>
  <c r="U142" i="20"/>
  <c r="V142" i="20" s="1"/>
  <c r="W142" i="20" s="1"/>
  <c r="AD142" i="20"/>
  <c r="AH142" i="20"/>
  <c r="AO142" i="20"/>
  <c r="AP142" i="20" s="1"/>
  <c r="AA142" i="20"/>
  <c r="AB142" i="20" s="1"/>
  <c r="Q142" i="20"/>
  <c r="AH158" i="20"/>
  <c r="S158" i="20"/>
  <c r="AD158" i="20"/>
  <c r="U158" i="20"/>
  <c r="V158" i="20" s="1"/>
  <c r="W158" i="20" s="1"/>
  <c r="AO158" i="20"/>
  <c r="AP158" i="20" s="1"/>
  <c r="Q158" i="20"/>
  <c r="AA158" i="20"/>
  <c r="AB158" i="20" s="1"/>
  <c r="S189" i="20"/>
  <c r="AD189" i="20"/>
  <c r="U189" i="20"/>
  <c r="V189" i="20" s="1"/>
  <c r="W189" i="20" s="1"/>
  <c r="AH189" i="20"/>
  <c r="Q189" i="20"/>
  <c r="AO189" i="20"/>
  <c r="AP189" i="20" s="1"/>
  <c r="AF189" i="20"/>
  <c r="X160" i="20"/>
  <c r="Y160" i="20" s="1"/>
  <c r="Z160" i="20" s="1"/>
  <c r="X175" i="20"/>
  <c r="Y175" i="20" s="1"/>
  <c r="Z175" i="20" s="1"/>
  <c r="S185" i="20"/>
  <c r="U185" i="20"/>
  <c r="V185" i="20" s="1"/>
  <c r="W185" i="20" s="1"/>
  <c r="AD185" i="20"/>
  <c r="AH185" i="20"/>
  <c r="AO185" i="20"/>
  <c r="AP185" i="20" s="1"/>
  <c r="Q185" i="20"/>
  <c r="AG193" i="20"/>
  <c r="AI193" i="20" s="1"/>
  <c r="BF193" i="20" s="1"/>
  <c r="AV193" i="20"/>
  <c r="BL193" i="20" s="1"/>
  <c r="S124" i="20"/>
  <c r="U124" i="20"/>
  <c r="V124" i="20" s="1"/>
  <c r="W124" i="20" s="1"/>
  <c r="AD124" i="20"/>
  <c r="Q124" i="20"/>
  <c r="AA124" i="20"/>
  <c r="AB124" i="20" s="1"/>
  <c r="AO124" i="20"/>
  <c r="AP124" i="20" s="1"/>
  <c r="AH124" i="20"/>
  <c r="AF124" i="20"/>
  <c r="AH164" i="20"/>
  <c r="S164" i="20"/>
  <c r="U164" i="20"/>
  <c r="V164" i="20" s="1"/>
  <c r="W164" i="20" s="1"/>
  <c r="AD164" i="20"/>
  <c r="AO164" i="20"/>
  <c r="AP164" i="20" s="1"/>
  <c r="Q164" i="20"/>
  <c r="AF164" i="20"/>
  <c r="AA164" i="20"/>
  <c r="AB164" i="20" s="1"/>
  <c r="S180" i="20"/>
  <c r="AD180" i="20"/>
  <c r="U180" i="20"/>
  <c r="V180" i="20" s="1"/>
  <c r="W180" i="20" s="1"/>
  <c r="AF180" i="20"/>
  <c r="AH180" i="20"/>
  <c r="AO180" i="20"/>
  <c r="AP180" i="20" s="1"/>
  <c r="AA180" i="20"/>
  <c r="AB180" i="20" s="1"/>
  <c r="Q180" i="20"/>
  <c r="AH182" i="20"/>
  <c r="S182" i="20"/>
  <c r="AD182" i="20"/>
  <c r="U182" i="20"/>
  <c r="V182" i="20" s="1"/>
  <c r="W182" i="20" s="1"/>
  <c r="AO182" i="20"/>
  <c r="AP182" i="20" s="1"/>
  <c r="AF182" i="20"/>
  <c r="AA182" i="20"/>
  <c r="AB182" i="20" s="1"/>
  <c r="Q182" i="20"/>
  <c r="X184" i="20"/>
  <c r="Y184" i="20" s="1"/>
  <c r="Z184" i="20" s="1"/>
  <c r="S208" i="20"/>
  <c r="AD208" i="20"/>
  <c r="U208" i="20"/>
  <c r="V208" i="20" s="1"/>
  <c r="W208" i="20" s="1"/>
  <c r="Q208" i="20"/>
  <c r="AH208" i="20"/>
  <c r="AO208" i="20"/>
  <c r="AP208" i="20" s="1"/>
  <c r="S161" i="20"/>
  <c r="AD161" i="20"/>
  <c r="U161" i="20"/>
  <c r="V161" i="20" s="1"/>
  <c r="W161" i="20" s="1"/>
  <c r="AO161" i="20"/>
  <c r="AP161" i="20" s="1"/>
  <c r="AH161" i="20"/>
  <c r="Q161" i="20"/>
  <c r="S134" i="20"/>
  <c r="U134" i="20"/>
  <c r="V134" i="20" s="1"/>
  <c r="W134" i="20" s="1"/>
  <c r="AD134" i="20"/>
  <c r="Q134" i="20"/>
  <c r="AH134" i="20"/>
  <c r="AO134" i="20"/>
  <c r="AP134" i="20" s="1"/>
  <c r="S150" i="20"/>
  <c r="AD150" i="20"/>
  <c r="U150" i="20"/>
  <c r="V150" i="20" s="1"/>
  <c r="W150" i="20" s="1"/>
  <c r="AH150" i="20"/>
  <c r="AO150" i="20"/>
  <c r="AP150" i="20" s="1"/>
  <c r="Q150" i="20"/>
  <c r="AH166" i="20"/>
  <c r="S166" i="20"/>
  <c r="AD166" i="20"/>
  <c r="U166" i="20"/>
  <c r="V166" i="20" s="1"/>
  <c r="W166" i="20" s="1"/>
  <c r="Q166" i="20"/>
  <c r="AO166" i="20"/>
  <c r="AP166" i="20" s="1"/>
  <c r="S117" i="20"/>
  <c r="U117" i="20"/>
  <c r="V117" i="20" s="1"/>
  <c r="W117" i="20" s="1"/>
  <c r="AD117" i="20"/>
  <c r="AH117" i="20"/>
  <c r="AO117" i="20"/>
  <c r="AP117" i="20" s="1"/>
  <c r="Q117" i="20"/>
  <c r="AG171" i="20"/>
  <c r="AI171" i="20" s="1"/>
  <c r="AV171" i="20"/>
  <c r="BL171" i="20" s="1"/>
  <c r="X148" i="20"/>
  <c r="Y148" i="20" s="1"/>
  <c r="Z148" i="20" s="1"/>
  <c r="X164" i="20"/>
  <c r="Y164" i="20" s="1"/>
  <c r="Z164" i="20" s="1"/>
  <c r="S115" i="20"/>
  <c r="U115" i="20"/>
  <c r="V115" i="20" s="1"/>
  <c r="W115" i="20" s="1"/>
  <c r="AD115" i="20"/>
  <c r="AH115" i="20"/>
  <c r="AO115" i="20"/>
  <c r="AP115" i="20" s="1"/>
  <c r="Q115" i="20"/>
  <c r="AF115" i="20"/>
  <c r="S188" i="20"/>
  <c r="U188" i="20"/>
  <c r="V188" i="20" s="1"/>
  <c r="W188" i="20" s="1"/>
  <c r="AD188" i="20"/>
  <c r="AO188" i="20"/>
  <c r="AP188" i="20" s="1"/>
  <c r="Q188" i="20"/>
  <c r="AH188" i="20"/>
  <c r="R191" i="20"/>
  <c r="AS191" i="20"/>
  <c r="Q199" i="20"/>
  <c r="S199" i="20"/>
  <c r="U199" i="20"/>
  <c r="V199" i="20" s="1"/>
  <c r="W199" i="20" s="1"/>
  <c r="AD199" i="20"/>
  <c r="AO199" i="20"/>
  <c r="AP199" i="20" s="1"/>
  <c r="AH199" i="20"/>
  <c r="AF199" i="20"/>
  <c r="P37" i="20"/>
  <c r="AO37" i="20" s="1"/>
  <c r="AP37" i="20" s="1"/>
  <c r="P54" i="20"/>
  <c r="AQ54" i="20" s="1"/>
  <c r="P49" i="20"/>
  <c r="AM49" i="20" s="1"/>
  <c r="P57" i="20"/>
  <c r="AM57" i="20" s="1"/>
  <c r="P41" i="20"/>
  <c r="AM41" i="20" s="1"/>
  <c r="P38" i="20"/>
  <c r="AO38" i="20" s="1"/>
  <c r="AP38" i="20" s="1"/>
  <c r="P50" i="20"/>
  <c r="AQ50" i="20" s="1"/>
  <c r="P34" i="20"/>
  <c r="AF34" i="20" s="1"/>
  <c r="AG34" i="20" s="1"/>
  <c r="P42" i="20"/>
  <c r="AM42" i="20" s="1"/>
  <c r="P45" i="20"/>
  <c r="AM45" i="20" s="1"/>
  <c r="P46" i="20"/>
  <c r="AJ46" i="20" s="1"/>
  <c r="AK46" i="20" s="1"/>
  <c r="P58" i="20"/>
  <c r="AM58" i="20" s="1"/>
  <c r="P53" i="20"/>
  <c r="AO53" i="20" s="1"/>
  <c r="AP53" i="20" s="1"/>
  <c r="AD67" i="20"/>
  <c r="AH76" i="20"/>
  <c r="S60" i="20"/>
  <c r="AD84" i="20"/>
  <c r="X100" i="20"/>
  <c r="Y100" i="20" s="1"/>
  <c r="Z100" i="20" s="1"/>
  <c r="AA60" i="20"/>
  <c r="AB60" i="20" s="1"/>
  <c r="AA76" i="20"/>
  <c r="AB76" i="20" s="1"/>
  <c r="AA92" i="20"/>
  <c r="AB92" i="20" s="1"/>
  <c r="AA108" i="20"/>
  <c r="AB108" i="20" s="1"/>
  <c r="Q67" i="20"/>
  <c r="AS67" i="20" s="1"/>
  <c r="Q60" i="20"/>
  <c r="AS60" i="20" s="1"/>
  <c r="AF68" i="20"/>
  <c r="Q76" i="20"/>
  <c r="AS76" i="20" s="1"/>
  <c r="AF84" i="20"/>
  <c r="AG84" i="20" s="1"/>
  <c r="Q92" i="20"/>
  <c r="AS92" i="20" s="1"/>
  <c r="AF100" i="20"/>
  <c r="AV100" i="20" s="1"/>
  <c r="BL100" i="20" s="1"/>
  <c r="Q108" i="20"/>
  <c r="AS108" i="20" s="1"/>
  <c r="AA67" i="20"/>
  <c r="AB67" i="20" s="1"/>
  <c r="AF75" i="20"/>
  <c r="AG75" i="20" s="1"/>
  <c r="AQ67" i="20"/>
  <c r="AQ71" i="20"/>
  <c r="AO71" i="20"/>
  <c r="AP71" i="20" s="1"/>
  <c r="AQ79" i="20"/>
  <c r="AO79" i="20"/>
  <c r="AP79" i="20" s="1"/>
  <c r="AJ80" i="20"/>
  <c r="AK80" i="20" s="1"/>
  <c r="AO80" i="20"/>
  <c r="AP80" i="20" s="1"/>
  <c r="AQ73" i="20"/>
  <c r="AJ71" i="20"/>
  <c r="AK71" i="20" s="1"/>
  <c r="AJ79" i="20"/>
  <c r="AK79" i="20" s="1"/>
  <c r="AQ77" i="20"/>
  <c r="AJ68" i="20"/>
  <c r="AK68" i="20" s="1"/>
  <c r="AJ76" i="20"/>
  <c r="AK76" i="20" s="1"/>
  <c r="AO68" i="20"/>
  <c r="AP68" i="20" s="1"/>
  <c r="AO76" i="20"/>
  <c r="AP76" i="20" s="1"/>
  <c r="AJ75" i="20"/>
  <c r="AK75" i="20" s="1"/>
  <c r="AO75" i="20"/>
  <c r="AP75" i="20" s="1"/>
  <c r="AR75" i="20" s="1"/>
  <c r="AL54" i="20"/>
  <c r="AL57" i="20"/>
  <c r="AL58" i="20"/>
  <c r="AL46" i="20"/>
  <c r="AL43" i="20"/>
  <c r="AL39" i="20"/>
  <c r="AL40" i="20"/>
  <c r="AL48" i="20"/>
  <c r="AL56" i="20"/>
  <c r="AL51" i="20"/>
  <c r="AL49" i="20"/>
  <c r="AL44" i="20"/>
  <c r="AL52" i="20"/>
  <c r="AL47" i="20"/>
  <c r="AL55" i="20"/>
  <c r="AL45" i="20"/>
  <c r="AL41" i="20"/>
  <c r="AL42" i="20"/>
  <c r="AL50" i="20"/>
  <c r="AO22" i="20"/>
  <c r="AP22" i="20" s="1"/>
  <c r="AO40" i="20"/>
  <c r="AP40" i="20" s="1"/>
  <c r="AM40" i="20"/>
  <c r="AQ40" i="20"/>
  <c r="AJ40" i="20"/>
  <c r="AK40" i="20" s="1"/>
  <c r="AJ109" i="20"/>
  <c r="AF22" i="20"/>
  <c r="AG22" i="20" s="1"/>
  <c r="AA22" i="20"/>
  <c r="AB22" i="20" s="1"/>
  <c r="M21" i="20"/>
  <c r="AC21" i="20" s="1"/>
  <c r="M13" i="20"/>
  <c r="AC13" i="20" s="1"/>
  <c r="M26" i="20"/>
  <c r="AQ20" i="20"/>
  <c r="AA20" i="20"/>
  <c r="AB20" i="20" s="1"/>
  <c r="M10" i="20"/>
  <c r="AC10" i="20" s="1"/>
  <c r="M14" i="20"/>
  <c r="AC14" i="20" s="1"/>
  <c r="M31" i="20"/>
  <c r="AC31" i="20" s="1"/>
  <c r="M33" i="20"/>
  <c r="AC33" i="20" s="1"/>
  <c r="M18" i="20"/>
  <c r="AC18" i="20" s="1"/>
  <c r="M17" i="20"/>
  <c r="AC17" i="20" s="1"/>
  <c r="M25" i="20"/>
  <c r="AC25" i="20" s="1"/>
  <c r="M29" i="20"/>
  <c r="AC29" i="20" s="1"/>
  <c r="M30" i="20"/>
  <c r="AQ9" i="20"/>
  <c r="AA9" i="20"/>
  <c r="AB9" i="20" s="1"/>
  <c r="AE9" i="20" s="1"/>
  <c r="Q22" i="20"/>
  <c r="AS22" i="20" s="1"/>
  <c r="AJ9" i="20"/>
  <c r="AK9" i="20" s="1"/>
  <c r="Q9" i="20"/>
  <c r="B68" i="20"/>
  <c r="B69" i="20" s="1"/>
  <c r="S67" i="20"/>
  <c r="S51" i="20"/>
  <c r="S100" i="20"/>
  <c r="AD95" i="20"/>
  <c r="AD91" i="20"/>
  <c r="AD100" i="20"/>
  <c r="AD87" i="20"/>
  <c r="U92" i="20"/>
  <c r="V92" i="20" s="1"/>
  <c r="W92" i="20" s="1"/>
  <c r="X92" i="20"/>
  <c r="Y92" i="20" s="1"/>
  <c r="Z92" i="20" s="1"/>
  <c r="S92" i="20"/>
  <c r="AD92" i="20"/>
  <c r="U108" i="20"/>
  <c r="V108" i="20" s="1"/>
  <c r="W108" i="20" s="1"/>
  <c r="S108" i="20"/>
  <c r="X68" i="20"/>
  <c r="Y68" i="20" s="1"/>
  <c r="Z68" i="20" s="1"/>
  <c r="S68" i="20"/>
  <c r="S99" i="20"/>
  <c r="AD68" i="20"/>
  <c r="AH92" i="20"/>
  <c r="AH108" i="20"/>
  <c r="S27" i="20"/>
  <c r="U76" i="20"/>
  <c r="V76" i="20" s="1"/>
  <c r="W76" i="20" s="1"/>
  <c r="S76" i="20"/>
  <c r="S95" i="20"/>
  <c r="AD56" i="20"/>
  <c r="AD99" i="20"/>
  <c r="AH99" i="20"/>
  <c r="AD75" i="20"/>
  <c r="AG40" i="20"/>
  <c r="U40" i="20"/>
  <c r="V40" i="20" s="1"/>
  <c r="W40" i="20" s="1"/>
  <c r="AH40" i="20"/>
  <c r="U60" i="20"/>
  <c r="V60" i="20" s="1"/>
  <c r="W60" i="20" s="1"/>
  <c r="AH60" i="20"/>
  <c r="AD60" i="20"/>
  <c r="AH71" i="20"/>
  <c r="AD71" i="20"/>
  <c r="S91" i="20"/>
  <c r="S71" i="20"/>
  <c r="S87" i="20"/>
  <c r="S84" i="20"/>
  <c r="AD40" i="20"/>
  <c r="S40" i="20"/>
  <c r="U22" i="20"/>
  <c r="V22" i="20" s="1"/>
  <c r="W22" i="20" s="1"/>
  <c r="AH22" i="20"/>
  <c r="AD51" i="20"/>
  <c r="U51" i="20"/>
  <c r="V51" i="20" s="1"/>
  <c r="W51" i="20" s="1"/>
  <c r="U67" i="20"/>
  <c r="V67" i="20" s="1"/>
  <c r="W67" i="20" s="1"/>
  <c r="AD79" i="20"/>
  <c r="U79" i="20"/>
  <c r="V79" i="20" s="1"/>
  <c r="W79" i="20" s="1"/>
  <c r="U91" i="20"/>
  <c r="V91" i="20" s="1"/>
  <c r="W91" i="20" s="1"/>
  <c r="AH27" i="20"/>
  <c r="U27" i="20"/>
  <c r="V27" i="20" s="1"/>
  <c r="W27" i="20" s="1"/>
  <c r="X40" i="20"/>
  <c r="Y40" i="20" s="1"/>
  <c r="Z40" i="20" s="1"/>
  <c r="X60" i="20"/>
  <c r="Y60" i="20" s="1"/>
  <c r="Z60" i="20" s="1"/>
  <c r="X76" i="20"/>
  <c r="Y76" i="20" s="1"/>
  <c r="Z76" i="20" s="1"/>
  <c r="AH84" i="20"/>
  <c r="U84" i="20"/>
  <c r="V84" i="20" s="1"/>
  <c r="W84" i="20" s="1"/>
  <c r="X108" i="20"/>
  <c r="Y108" i="20" s="1"/>
  <c r="Z108" i="20" s="1"/>
  <c r="U55" i="20"/>
  <c r="V55" i="20" s="1"/>
  <c r="W55" i="20" s="1"/>
  <c r="U71" i="20"/>
  <c r="V71" i="20" s="1"/>
  <c r="W71" i="20" s="1"/>
  <c r="X22" i="20"/>
  <c r="Y22" i="20" s="1"/>
  <c r="Z22" i="20" s="1"/>
  <c r="X27" i="20"/>
  <c r="Y27" i="20" s="1"/>
  <c r="Z27" i="20" s="1"/>
  <c r="X84" i="20"/>
  <c r="Y84" i="20" s="1"/>
  <c r="Z84" i="20" s="1"/>
  <c r="AH100" i="20"/>
  <c r="U100" i="20"/>
  <c r="V100" i="20" s="1"/>
  <c r="W100" i="20" s="1"/>
  <c r="X51" i="20"/>
  <c r="Y51" i="20" s="1"/>
  <c r="Z51" i="20" s="1"/>
  <c r="X71" i="20"/>
  <c r="Y71" i="20" s="1"/>
  <c r="Z71" i="20" s="1"/>
  <c r="X91" i="20"/>
  <c r="Y91" i="20" s="1"/>
  <c r="Z91" i="20" s="1"/>
  <c r="U103" i="20"/>
  <c r="V103" i="20" s="1"/>
  <c r="W103" i="20" s="1"/>
  <c r="AH10" i="20"/>
  <c r="U75" i="20"/>
  <c r="V75" i="20" s="1"/>
  <c r="W75" i="20" s="1"/>
  <c r="U87" i="20"/>
  <c r="V87" i="20" s="1"/>
  <c r="W87" i="20" s="1"/>
  <c r="AH11" i="20"/>
  <c r="U99" i="20"/>
  <c r="V99" i="20" s="1"/>
  <c r="W99" i="20" s="1"/>
  <c r="X75" i="20"/>
  <c r="Y75" i="20" s="1"/>
  <c r="Z75" i="20" s="1"/>
  <c r="X79" i="20"/>
  <c r="Y79" i="20" s="1"/>
  <c r="Z79" i="20" s="1"/>
  <c r="X103" i="20"/>
  <c r="Y103" i="20" s="1"/>
  <c r="Z103" i="20" s="1"/>
  <c r="U9" i="20"/>
  <c r="V9" i="20" s="1"/>
  <c r="W9" i="20" s="1"/>
  <c r="AH68" i="20"/>
  <c r="U68" i="20"/>
  <c r="V68" i="20" s="1"/>
  <c r="W68" i="20" s="1"/>
  <c r="X55" i="20"/>
  <c r="Y55" i="20" s="1"/>
  <c r="Z55" i="20" s="1"/>
  <c r="X67" i="20"/>
  <c r="Y67" i="20" s="1"/>
  <c r="Z67" i="20" s="1"/>
  <c r="X87" i="20"/>
  <c r="Y87" i="20" s="1"/>
  <c r="Z87" i="20" s="1"/>
  <c r="X95" i="20"/>
  <c r="Y95" i="20" s="1"/>
  <c r="Z95" i="20" s="1"/>
  <c r="AD59" i="20"/>
  <c r="AH9" i="20"/>
  <c r="AH91" i="20"/>
  <c r="AH51" i="20"/>
  <c r="AH67" i="20"/>
  <c r="AH79" i="20"/>
  <c r="AH95" i="20"/>
  <c r="AB95" i="20"/>
  <c r="R103" i="20"/>
  <c r="AH103" i="20"/>
  <c r="AH75" i="20"/>
  <c r="R87" i="20"/>
  <c r="AH87" i="20"/>
  <c r="AL11" i="20"/>
  <c r="AL13" i="20"/>
  <c r="AL15" i="20"/>
  <c r="AL17" i="20"/>
  <c r="AL19" i="20"/>
  <c r="AL21" i="20"/>
  <c r="AL23" i="20"/>
  <c r="AL25" i="20"/>
  <c r="AL27" i="20"/>
  <c r="AL29" i="20"/>
  <c r="AL31" i="20"/>
  <c r="AL33" i="20"/>
  <c r="AL35" i="20"/>
  <c r="AL37" i="20"/>
  <c r="AL10" i="20"/>
  <c r="AL12" i="20"/>
  <c r="AL14" i="20"/>
  <c r="AL16" i="20"/>
  <c r="AL18" i="20"/>
  <c r="AL20" i="20"/>
  <c r="AL22" i="20"/>
  <c r="AL24" i="20"/>
  <c r="AL26" i="20"/>
  <c r="AL28" i="20"/>
  <c r="AL30" i="20"/>
  <c r="AL32" i="20"/>
  <c r="AL34" i="20"/>
  <c r="AL36" i="20"/>
  <c r="AL38" i="20"/>
  <c r="AL9" i="20"/>
  <c r="S20" i="20"/>
  <c r="AM20" i="20"/>
  <c r="S9" i="20"/>
  <c r="AM9" i="20"/>
  <c r="S22" i="20"/>
  <c r="AM22" i="20"/>
  <c r="E84" i="2"/>
  <c r="B70" i="20"/>
  <c r="C79" i="20"/>
  <c r="B79" i="20" s="1"/>
  <c r="B80" i="20" s="1"/>
  <c r="G594" i="17"/>
  <c r="E316" i="2"/>
  <c r="B192" i="2"/>
  <c r="B193" i="2" s="1"/>
  <c r="B187" i="2"/>
  <c r="B188" i="2" s="1"/>
  <c r="E50" i="1" s="1"/>
  <c r="B83" i="2"/>
  <c r="D30" i="1" s="1"/>
  <c r="B84" i="2"/>
  <c r="F83" i="2"/>
  <c r="F84" i="2"/>
  <c r="E83" i="2"/>
  <c r="B133" i="2"/>
  <c r="B179" i="2"/>
  <c r="F267" i="2"/>
  <c r="F178" i="2"/>
  <c r="B128" i="2"/>
  <c r="H133" i="2" s="1"/>
  <c r="B269" i="2"/>
  <c r="J78" i="1" s="1"/>
  <c r="N104" i="2"/>
  <c r="H44" i="17"/>
  <c r="B267" i="2"/>
  <c r="H107" i="17"/>
  <c r="H571" i="17"/>
  <c r="H93" i="17"/>
  <c r="H407" i="17"/>
  <c r="H247" i="17"/>
  <c r="H305" i="17"/>
  <c r="G484" i="17"/>
  <c r="G582" i="17"/>
  <c r="G59" i="17"/>
  <c r="H362" i="17"/>
  <c r="G367" i="17"/>
  <c r="G49" i="17"/>
  <c r="H561" i="17"/>
  <c r="H350" i="17"/>
  <c r="H292" i="17"/>
  <c r="G491" i="17"/>
  <c r="G34" i="17"/>
  <c r="H152" i="17"/>
  <c r="H54" i="17"/>
  <c r="H315" i="17"/>
  <c r="H105" i="17"/>
  <c r="G490" i="17"/>
  <c r="H448" i="17"/>
  <c r="G533" i="17"/>
  <c r="H172" i="17"/>
  <c r="G177" i="17"/>
  <c r="H433" i="17"/>
  <c r="G352" i="17"/>
  <c r="G94" i="17"/>
  <c r="G269" i="17"/>
  <c r="H35" i="17"/>
  <c r="G455" i="17"/>
  <c r="H364" i="17"/>
  <c r="G176" i="17"/>
  <c r="H546" i="17"/>
  <c r="G326" i="17"/>
  <c r="H194" i="17"/>
  <c r="H284" i="17"/>
  <c r="G427" i="17"/>
  <c r="H182" i="17"/>
  <c r="G187" i="17"/>
  <c r="H443" i="17"/>
  <c r="G362" i="17"/>
  <c r="G106" i="17"/>
  <c r="G281" i="17"/>
  <c r="H597" i="17"/>
  <c r="G248" i="17"/>
  <c r="H576" i="17"/>
  <c r="G469" i="17"/>
  <c r="G597" i="17"/>
  <c r="H108" i="17"/>
  <c r="H236" i="17"/>
  <c r="G113" i="17"/>
  <c r="G241" i="17"/>
  <c r="H369" i="17"/>
  <c r="H497" i="17"/>
  <c r="G288" i="17"/>
  <c r="G416" i="17"/>
  <c r="H221" i="17"/>
  <c r="G222" i="17"/>
  <c r="H478" i="17"/>
  <c r="G397" i="17"/>
  <c r="G548" i="17"/>
  <c r="G36" i="17"/>
  <c r="H548" i="17"/>
  <c r="G583" i="17"/>
  <c r="G108" i="17"/>
  <c r="G283" i="17"/>
  <c r="H600" i="17"/>
  <c r="H175" i="17"/>
  <c r="G454" i="17"/>
  <c r="H290" i="17"/>
  <c r="H33" i="17"/>
  <c r="H535" i="17"/>
  <c r="G199" i="17"/>
  <c r="H25" i="17"/>
  <c r="G54" i="17"/>
  <c r="G21" i="17"/>
  <c r="H57" i="17"/>
  <c r="H118" i="17"/>
  <c r="H246" i="17"/>
  <c r="G123" i="17"/>
  <c r="G251" i="17"/>
  <c r="H379" i="17"/>
  <c r="H507" i="17"/>
  <c r="G298" i="17"/>
  <c r="G426" i="17"/>
  <c r="H233" i="17"/>
  <c r="G234" i="17"/>
  <c r="H490" i="17"/>
  <c r="G409" i="17"/>
  <c r="G554" i="17"/>
  <c r="H119" i="17"/>
  <c r="G120" i="17"/>
  <c r="H376" i="17"/>
  <c r="H512" i="17"/>
  <c r="G303" i="17"/>
  <c r="G431" i="17"/>
  <c r="G501" i="17"/>
  <c r="G565" i="17"/>
  <c r="H626" i="17"/>
  <c r="H76" i="17"/>
  <c r="H140" i="17"/>
  <c r="H204" i="17"/>
  <c r="G17" i="17"/>
  <c r="G81" i="17"/>
  <c r="G145" i="17"/>
  <c r="G209" i="17"/>
  <c r="H273" i="17"/>
  <c r="H337" i="17"/>
  <c r="H401" i="17"/>
  <c r="H465" i="17"/>
  <c r="H529" i="17"/>
  <c r="H596" i="17"/>
  <c r="G320" i="17"/>
  <c r="G384" i="17"/>
  <c r="H29" i="17"/>
  <c r="H157" i="17"/>
  <c r="G30" i="17"/>
  <c r="G158" i="17"/>
  <c r="H286" i="17"/>
  <c r="H414" i="17"/>
  <c r="H542" i="17"/>
  <c r="G333" i="17"/>
  <c r="G452" i="17"/>
  <c r="G516" i="17"/>
  <c r="G580" i="17"/>
  <c r="H163" i="17"/>
  <c r="G164" i="17"/>
  <c r="H420" i="17"/>
  <c r="G339" i="17"/>
  <c r="G519" i="17"/>
  <c r="G604" i="17"/>
  <c r="H235" i="17"/>
  <c r="G236" i="17"/>
  <c r="H492" i="17"/>
  <c r="G411" i="17"/>
  <c r="G555" i="17"/>
  <c r="H304" i="17"/>
  <c r="G48" i="17"/>
  <c r="H47" i="17"/>
  <c r="G518" i="17"/>
  <c r="G337" i="17"/>
  <c r="H418" i="17"/>
  <c r="G162" i="17"/>
  <c r="H161" i="17"/>
  <c r="G390" i="17"/>
  <c r="H608" i="17"/>
  <c r="H471" i="17"/>
  <c r="H327" i="17"/>
  <c r="G71" i="17"/>
  <c r="H158" i="17"/>
  <c r="H408" i="17"/>
  <c r="H413" i="17"/>
  <c r="G600" i="17"/>
  <c r="G250" i="17"/>
  <c r="H294" i="17"/>
  <c r="H325" i="17"/>
  <c r="G101" i="17"/>
  <c r="H132" i="2"/>
  <c r="E35" i="1"/>
  <c r="H134" i="2"/>
  <c r="B127" i="2"/>
  <c r="K132" i="2" s="1"/>
  <c r="M132" i="2" s="1"/>
  <c r="E18" i="1"/>
  <c r="H419" i="17"/>
  <c r="G595" i="17"/>
  <c r="H316" i="17"/>
  <c r="H160" i="17"/>
  <c r="H187" i="17"/>
  <c r="H133" i="17"/>
  <c r="H64" i="17"/>
  <c r="G274" i="17"/>
  <c r="G612" i="17"/>
  <c r="G456" i="17"/>
  <c r="H37" i="17"/>
  <c r="H277" i="17"/>
  <c r="H16" i="17"/>
  <c r="H135" i="17"/>
  <c r="H515" i="17"/>
  <c r="G451" i="17"/>
  <c r="H27" i="17"/>
  <c r="G212" i="17"/>
  <c r="G464" i="17"/>
  <c r="H310" i="17"/>
  <c r="H53" i="17"/>
  <c r="H541" i="17"/>
  <c r="H285" i="17"/>
  <c r="G29" i="17"/>
  <c r="H24" i="17"/>
  <c r="G327" i="17"/>
  <c r="H167" i="17"/>
  <c r="H282" i="17"/>
  <c r="H531" i="17"/>
  <c r="H238" i="17"/>
  <c r="H42" i="17"/>
  <c r="H162" i="17"/>
  <c r="H226" i="17"/>
  <c r="G39" i="17"/>
  <c r="G103" i="17"/>
  <c r="G167" i="17"/>
  <c r="G231" i="17"/>
  <c r="H295" i="17"/>
  <c r="H359" i="17"/>
  <c r="H391" i="17"/>
  <c r="H423" i="17"/>
  <c r="H455" i="17"/>
  <c r="H487" i="17"/>
  <c r="H519" i="17"/>
  <c r="H551" i="17"/>
  <c r="H583" i="17"/>
  <c r="G278" i="17"/>
  <c r="G310" i="17"/>
  <c r="G342" i="17"/>
  <c r="G374" i="17"/>
  <c r="G406" i="17"/>
  <c r="G438" i="17"/>
  <c r="H65" i="17"/>
  <c r="H129" i="17"/>
  <c r="H193" i="17"/>
  <c r="H257" i="17"/>
  <c r="G66" i="17"/>
  <c r="G130" i="17"/>
  <c r="G194" i="17"/>
  <c r="G258" i="17"/>
  <c r="H322" i="17"/>
  <c r="H386" i="17"/>
  <c r="H450" i="17"/>
  <c r="H514" i="17"/>
  <c r="H578" i="17"/>
  <c r="G305" i="17"/>
  <c r="G369" i="17"/>
  <c r="G433" i="17"/>
  <c r="G470" i="17"/>
  <c r="G502" i="17"/>
  <c r="G534" i="17"/>
  <c r="G566" i="17"/>
  <c r="G598" i="17"/>
  <c r="H15" i="17"/>
  <c r="H79" i="17"/>
  <c r="H143" i="17"/>
  <c r="H207" i="17"/>
  <c r="G16" i="17"/>
  <c r="G80" i="17"/>
  <c r="G144" i="17"/>
  <c r="G208" i="17"/>
  <c r="H272" i="17"/>
  <c r="H336" i="17"/>
  <c r="H22" i="17"/>
  <c r="H86" i="17"/>
  <c r="H150" i="17"/>
  <c r="H214" i="17"/>
  <c r="G27" i="17"/>
  <c r="G91" i="17"/>
  <c r="G155" i="17"/>
  <c r="G219" i="17"/>
  <c r="H283" i="17"/>
  <c r="H347" i="17"/>
  <c r="H411" i="17"/>
  <c r="H475" i="17"/>
  <c r="H539" i="17"/>
  <c r="G266" i="17"/>
  <c r="G330" i="17"/>
  <c r="G394" i="17"/>
  <c r="H41" i="17"/>
  <c r="H169" i="17"/>
  <c r="G42" i="17"/>
  <c r="G170" i="17"/>
  <c r="H298" i="17"/>
  <c r="H426" i="17"/>
  <c r="H554" i="17"/>
  <c r="G345" i="17"/>
  <c r="G458" i="17"/>
  <c r="G522" i="17"/>
  <c r="G586" i="17"/>
  <c r="H55" i="17"/>
  <c r="H183" i="17"/>
  <c r="G56" i="17"/>
  <c r="G184" i="17"/>
  <c r="H312" i="17"/>
  <c r="H416" i="17"/>
  <c r="H480" i="17"/>
  <c r="H544" i="17"/>
  <c r="G271" i="17"/>
  <c r="G335" i="17"/>
  <c r="G399" i="17"/>
  <c r="G453" i="17"/>
  <c r="G485" i="17"/>
  <c r="G517" i="17"/>
  <c r="G549" i="17"/>
  <c r="G581" i="17"/>
  <c r="G613" i="17"/>
  <c r="H28" i="17"/>
  <c r="H60" i="17"/>
  <c r="H92" i="17"/>
  <c r="H124" i="17"/>
  <c r="H156" i="17"/>
  <c r="H188" i="17"/>
  <c r="H220" i="17"/>
  <c r="H252" i="17"/>
  <c r="G33" i="17"/>
  <c r="G65" i="17"/>
  <c r="G97" i="17"/>
  <c r="G129" i="17"/>
  <c r="G161" i="17"/>
  <c r="G193" i="17"/>
  <c r="G225" i="17"/>
  <c r="G257" i="17"/>
  <c r="H289" i="17"/>
  <c r="H321" i="17"/>
  <c r="H353" i="17"/>
  <c r="H385" i="17"/>
  <c r="H417" i="17"/>
  <c r="H449" i="17"/>
  <c r="H481" i="17"/>
  <c r="H513" i="17"/>
  <c r="H545" i="17"/>
  <c r="H577" i="17"/>
  <c r="G272" i="17"/>
  <c r="G304" i="17"/>
  <c r="G336" i="17"/>
  <c r="G368" i="17"/>
  <c r="G400" i="17"/>
  <c r="G432" i="17"/>
  <c r="H61" i="17"/>
  <c r="H125" i="17"/>
  <c r="H189" i="17"/>
  <c r="H253" i="17"/>
  <c r="G62" i="17"/>
  <c r="G126" i="17"/>
  <c r="G190" i="17"/>
  <c r="G254" i="17"/>
  <c r="H318" i="17"/>
  <c r="H382" i="17"/>
  <c r="H446" i="17"/>
  <c r="H510" i="17"/>
  <c r="H574" i="17"/>
  <c r="G301" i="17"/>
  <c r="G365" i="17"/>
  <c r="G429" i="17"/>
  <c r="G468" i="17"/>
  <c r="G500" i="17"/>
  <c r="G532" i="17"/>
  <c r="G564" i="17"/>
  <c r="G608" i="17"/>
  <c r="H99" i="17"/>
  <c r="H227" i="17"/>
  <c r="G100" i="17"/>
  <c r="G228" i="17"/>
  <c r="H356" i="17"/>
  <c r="H484" i="17"/>
  <c r="G275" i="17"/>
  <c r="G403" i="17"/>
  <c r="G487" i="17"/>
  <c r="G551" i="17"/>
  <c r="H591" i="17"/>
  <c r="H43" i="17"/>
  <c r="H171" i="17"/>
  <c r="G44" i="17"/>
  <c r="G172" i="17"/>
  <c r="H300" i="17"/>
  <c r="H428" i="17"/>
  <c r="H556" i="17"/>
  <c r="G347" i="17"/>
  <c r="G459" i="17"/>
  <c r="G523" i="17"/>
  <c r="G587" i="17"/>
  <c r="H368" i="17"/>
  <c r="G240" i="17"/>
  <c r="G112" i="17"/>
  <c r="H239" i="17"/>
  <c r="H111" i="17"/>
  <c r="H13" i="17"/>
  <c r="G550" i="17"/>
  <c r="G486" i="17"/>
  <c r="G401" i="17"/>
  <c r="G273" i="17"/>
  <c r="H482" i="17"/>
  <c r="H354" i="17"/>
  <c r="G226" i="17"/>
  <c r="G98" i="17"/>
  <c r="H225" i="17"/>
  <c r="H97" i="17"/>
  <c r="G422" i="17"/>
  <c r="G358" i="17"/>
  <c r="G294" i="17"/>
  <c r="H567" i="17"/>
  <c r="H503" i="17"/>
  <c r="H439" i="17"/>
  <c r="H375" i="17"/>
  <c r="G263" i="17"/>
  <c r="G135" i="17"/>
  <c r="H258" i="17"/>
  <c r="H106" i="17"/>
  <c r="H275" i="17"/>
  <c r="G450" i="17"/>
  <c r="G513" i="17"/>
  <c r="G157" i="17"/>
  <c r="G332" i="17"/>
  <c r="H566" i="17"/>
  <c r="G387" i="17"/>
  <c r="H206" i="17"/>
  <c r="G311" i="17"/>
  <c r="H533" i="17"/>
  <c r="G180" i="17"/>
  <c r="G72" i="17"/>
  <c r="G504" i="17"/>
  <c r="G70" i="17"/>
  <c r="B317" i="2"/>
  <c r="G559" i="17"/>
  <c r="H485" i="17"/>
  <c r="H454" i="17"/>
  <c r="H570" i="17"/>
  <c r="H593" i="17"/>
  <c r="H421" i="17"/>
  <c r="H424" i="17"/>
  <c r="G531" i="17"/>
  <c r="H372" i="17"/>
  <c r="H390" i="17"/>
  <c r="H581" i="17"/>
  <c r="G69" i="17"/>
  <c r="G407" i="17"/>
  <c r="H442" i="17"/>
  <c r="G99" i="17"/>
  <c r="G252" i="17"/>
  <c r="G355" i="17"/>
  <c r="G584" i="17"/>
  <c r="H550" i="17"/>
  <c r="G38" i="17"/>
  <c r="G324" i="17"/>
  <c r="H405" i="17"/>
  <c r="G149" i="17"/>
  <c r="H144" i="17"/>
  <c r="G505" i="17"/>
  <c r="H392" i="17"/>
  <c r="G425" i="17"/>
  <c r="G434" i="17"/>
  <c r="G259" i="17"/>
  <c r="G579" i="17"/>
  <c r="H540" i="17"/>
  <c r="G28" i="17"/>
  <c r="G543" i="17"/>
  <c r="H468" i="17"/>
  <c r="H211" i="17"/>
  <c r="G528" i="17"/>
  <c r="G357" i="17"/>
  <c r="H438" i="17"/>
  <c r="G182" i="17"/>
  <c r="H181" i="17"/>
  <c r="G396" i="17"/>
  <c r="G268" i="17"/>
  <c r="H477" i="17"/>
  <c r="H349" i="17"/>
  <c r="G221" i="17"/>
  <c r="G93" i="17"/>
  <c r="H216" i="17"/>
  <c r="H88" i="17"/>
  <c r="G577" i="17"/>
  <c r="G449" i="17"/>
  <c r="H536" i="17"/>
  <c r="G168" i="17"/>
  <c r="G578" i="17"/>
  <c r="H538" i="17"/>
  <c r="G26" i="17"/>
  <c r="G322" i="17"/>
  <c r="H403" i="17"/>
  <c r="G147" i="17"/>
  <c r="G35" i="17"/>
  <c r="H623" i="17"/>
  <c r="H74" i="17"/>
  <c r="H138" i="17"/>
  <c r="H178" i="17"/>
  <c r="H210" i="17"/>
  <c r="H242" i="17"/>
  <c r="G23" i="17"/>
  <c r="G55" i="17"/>
  <c r="G87" i="17"/>
  <c r="G119" i="17"/>
  <c r="G151" i="17"/>
  <c r="G183" i="17"/>
  <c r="G215" i="17"/>
  <c r="G247" i="17"/>
  <c r="H279" i="17"/>
  <c r="H311" i="17"/>
  <c r="H343" i="17"/>
  <c r="K185" i="2"/>
  <c r="E19" i="1"/>
  <c r="B284" i="2"/>
  <c r="B307" i="2" s="1"/>
  <c r="H30" i="17"/>
  <c r="G404" i="17"/>
  <c r="G585" i="17"/>
  <c r="G229" i="17"/>
  <c r="H572" i="17"/>
  <c r="G198" i="17"/>
  <c r="H224" i="17"/>
  <c r="G58" i="17"/>
  <c r="G60" i="17"/>
  <c r="G536" i="17"/>
  <c r="H197" i="17"/>
  <c r="H357" i="17"/>
  <c r="H96" i="17"/>
  <c r="G200" i="17"/>
  <c r="G338" i="17"/>
  <c r="G467" i="17"/>
  <c r="H59" i="17"/>
  <c r="G244" i="17"/>
  <c r="G472" i="17"/>
  <c r="H326" i="17"/>
  <c r="H69" i="17"/>
  <c r="H549" i="17"/>
  <c r="H293" i="17"/>
  <c r="G37" i="17"/>
  <c r="H32" i="17"/>
  <c r="G343" i="17"/>
  <c r="H199" i="17"/>
  <c r="H314" i="17"/>
  <c r="H547" i="17"/>
  <c r="G19" i="17"/>
  <c r="G363" i="17"/>
  <c r="G188" i="17"/>
  <c r="H607" i="17"/>
  <c r="G291" i="17"/>
  <c r="G116" i="17"/>
  <c r="G568" i="17"/>
  <c r="G437" i="17"/>
  <c r="H518" i="17"/>
  <c r="G262" i="17"/>
  <c r="H261" i="17"/>
  <c r="G436" i="17"/>
  <c r="G308" i="17"/>
  <c r="H517" i="17"/>
  <c r="H389" i="17"/>
  <c r="G261" i="17"/>
  <c r="G133" i="17"/>
  <c r="H256" i="17"/>
  <c r="H128" i="17"/>
  <c r="H595" i="17"/>
  <c r="G489" i="17"/>
  <c r="G279" i="17"/>
  <c r="H328" i="17"/>
  <c r="H71" i="17"/>
  <c r="G361" i="17"/>
  <c r="G186" i="17"/>
  <c r="G402" i="17"/>
  <c r="H483" i="17"/>
  <c r="G227" i="17"/>
  <c r="H142" i="17"/>
  <c r="G499" i="17"/>
  <c r="G299" i="17"/>
  <c r="H380" i="17"/>
  <c r="G124" i="17"/>
  <c r="H123" i="17"/>
  <c r="G591" i="17"/>
  <c r="G463" i="17"/>
  <c r="H564" i="17"/>
  <c r="H308" i="17"/>
  <c r="G52" i="17"/>
  <c r="H51" i="17"/>
  <c r="G552" i="17"/>
  <c r="G488" i="17"/>
  <c r="G405" i="17"/>
  <c r="G277" i="17"/>
  <c r="H486" i="17"/>
  <c r="H358" i="17"/>
  <c r="G230" i="17"/>
  <c r="G102" i="17"/>
  <c r="H229" i="17"/>
  <c r="H101" i="17"/>
  <c r="G420" i="17"/>
  <c r="G356" i="17"/>
  <c r="G292" i="17"/>
  <c r="H565" i="17"/>
  <c r="H501" i="17"/>
  <c r="H437" i="17"/>
  <c r="H373" i="17"/>
  <c r="H309" i="17"/>
  <c r="G245" i="17"/>
  <c r="G181" i="17"/>
  <c r="G117" i="17"/>
  <c r="G53" i="17"/>
  <c r="H240" i="17"/>
  <c r="H176" i="17"/>
  <c r="H112" i="17"/>
  <c r="H48" i="17"/>
  <c r="G601" i="17"/>
  <c r="G537" i="17"/>
  <c r="G473" i="17"/>
  <c r="G375" i="17"/>
  <c r="H584" i="17"/>
  <c r="H456" i="17"/>
  <c r="G264" i="17"/>
  <c r="H263" i="17"/>
  <c r="H613" i="17"/>
  <c r="G498" i="17"/>
  <c r="G297" i="17"/>
  <c r="H378" i="17"/>
  <c r="G122" i="17"/>
  <c r="H121" i="17"/>
  <c r="G370" i="17"/>
  <c r="H579" i="17"/>
  <c r="H451" i="17"/>
  <c r="H323" i="17"/>
  <c r="G195" i="17"/>
  <c r="G67" i="17"/>
  <c r="H78" i="17"/>
  <c r="G611" i="17"/>
  <c r="G547" i="17"/>
  <c r="G483" i="17"/>
  <c r="G395" i="17"/>
  <c r="G267" i="17"/>
  <c r="H476" i="17"/>
  <c r="H348" i="17"/>
  <c r="G220" i="17"/>
  <c r="G92" i="17"/>
  <c r="H219" i="17"/>
  <c r="H91" i="17"/>
  <c r="G596" i="17"/>
  <c r="G575" i="17"/>
  <c r="G511" i="17"/>
  <c r="G447" i="17"/>
  <c r="G323" i="17"/>
  <c r="H532" i="17"/>
  <c r="H404" i="17"/>
  <c r="H276" i="17"/>
  <c r="G148" i="17"/>
  <c r="G20" i="17"/>
  <c r="H147" i="17"/>
  <c r="H19" i="17"/>
  <c r="G576" i="17"/>
  <c r="G544" i="17"/>
  <c r="G512" i="17"/>
  <c r="G480" i="17"/>
  <c r="G448" i="17"/>
  <c r="G389" i="17"/>
  <c r="G325" i="17"/>
  <c r="H606" i="17"/>
  <c r="H534" i="17"/>
  <c r="H470" i="17"/>
  <c r="H406" i="17"/>
  <c r="H342" i="17"/>
  <c r="H278" i="17"/>
  <c r="G214" i="17"/>
  <c r="G150" i="17"/>
  <c r="G86" i="17"/>
  <c r="G22" i="17"/>
  <c r="H213" i="17"/>
  <c r="H149" i="17"/>
  <c r="H85" i="17"/>
  <c r="H21" i="17"/>
  <c r="G412" i="17"/>
  <c r="G380" i="17"/>
  <c r="G348" i="17"/>
  <c r="G316" i="17"/>
  <c r="G284" i="17"/>
  <c r="H589" i="17"/>
  <c r="H557" i="17"/>
  <c r="H525" i="17"/>
  <c r="H493" i="17"/>
  <c r="H461" i="17"/>
  <c r="H429" i="17"/>
  <c r="H397" i="17"/>
  <c r="H365" i="17"/>
  <c r="H333" i="17"/>
  <c r="H301" i="17"/>
  <c r="H269" i="17"/>
  <c r="G237" i="17"/>
  <c r="G205" i="17"/>
  <c r="G173" i="17"/>
  <c r="G141" i="17"/>
  <c r="G109" i="17"/>
  <c r="G77" i="17"/>
  <c r="G45" i="17"/>
  <c r="H264" i="17"/>
  <c r="H232" i="17"/>
  <c r="H200" i="17"/>
  <c r="H168" i="17"/>
  <c r="H136" i="17"/>
  <c r="H104" i="17"/>
  <c r="H72" i="17"/>
  <c r="H40" i="17"/>
  <c r="H611" i="17"/>
  <c r="G593" i="17"/>
  <c r="G561" i="17"/>
  <c r="G529" i="17"/>
  <c r="G497" i="17"/>
  <c r="G465" i="17"/>
  <c r="G423" i="17"/>
  <c r="G359" i="17"/>
  <c r="G295" i="17"/>
  <c r="H568" i="17"/>
  <c r="H504" i="17"/>
  <c r="H440" i="17"/>
  <c r="H360" i="17"/>
  <c r="G232" i="17"/>
  <c r="G104" i="17"/>
  <c r="H231" i="17"/>
  <c r="H103" i="17"/>
  <c r="G610" i="17"/>
  <c r="G546" i="17"/>
  <c r="G482" i="17"/>
  <c r="G393" i="17"/>
  <c r="G13" i="17"/>
  <c r="H474" i="17"/>
  <c r="H346" i="17"/>
  <c r="G218" i="17"/>
  <c r="G90" i="17"/>
  <c r="H217" i="17"/>
  <c r="H89" i="17"/>
  <c r="G418" i="17"/>
  <c r="G354" i="17"/>
  <c r="G290" i="17"/>
  <c r="H563" i="17"/>
  <c r="H499" i="17"/>
  <c r="H435" i="17"/>
  <c r="H371" i="17"/>
  <c r="H307" i="17"/>
  <c r="G243" i="17"/>
  <c r="G179" i="17"/>
  <c r="G115" i="17"/>
  <c r="G51" i="17"/>
  <c r="H174" i="17"/>
  <c r="H46" i="17"/>
  <c r="H254" i="17"/>
  <c r="H190" i="17"/>
  <c r="H126" i="17"/>
  <c r="H62" i="17"/>
  <c r="H18" i="17"/>
  <c r="H34" i="17"/>
  <c r="H50" i="17"/>
  <c r="H66" i="17"/>
  <c r="H82" i="17"/>
  <c r="H98" i="17"/>
  <c r="H114" i="17"/>
  <c r="H130" i="17"/>
  <c r="H146" i="17"/>
  <c r="G623" i="17"/>
  <c r="H38" i="17"/>
  <c r="H70" i="17"/>
  <c r="H102" i="17"/>
  <c r="H134" i="17"/>
  <c r="H166" i="17"/>
  <c r="H198" i="17"/>
  <c r="H230" i="17"/>
  <c r="H262" i="17"/>
  <c r="G43" i="17"/>
  <c r="G75" i="17"/>
  <c r="G107" i="17"/>
  <c r="G139" i="17"/>
  <c r="G171" i="17"/>
  <c r="G203" i="17"/>
  <c r="G235" i="17"/>
  <c r="H267" i="17"/>
  <c r="H299" i="17"/>
  <c r="H331" i="17"/>
  <c r="H363" i="17"/>
  <c r="H395" i="17"/>
  <c r="H427" i="17"/>
  <c r="H459" i="17"/>
  <c r="H491" i="17"/>
  <c r="H523" i="17"/>
  <c r="H555" i="17"/>
  <c r="H587" i="17"/>
  <c r="G282" i="17"/>
  <c r="G314" i="17"/>
  <c r="G346" i="17"/>
  <c r="G378" i="17"/>
  <c r="G410" i="17"/>
  <c r="G442" i="17"/>
  <c r="H73" i="17"/>
  <c r="H137" i="17"/>
  <c r="H201" i="17"/>
  <c r="H265" i="17"/>
  <c r="G74" i="17"/>
  <c r="G138" i="17"/>
  <c r="G202" i="17"/>
  <c r="H266" i="17"/>
  <c r="H330" i="17"/>
  <c r="H394" i="17"/>
  <c r="H458" i="17"/>
  <c r="H522" i="17"/>
  <c r="H586" i="17"/>
  <c r="G313" i="17"/>
  <c r="G377" i="17"/>
  <c r="G441" i="17"/>
  <c r="G474" i="17"/>
  <c r="G506" i="17"/>
  <c r="G538" i="17"/>
  <c r="G570" i="17"/>
  <c r="G602" i="17"/>
  <c r="H23" i="17"/>
  <c r="H87" i="17"/>
  <c r="H151" i="17"/>
  <c r="H215" i="17"/>
  <c r="G24" i="17"/>
  <c r="G88" i="17"/>
  <c r="G152" i="17"/>
  <c r="G216" i="17"/>
  <c r="H280" i="17"/>
  <c r="H344" i="17"/>
  <c r="H400" i="17"/>
  <c r="H432" i="17"/>
  <c r="H464" i="17"/>
  <c r="H496" i="17"/>
  <c r="H528" i="17"/>
  <c r="H560" i="17"/>
  <c r="H594" i="17"/>
  <c r="G287" i="17"/>
  <c r="G319" i="17"/>
  <c r="G351" i="17"/>
  <c r="G383" i="17"/>
  <c r="G415" i="17"/>
  <c r="G445" i="17"/>
  <c r="G461" i="17"/>
  <c r="G477" i="17"/>
  <c r="G493" i="17"/>
  <c r="G509" i="17"/>
  <c r="G525" i="17"/>
  <c r="G541" i="17"/>
  <c r="G557" i="17"/>
  <c r="G573" i="17"/>
  <c r="G589" i="17"/>
  <c r="G605" i="17"/>
  <c r="H603" i="17"/>
  <c r="H20" i="17"/>
  <c r="H36" i="17"/>
  <c r="H52" i="17"/>
  <c r="H68" i="17"/>
  <c r="H84" i="17"/>
  <c r="H100" i="17"/>
  <c r="H116" i="17"/>
  <c r="H132" i="17"/>
  <c r="H148" i="17"/>
  <c r="H164" i="17"/>
  <c r="H180" i="17"/>
  <c r="H196" i="17"/>
  <c r="H212" i="17"/>
  <c r="H228" i="17"/>
  <c r="H244" i="17"/>
  <c r="H260" i="17"/>
  <c r="G25" i="17"/>
  <c r="G41" i="17"/>
  <c r="G57" i="17"/>
  <c r="G73" i="17"/>
  <c r="G89" i="17"/>
  <c r="G105" i="17"/>
  <c r="G121" i="17"/>
  <c r="G137" i="17"/>
  <c r="G153" i="17"/>
  <c r="G169" i="17"/>
  <c r="G185" i="17"/>
  <c r="G201" i="17"/>
  <c r="G217" i="17"/>
  <c r="G233" i="17"/>
  <c r="G249" i="17"/>
  <c r="G265" i="17"/>
  <c r="H281" i="17"/>
  <c r="H297" i="17"/>
  <c r="H313" i="17"/>
  <c r="H329" i="17"/>
  <c r="H345" i="17"/>
  <c r="H361" i="17"/>
  <c r="H377" i="17"/>
  <c r="H393" i="17"/>
  <c r="H409" i="17"/>
  <c r="H425" i="17"/>
  <c r="H441" i="17"/>
  <c r="H457" i="17"/>
  <c r="H473" i="17"/>
  <c r="H489" i="17"/>
  <c r="H505" i="17"/>
  <c r="H521" i="17"/>
  <c r="H537" i="17"/>
  <c r="H553" i="17"/>
  <c r="H569" i="17"/>
  <c r="H585" i="17"/>
  <c r="H612" i="17"/>
  <c r="G280" i="17"/>
  <c r="G296" i="17"/>
  <c r="G312" i="17"/>
  <c r="G328" i="17"/>
  <c r="G344" i="17"/>
  <c r="G360" i="17"/>
  <c r="G376" i="17"/>
  <c r="G392" i="17"/>
  <c r="G408" i="17"/>
  <c r="G424" i="17"/>
  <c r="G440" i="17"/>
  <c r="H45" i="17"/>
  <c r="H77" i="17"/>
  <c r="H109" i="17"/>
  <c r="H141" i="17"/>
  <c r="H173" i="17"/>
  <c r="H205" i="17"/>
  <c r="H237" i="17"/>
  <c r="G14" i="17"/>
  <c r="G46" i="17"/>
  <c r="G78" i="17"/>
  <c r="G110" i="17"/>
  <c r="G142" i="17"/>
  <c r="G174" i="17"/>
  <c r="G206" i="17"/>
  <c r="G238" i="17"/>
  <c r="H270" i="17"/>
  <c r="H302" i="17"/>
  <c r="H334" i="17"/>
  <c r="H366" i="17"/>
  <c r="H398" i="17"/>
  <c r="H430" i="17"/>
  <c r="H462" i="17"/>
  <c r="H494" i="17"/>
  <c r="H526" i="17"/>
  <c r="H558" i="17"/>
  <c r="H590" i="17"/>
  <c r="G285" i="17"/>
  <c r="G317" i="17"/>
  <c r="G349" i="17"/>
  <c r="G381" i="17"/>
  <c r="G413" i="17"/>
  <c r="G444" i="17"/>
  <c r="G460" i="17"/>
  <c r="G476" i="17"/>
  <c r="G492" i="17"/>
  <c r="G508" i="17"/>
  <c r="G524" i="17"/>
  <c r="G540" i="17"/>
  <c r="G556" i="17"/>
  <c r="G572" i="17"/>
  <c r="G592" i="17"/>
  <c r="H609" i="17"/>
  <c r="H67" i="17"/>
  <c r="H131" i="17"/>
  <c r="H195" i="17"/>
  <c r="H259" i="17"/>
  <c r="G68" i="17"/>
  <c r="G132" i="17"/>
  <c r="G196" i="17"/>
  <c r="G260" i="17"/>
  <c r="H324" i="17"/>
  <c r="H388" i="17"/>
  <c r="H452" i="17"/>
  <c r="H516" i="17"/>
  <c r="H580" i="17"/>
  <c r="G307" i="17"/>
  <c r="G371" i="17"/>
  <c r="G435" i="17"/>
  <c r="G471" i="17"/>
  <c r="G503" i="17"/>
  <c r="G535" i="17"/>
  <c r="G567" i="17"/>
  <c r="G599" i="17"/>
  <c r="G588" i="17"/>
  <c r="H602" i="17"/>
  <c r="H75" i="17"/>
  <c r="H139" i="17"/>
  <c r="H203" i="17"/>
  <c r="G626" i="17"/>
  <c r="G76" i="17"/>
  <c r="G140" i="17"/>
  <c r="G204" i="17"/>
  <c r="H268" i="17"/>
  <c r="H332" i="17"/>
  <c r="H396" i="17"/>
  <c r="H460" i="17"/>
  <c r="H524" i="17"/>
  <c r="H588" i="17"/>
  <c r="G315" i="17"/>
  <c r="G379" i="17"/>
  <c r="G443" i="17"/>
  <c r="G475" i="17"/>
  <c r="G507" i="17"/>
  <c r="G539" i="17"/>
  <c r="G571" i="17"/>
  <c r="G603" i="17"/>
  <c r="H384" i="17"/>
  <c r="H352" i="17"/>
  <c r="H320" i="17"/>
  <c r="H288" i="17"/>
  <c r="G256" i="17"/>
  <c r="G224" i="17"/>
  <c r="G192" i="17"/>
  <c r="G160" i="17"/>
  <c r="G128" i="17"/>
  <c r="G96" i="17"/>
  <c r="G64" i="17"/>
  <c r="G32" i="17"/>
  <c r="H255" i="17"/>
  <c r="H223" i="17"/>
  <c r="H191" i="17"/>
  <c r="H159" i="17"/>
  <c r="H127" i="17"/>
  <c r="H95" i="17"/>
  <c r="H63" i="17"/>
  <c r="H31" i="17"/>
  <c r="H605" i="17"/>
  <c r="G606" i="17"/>
  <c r="G590" i="17"/>
  <c r="G574" i="17"/>
  <c r="G558" i="17"/>
  <c r="G542" i="17"/>
  <c r="G526" i="17"/>
  <c r="G510" i="17"/>
  <c r="G494" i="17"/>
  <c r="G478" i="17"/>
  <c r="G462" i="17"/>
  <c r="G446" i="17"/>
  <c r="G417" i="17"/>
  <c r="G385" i="17"/>
  <c r="G353" i="17"/>
  <c r="G321" i="17"/>
  <c r="G289" i="17"/>
  <c r="H598" i="17"/>
  <c r="H562" i="17"/>
  <c r="H530" i="17"/>
  <c r="H498" i="17"/>
  <c r="H466" i="17"/>
  <c r="H434" i="17"/>
  <c r="H402" i="17"/>
  <c r="H370" i="17"/>
  <c r="H338" i="17"/>
  <c r="H306" i="17"/>
  <c r="H274" i="17"/>
  <c r="G242" i="17"/>
  <c r="G210" i="17"/>
  <c r="G178" i="17"/>
  <c r="G146" i="17"/>
  <c r="G114" i="17"/>
  <c r="G82" i="17"/>
  <c r="G50" i="17"/>
  <c r="G18" i="17"/>
  <c r="H241" i="17"/>
  <c r="H209" i="17"/>
  <c r="H177" i="17"/>
  <c r="H145" i="17"/>
  <c r="H113" i="17"/>
  <c r="H81" i="17"/>
  <c r="H49" i="17"/>
  <c r="H17" i="17"/>
  <c r="G430" i="17"/>
  <c r="G414" i="17"/>
  <c r="G398" i="17"/>
  <c r="G382" i="17"/>
  <c r="G366" i="17"/>
  <c r="G350" i="17"/>
  <c r="G334" i="17"/>
  <c r="G318" i="17"/>
  <c r="G302" i="17"/>
  <c r="G286" i="17"/>
  <c r="G270" i="17"/>
  <c r="H592" i="17"/>
  <c r="H575" i="17"/>
  <c r="H559" i="17"/>
  <c r="H543" i="17"/>
  <c r="H527" i="17"/>
  <c r="H511" i="17"/>
  <c r="H495" i="17"/>
  <c r="H479" i="17"/>
  <c r="H463" i="17"/>
  <c r="H447" i="17"/>
  <c r="H431" i="17"/>
  <c r="H415" i="17"/>
  <c r="H399" i="17"/>
  <c r="H383" i="17"/>
  <c r="H367" i="17"/>
  <c r="H351" i="17"/>
  <c r="H335" i="17"/>
  <c r="H319" i="17"/>
  <c r="H303" i="17"/>
  <c r="H287" i="17"/>
  <c r="H271" i="17"/>
  <c r="G255" i="17"/>
  <c r="G239" i="17"/>
  <c r="G223" i="17"/>
  <c r="G207" i="17"/>
  <c r="G191" i="17"/>
  <c r="G175" i="17"/>
  <c r="G159" i="17"/>
  <c r="G143" i="17"/>
  <c r="G127" i="17"/>
  <c r="G111" i="17"/>
  <c r="G95" i="17"/>
  <c r="G79" i="17"/>
  <c r="G63" i="17"/>
  <c r="G47" i="17"/>
  <c r="G31" i="17"/>
  <c r="G15" i="17"/>
  <c r="H250" i="17"/>
  <c r="H234" i="17"/>
  <c r="H218" i="17"/>
  <c r="H202" i="17"/>
  <c r="H186" i="17"/>
  <c r="H170" i="17"/>
  <c r="H154" i="17"/>
  <c r="H122" i="17"/>
  <c r="H90" i="17"/>
  <c r="H58" i="17"/>
  <c r="H26" i="17"/>
  <c r="H94" i="17"/>
  <c r="H222" i="17"/>
  <c r="H110" i="17"/>
  <c r="G83" i="17"/>
  <c r="G211" i="17"/>
  <c r="H339" i="17"/>
  <c r="H467" i="17"/>
  <c r="H599" i="17"/>
  <c r="G386" i="17"/>
  <c r="H153" i="17"/>
  <c r="G154" i="17"/>
  <c r="H410" i="17"/>
  <c r="G329" i="17"/>
  <c r="G514" i="17"/>
  <c r="H39" i="17"/>
  <c r="G40" i="17"/>
  <c r="H296" i="17"/>
  <c r="H472" i="17"/>
  <c r="H610" i="17"/>
  <c r="G391" i="17"/>
  <c r="G481" i="17"/>
  <c r="G545" i="17"/>
  <c r="G609" i="17"/>
  <c r="H56" i="17"/>
  <c r="H120" i="17"/>
  <c r="H184" i="17"/>
  <c r="H248" i="17"/>
  <c r="G61" i="17"/>
  <c r="G125" i="17"/>
  <c r="G189" i="17"/>
  <c r="G253" i="17"/>
  <c r="H317" i="17"/>
  <c r="H381" i="17"/>
  <c r="H445" i="17"/>
  <c r="H509" i="17"/>
  <c r="H573" i="17"/>
  <c r="G300" i="17"/>
  <c r="G364" i="17"/>
  <c r="G428" i="17"/>
  <c r="H117" i="17"/>
  <c r="H245" i="17"/>
  <c r="G118" i="17"/>
  <c r="G246" i="17"/>
  <c r="H374" i="17"/>
  <c r="H502" i="17"/>
  <c r="G293" i="17"/>
  <c r="G421" i="17"/>
  <c r="G496" i="17"/>
  <c r="G560" i="17"/>
  <c r="H83" i="17"/>
  <c r="G84" i="17"/>
  <c r="H340" i="17"/>
  <c r="H601" i="17"/>
  <c r="G479" i="17"/>
  <c r="G607" i="17"/>
  <c r="H155" i="17"/>
  <c r="G156" i="17"/>
  <c r="H412" i="17"/>
  <c r="G331" i="17"/>
  <c r="G515" i="17"/>
  <c r="H14" i="17"/>
  <c r="G131" i="17"/>
  <c r="H387" i="17"/>
  <c r="G306" i="17"/>
  <c r="H249" i="17"/>
  <c r="H506" i="17"/>
  <c r="G562" i="17"/>
  <c r="G136" i="17"/>
  <c r="H520" i="17"/>
  <c r="G439" i="17"/>
  <c r="G569" i="17"/>
  <c r="H80" i="17"/>
  <c r="H208" i="17"/>
  <c r="G85" i="17"/>
  <c r="G213" i="17"/>
  <c r="H341" i="17"/>
  <c r="H469" i="17"/>
  <c r="H604" i="17"/>
  <c r="G388" i="17"/>
  <c r="H165" i="17"/>
  <c r="G166" i="17"/>
  <c r="H422" i="17"/>
  <c r="G341" i="17"/>
  <c r="G520" i="17"/>
  <c r="H179" i="17"/>
  <c r="H436" i="17"/>
  <c r="G527" i="17"/>
  <c r="H251" i="17"/>
  <c r="H508" i="17"/>
  <c r="G563" i="17"/>
  <c r="H355" i="17"/>
  <c r="H185" i="17"/>
  <c r="G530" i="17"/>
  <c r="H488" i="17"/>
  <c r="G553" i="17"/>
  <c r="H192" i="17"/>
  <c r="G197" i="17"/>
  <c r="H453" i="17"/>
  <c r="G372" i="17"/>
  <c r="G134" i="17"/>
  <c r="G309" i="17"/>
  <c r="H115" i="17"/>
  <c r="G495" i="17"/>
  <c r="H444" i="17"/>
  <c r="H291" i="17"/>
  <c r="G466" i="17"/>
  <c r="G521" i="17"/>
  <c r="G165" i="17"/>
  <c r="G340" i="17"/>
  <c r="H582" i="17"/>
  <c r="G419" i="17"/>
  <c r="G163" i="17"/>
  <c r="G457" i="17"/>
  <c r="G276" i="17"/>
  <c r="H500" i="17"/>
  <c r="H552" i="17"/>
  <c r="H243" i="17"/>
  <c r="G373" i="17"/>
  <c r="B279" i="2"/>
  <c r="B295" i="2" s="1"/>
  <c r="B132" i="2"/>
  <c r="B150" i="2"/>
  <c r="L102" i="2"/>
  <c r="B103" i="2"/>
  <c r="B117" i="2" s="1"/>
  <c r="L103" i="2"/>
  <c r="P103" i="2" s="1"/>
  <c r="B90" i="2"/>
  <c r="E21" i="1" s="1"/>
  <c r="B161" i="2"/>
  <c r="B91" i="2"/>
  <c r="E22" i="1" s="1"/>
  <c r="K103" i="2"/>
  <c r="K102" i="2"/>
  <c r="F90" i="2"/>
  <c r="F91" i="2"/>
  <c r="B88" i="2"/>
  <c r="H78" i="2"/>
  <c r="E15" i="1"/>
  <c r="AH56" i="20" l="1"/>
  <c r="AF56" i="20"/>
  <c r="AG56" i="20" s="1"/>
  <c r="AR80" i="20"/>
  <c r="AR68" i="20"/>
  <c r="AJ55" i="20"/>
  <c r="AK55" i="20" s="1"/>
  <c r="AM35" i="20"/>
  <c r="Q55" i="20"/>
  <c r="AS55" i="20" s="1"/>
  <c r="AA55" i="20"/>
  <c r="AB55" i="20" s="1"/>
  <c r="AE55" i="20" s="1"/>
  <c r="S55" i="20"/>
  <c r="AJ63" i="20"/>
  <c r="AK63" i="20" s="1"/>
  <c r="AN63" i="20" s="1"/>
  <c r="AO55" i="20"/>
  <c r="AP55" i="20" s="1"/>
  <c r="AR55" i="20" s="1"/>
  <c r="S56" i="20"/>
  <c r="X56" i="20"/>
  <c r="Y56" i="20" s="1"/>
  <c r="Z56" i="20" s="1"/>
  <c r="AJ56" i="20"/>
  <c r="AK56" i="20" s="1"/>
  <c r="AN56" i="20" s="1"/>
  <c r="U56" i="20"/>
  <c r="V56" i="20" s="1"/>
  <c r="W56" i="20" s="1"/>
  <c r="AJ82" i="20"/>
  <c r="AK82" i="20" s="1"/>
  <c r="AN82" i="20" s="1"/>
  <c r="AJ72" i="20"/>
  <c r="AK72" i="20" s="1"/>
  <c r="AM32" i="20"/>
  <c r="AQ32" i="20"/>
  <c r="AV64" i="20"/>
  <c r="BL64" i="20" s="1"/>
  <c r="AO56" i="20"/>
  <c r="AP56" i="20" s="1"/>
  <c r="Q56" i="20"/>
  <c r="AS56" i="20" s="1"/>
  <c r="S32" i="20"/>
  <c r="AQ56" i="20"/>
  <c r="X32" i="20"/>
  <c r="Y32" i="20" s="1"/>
  <c r="Z32" i="20" s="1"/>
  <c r="AA56" i="20"/>
  <c r="AB56" i="20" s="1"/>
  <c r="AE56" i="20" s="1"/>
  <c r="AF59" i="20"/>
  <c r="X59" i="20"/>
  <c r="Y59" i="20" s="1"/>
  <c r="Z59" i="20" s="1"/>
  <c r="U59" i="20"/>
  <c r="V59" i="20" s="1"/>
  <c r="W59" i="20" s="1"/>
  <c r="AA59" i="20"/>
  <c r="AB59" i="20" s="1"/>
  <c r="AE59" i="20" s="1"/>
  <c r="S59" i="20"/>
  <c r="AJ48" i="20"/>
  <c r="AK48" i="20" s="1"/>
  <c r="Q59" i="20"/>
  <c r="AS59" i="20" s="1"/>
  <c r="AO59" i="20"/>
  <c r="AP59" i="20" s="1"/>
  <c r="AH59" i="20"/>
  <c r="U32" i="20"/>
  <c r="V32" i="20" s="1"/>
  <c r="W32" i="20" s="1"/>
  <c r="AQ59" i="20"/>
  <c r="AJ78" i="20"/>
  <c r="AK78" i="20" s="1"/>
  <c r="AN78" i="20" s="1"/>
  <c r="AQ78" i="20"/>
  <c r="AJ59" i="20"/>
  <c r="AK59" i="20" s="1"/>
  <c r="AN59" i="20" s="1"/>
  <c r="AM60" i="20"/>
  <c r="AJ60" i="20"/>
  <c r="AK60" i="20" s="1"/>
  <c r="Q23" i="20"/>
  <c r="AS23" i="20" s="1"/>
  <c r="AH24" i="20"/>
  <c r="X35" i="20"/>
  <c r="Y35" i="20" s="1"/>
  <c r="Z35" i="20" s="1"/>
  <c r="B319" i="2"/>
  <c r="B80" i="1" s="1"/>
  <c r="U35" i="20"/>
  <c r="V35" i="20" s="1"/>
  <c r="W35" i="20" s="1"/>
  <c r="AH35" i="20"/>
  <c r="S35" i="20"/>
  <c r="AD35" i="20"/>
  <c r="AA35" i="20"/>
  <c r="AB35" i="20" s="1"/>
  <c r="AD48" i="20"/>
  <c r="AJ35" i="20"/>
  <c r="AK35" i="20" s="1"/>
  <c r="AR60" i="20"/>
  <c r="Q48" i="20"/>
  <c r="AS48" i="20" s="1"/>
  <c r="AF35" i="20"/>
  <c r="Q35" i="20"/>
  <c r="AS35" i="20" s="1"/>
  <c r="AQ35" i="20"/>
  <c r="AR35" i="20" s="1"/>
  <c r="AE159" i="20"/>
  <c r="AD43" i="20"/>
  <c r="AO32" i="20"/>
  <c r="AP32" i="20" s="1"/>
  <c r="Q32" i="20"/>
  <c r="AS32" i="20" s="1"/>
  <c r="AC32" i="20"/>
  <c r="AJ32" i="20"/>
  <c r="AK32" i="20" s="1"/>
  <c r="AA32" i="20"/>
  <c r="AB32" i="20" s="1"/>
  <c r="X43" i="20"/>
  <c r="Y43" i="20" s="1"/>
  <c r="Z43" i="20" s="1"/>
  <c r="AM15" i="20"/>
  <c r="U15" i="20"/>
  <c r="V15" i="20" s="1"/>
  <c r="W15" i="20" s="1"/>
  <c r="AR63" i="20"/>
  <c r="AF43" i="20"/>
  <c r="AG43" i="20" s="1"/>
  <c r="AH43" i="20"/>
  <c r="AD47" i="20"/>
  <c r="AE47" i="20" s="1"/>
  <c r="AO24" i="20"/>
  <c r="AP24" i="20" s="1"/>
  <c r="AQ36" i="20"/>
  <c r="AG167" i="20"/>
  <c r="AI167" i="20" s="1"/>
  <c r="BK167" i="20" s="1"/>
  <c r="AN64" i="20"/>
  <c r="AF47" i="20"/>
  <c r="AG47" i="20" s="1"/>
  <c r="AO43" i="20"/>
  <c r="AP43" i="20" s="1"/>
  <c r="AR43" i="20" s="1"/>
  <c r="AJ28" i="20"/>
  <c r="AK28" i="20" s="1"/>
  <c r="AQ47" i="20"/>
  <c r="X24" i="20"/>
  <c r="Y24" i="20" s="1"/>
  <c r="Z24" i="20" s="1"/>
  <c r="AA15" i="20"/>
  <c r="AB15" i="20" s="1"/>
  <c r="AE15" i="20" s="1"/>
  <c r="AJ43" i="20"/>
  <c r="AK43" i="20" s="1"/>
  <c r="Q43" i="20"/>
  <c r="AS43" i="20" s="1"/>
  <c r="S43" i="20"/>
  <c r="AJ47" i="20"/>
  <c r="AK47" i="20" s="1"/>
  <c r="AA43" i="20"/>
  <c r="AB43" i="20" s="1"/>
  <c r="AM47" i="20"/>
  <c r="AE191" i="20"/>
  <c r="BE191" i="20" s="1"/>
  <c r="Q24" i="20"/>
  <c r="AS24" i="20" s="1"/>
  <c r="U43" i="20"/>
  <c r="V43" i="20" s="1"/>
  <c r="W43" i="20" s="1"/>
  <c r="AO15" i="20"/>
  <c r="AP15" i="20" s="1"/>
  <c r="AM43" i="20"/>
  <c r="AO47" i="20"/>
  <c r="AP47" i="20" s="1"/>
  <c r="AM28" i="20"/>
  <c r="AN28" i="20" s="1"/>
  <c r="AM24" i="20"/>
  <c r="AN24" i="20" s="1"/>
  <c r="AJ23" i="20"/>
  <c r="AK23" i="20" s="1"/>
  <c r="AQ62" i="20"/>
  <c r="AA48" i="20"/>
  <c r="AB48" i="20" s="1"/>
  <c r="U47" i="20"/>
  <c r="V47" i="20" s="1"/>
  <c r="W47" i="20" s="1"/>
  <c r="S47" i="20"/>
  <c r="Q47" i="20"/>
  <c r="AS47" i="20" s="1"/>
  <c r="X47" i="20"/>
  <c r="Y47" i="20" s="1"/>
  <c r="Z47" i="20" s="1"/>
  <c r="S48" i="20"/>
  <c r="AF48" i="20"/>
  <c r="AG48" i="20" s="1"/>
  <c r="AH47" i="20"/>
  <c r="AO48" i="20"/>
  <c r="AP48" i="20" s="1"/>
  <c r="AR48" i="20" s="1"/>
  <c r="AQ28" i="20"/>
  <c r="AA24" i="20"/>
  <c r="AB24" i="20" s="1"/>
  <c r="AE24" i="20" s="1"/>
  <c r="U24" i="20"/>
  <c r="V24" i="20" s="1"/>
  <c r="W24" i="20" s="1"/>
  <c r="S24" i="20"/>
  <c r="X15" i="20"/>
  <c r="Y15" i="20" s="1"/>
  <c r="Z15" i="20" s="1"/>
  <c r="AJ62" i="20"/>
  <c r="AK62" i="20" s="1"/>
  <c r="AN62" i="20" s="1"/>
  <c r="U48" i="20"/>
  <c r="V48" i="20" s="1"/>
  <c r="W48" i="20" s="1"/>
  <c r="AH48" i="20"/>
  <c r="X48" i="20"/>
  <c r="Y48" i="20" s="1"/>
  <c r="Z48" i="20" s="1"/>
  <c r="AM48" i="20"/>
  <c r="AQ24" i="20"/>
  <c r="AV24" i="20"/>
  <c r="BL24" i="20" s="1"/>
  <c r="AQ11" i="20"/>
  <c r="AM11" i="20"/>
  <c r="U11" i="20"/>
  <c r="V11" i="20" s="1"/>
  <c r="W11" i="20" s="1"/>
  <c r="AI173" i="20"/>
  <c r="BF173" i="20" s="1"/>
  <c r="AJ36" i="20"/>
  <c r="AK36" i="20" s="1"/>
  <c r="AH17" i="20"/>
  <c r="X109" i="20"/>
  <c r="Y109" i="20" s="1"/>
  <c r="Z109" i="20" s="1"/>
  <c r="AF109" i="20"/>
  <c r="AG109" i="20" s="1"/>
  <c r="AJ11" i="20"/>
  <c r="AK11" i="20" s="1"/>
  <c r="AO11" i="20"/>
  <c r="AP11" i="20" s="1"/>
  <c r="S11" i="20"/>
  <c r="X77" i="20"/>
  <c r="Y77" i="20" s="1"/>
  <c r="Z77" i="20" s="1"/>
  <c r="S77" i="20"/>
  <c r="S109" i="20"/>
  <c r="AF105" i="20"/>
  <c r="AG105" i="20" s="1"/>
  <c r="AA73" i="20"/>
  <c r="AB73" i="20" s="1"/>
  <c r="Q77" i="20"/>
  <c r="AS77" i="20" s="1"/>
  <c r="AA11" i="20"/>
  <c r="AB11" i="20" s="1"/>
  <c r="AE11" i="20" s="1"/>
  <c r="AV191" i="20"/>
  <c r="BL191" i="20" s="1"/>
  <c r="AR162" i="20"/>
  <c r="AO77" i="20"/>
  <c r="AP77" i="20" s="1"/>
  <c r="AR77" i="20" s="1"/>
  <c r="AS196" i="20"/>
  <c r="AV146" i="20"/>
  <c r="BL146" i="20" s="1"/>
  <c r="AR192" i="20"/>
  <c r="X11" i="20"/>
  <c r="Y11" i="20" s="1"/>
  <c r="Z11" i="20" s="1"/>
  <c r="AR134" i="20"/>
  <c r="AR158" i="20"/>
  <c r="AS179" i="20"/>
  <c r="AE151" i="20"/>
  <c r="Q11" i="20"/>
  <c r="AS11" i="20" s="1"/>
  <c r="AR103" i="20"/>
  <c r="AH23" i="20"/>
  <c r="AH15" i="20"/>
  <c r="AQ15" i="20"/>
  <c r="AF15" i="20"/>
  <c r="AG15" i="20" s="1"/>
  <c r="S15" i="20"/>
  <c r="AJ15" i="20"/>
  <c r="AK15" i="20" s="1"/>
  <c r="Q15" i="20"/>
  <c r="AS15" i="20" s="1"/>
  <c r="S12" i="20"/>
  <c r="AN139" i="20"/>
  <c r="AE179" i="20"/>
  <c r="BE179" i="20" s="1"/>
  <c r="S16" i="20"/>
  <c r="AH31" i="20"/>
  <c r="AS152" i="20"/>
  <c r="AD73" i="20"/>
  <c r="AF90" i="20"/>
  <c r="AV90" i="20" s="1"/>
  <c r="BL90" i="20" s="1"/>
  <c r="AR87" i="20"/>
  <c r="AE172" i="20"/>
  <c r="S17" i="20"/>
  <c r="AG87" i="20"/>
  <c r="AI87" i="20" s="1"/>
  <c r="U73" i="20"/>
  <c r="V73" i="20" s="1"/>
  <c r="W73" i="20" s="1"/>
  <c r="U105" i="20"/>
  <c r="V105" i="20" s="1"/>
  <c r="W105" i="20" s="1"/>
  <c r="U90" i="20"/>
  <c r="V90" i="20" s="1"/>
  <c r="W90" i="20" s="1"/>
  <c r="S105" i="20"/>
  <c r="AA77" i="20"/>
  <c r="AB77" i="20" s="1"/>
  <c r="AO16" i="20"/>
  <c r="AP16" i="20" s="1"/>
  <c r="AI151" i="20"/>
  <c r="BF151" i="20" s="1"/>
  <c r="T152" i="20"/>
  <c r="BI152" i="20" s="1"/>
  <c r="AM16" i="20"/>
  <c r="R75" i="20"/>
  <c r="T75" i="20" s="1"/>
  <c r="BI75" i="20" s="1"/>
  <c r="AA36" i="20"/>
  <c r="AB36" i="20" s="1"/>
  <c r="AF16" i="20"/>
  <c r="AG16" i="20" s="1"/>
  <c r="AD36" i="20"/>
  <c r="U36" i="20"/>
  <c r="V36" i="20" s="1"/>
  <c r="W36" i="20" s="1"/>
  <c r="X16" i="20"/>
  <c r="Y16" i="20" s="1"/>
  <c r="Z16" i="20" s="1"/>
  <c r="AD37" i="20"/>
  <c r="U16" i="20"/>
  <c r="V16" i="20" s="1"/>
  <c r="W16" i="20" s="1"/>
  <c r="X39" i="20"/>
  <c r="Y39" i="20" s="1"/>
  <c r="Z39" i="20" s="1"/>
  <c r="Q20" i="20"/>
  <c r="AS20" i="20" s="1"/>
  <c r="T103" i="20"/>
  <c r="BI103" i="20" s="1"/>
  <c r="AH36" i="20"/>
  <c r="AI36" i="20" s="1"/>
  <c r="BK36" i="20" s="1"/>
  <c r="U39" i="20"/>
  <c r="V39" i="20" s="1"/>
  <c r="W39" i="20" s="1"/>
  <c r="AQ16" i="20"/>
  <c r="S36" i="20"/>
  <c r="U28" i="20"/>
  <c r="V28" i="20" s="1"/>
  <c r="W28" i="20" s="1"/>
  <c r="AA28" i="20"/>
  <c r="AB28" i="20" s="1"/>
  <c r="S23" i="20"/>
  <c r="AF23" i="20"/>
  <c r="AG23" i="20" s="1"/>
  <c r="Q16" i="20"/>
  <c r="AS16" i="20" s="1"/>
  <c r="S28" i="20"/>
  <c r="AF19" i="20"/>
  <c r="AG19" i="20" s="1"/>
  <c r="AO28" i="20"/>
  <c r="AP28" i="20" s="1"/>
  <c r="AD39" i="20"/>
  <c r="U12" i="20"/>
  <c r="V12" i="20" s="1"/>
  <c r="W12" i="20" s="1"/>
  <c r="R64" i="20"/>
  <c r="T64" i="20" s="1"/>
  <c r="BI64" i="20" s="1"/>
  <c r="AH33" i="20"/>
  <c r="AH16" i="20"/>
  <c r="AA16" i="20"/>
  <c r="AB16" i="20" s="1"/>
  <c r="AE16" i="20" s="1"/>
  <c r="X23" i="20"/>
  <c r="Y23" i="20" s="1"/>
  <c r="Z23" i="20" s="1"/>
  <c r="AV196" i="20"/>
  <c r="BL196" i="20" s="1"/>
  <c r="AI20" i="20"/>
  <c r="AE181" i="20"/>
  <c r="BE181" i="20" s="1"/>
  <c r="T179" i="20"/>
  <c r="BI179" i="20" s="1"/>
  <c r="B270" i="2"/>
  <c r="J79" i="1" s="1"/>
  <c r="AH12" i="20"/>
  <c r="AI12" i="20" s="1"/>
  <c r="AD12" i="20"/>
  <c r="AF28" i="20"/>
  <c r="AG28" i="20" s="1"/>
  <c r="AD28" i="20"/>
  <c r="AH28" i="20"/>
  <c r="B121" i="2"/>
  <c r="E27" i="1" s="1"/>
  <c r="R95" i="20"/>
  <c r="T95" i="20" s="1"/>
  <c r="AH19" i="20"/>
  <c r="AH13" i="20"/>
  <c r="S93" i="20"/>
  <c r="AH94" i="20"/>
  <c r="Q89" i="20"/>
  <c r="AS89" i="20" s="1"/>
  <c r="Q28" i="20"/>
  <c r="AS28" i="20" s="1"/>
  <c r="AE103" i="20"/>
  <c r="BE103" i="20" s="1"/>
  <c r="AI191" i="20"/>
  <c r="BF191" i="20" s="1"/>
  <c r="AR70" i="21"/>
  <c r="BL70" i="21" s="1"/>
  <c r="BF70" i="21" s="1"/>
  <c r="AE196" i="20"/>
  <c r="R96" i="20"/>
  <c r="T96" i="20" s="1"/>
  <c r="BI96" i="20" s="1"/>
  <c r="AQ12" i="20"/>
  <c r="AR12" i="20" s="1"/>
  <c r="AE76" i="20"/>
  <c r="AA39" i="20"/>
  <c r="AB39" i="20" s="1"/>
  <c r="AI179" i="20"/>
  <c r="BF179" i="20" s="1"/>
  <c r="R80" i="20"/>
  <c r="T80" i="20" s="1"/>
  <c r="BI80" i="20" s="1"/>
  <c r="T173" i="20"/>
  <c r="BI173" i="20" s="1"/>
  <c r="AI80" i="20"/>
  <c r="BK80" i="20" s="1"/>
  <c r="AR206" i="20"/>
  <c r="AI32" i="20"/>
  <c r="BK32" i="20" s="1"/>
  <c r="AE167" i="20"/>
  <c r="BE167" i="20" s="1"/>
  <c r="B181" i="2"/>
  <c r="E55" i="1" s="1"/>
  <c r="R100" i="20"/>
  <c r="T100" i="20" s="1"/>
  <c r="BI100" i="20" s="1"/>
  <c r="B86" i="2"/>
  <c r="E30" i="1" s="1"/>
  <c r="X10" i="20"/>
  <c r="Y10" i="20" s="1"/>
  <c r="Z10" i="20" s="1"/>
  <c r="U19" i="20"/>
  <c r="V19" i="20" s="1"/>
  <c r="W19" i="20" s="1"/>
  <c r="S39" i="20"/>
  <c r="AJ39" i="20"/>
  <c r="AK39" i="20" s="1"/>
  <c r="AN39" i="20" s="1"/>
  <c r="AQ44" i="20"/>
  <c r="AA19" i="20"/>
  <c r="AB19" i="20" s="1"/>
  <c r="AE19" i="20" s="1"/>
  <c r="U62" i="20"/>
  <c r="V62" i="20" s="1"/>
  <c r="W62" i="20" s="1"/>
  <c r="AA93" i="20"/>
  <c r="AB93" i="20" s="1"/>
  <c r="AQ39" i="20"/>
  <c r="AR203" i="20"/>
  <c r="AR201" i="20"/>
  <c r="AR194" i="20"/>
  <c r="AE173" i="20"/>
  <c r="S94" i="20"/>
  <c r="X74" i="20"/>
  <c r="Y74" i="20" s="1"/>
  <c r="Z74" i="20" s="1"/>
  <c r="X93" i="20"/>
  <c r="Y93" i="20" s="1"/>
  <c r="Z93" i="20" s="1"/>
  <c r="AD74" i="20"/>
  <c r="Q62" i="20"/>
  <c r="AS62" i="20" s="1"/>
  <c r="AO62" i="20"/>
  <c r="AP62" i="20" s="1"/>
  <c r="AR166" i="20"/>
  <c r="AR161" i="20"/>
  <c r="AR208" i="20"/>
  <c r="AE204" i="20"/>
  <c r="BE204" i="20" s="1"/>
  <c r="AM19" i="20"/>
  <c r="AA62" i="20"/>
  <c r="AB62" i="20" s="1"/>
  <c r="AE160" i="20"/>
  <c r="AS181" i="20"/>
  <c r="AR163" i="20"/>
  <c r="AR139" i="20"/>
  <c r="AR181" i="20"/>
  <c r="X19" i="20"/>
  <c r="Y19" i="20" s="1"/>
  <c r="Z19" i="20" s="1"/>
  <c r="X13" i="20"/>
  <c r="Y13" i="20" s="1"/>
  <c r="Z13" i="20" s="1"/>
  <c r="X89" i="20"/>
  <c r="Y89" i="20" s="1"/>
  <c r="Z89" i="20" s="1"/>
  <c r="AD93" i="20"/>
  <c r="AJ19" i="20"/>
  <c r="AK19" i="20" s="1"/>
  <c r="Q19" i="20"/>
  <c r="AS19" i="20" s="1"/>
  <c r="S19" i="20"/>
  <c r="AH88" i="20"/>
  <c r="AH89" i="20"/>
  <c r="X106" i="20"/>
  <c r="Y106" i="20" s="1"/>
  <c r="Z106" i="20" s="1"/>
  <c r="R68" i="20"/>
  <c r="T68" i="20" s="1"/>
  <c r="BI68" i="20" s="1"/>
  <c r="X62" i="20"/>
  <c r="Y62" i="20" s="1"/>
  <c r="Z62" i="20" s="1"/>
  <c r="AO19" i="20"/>
  <c r="AP19" i="20" s="1"/>
  <c r="Q93" i="20"/>
  <c r="AS93" i="20" s="1"/>
  <c r="AQ19" i="20"/>
  <c r="AR187" i="20"/>
  <c r="AI83" i="20"/>
  <c r="BK83" i="20" s="1"/>
  <c r="AA107" i="20"/>
  <c r="AB107" i="20" s="1"/>
  <c r="AR191" i="20"/>
  <c r="R206" i="20"/>
  <c r="T206" i="20" s="1"/>
  <c r="BI206" i="20" s="1"/>
  <c r="AE206" i="20"/>
  <c r="AR40" i="20"/>
  <c r="AN167" i="20"/>
  <c r="AR22" i="21"/>
  <c r="AN179" i="20"/>
  <c r="T47" i="21"/>
  <c r="BI47" i="21" s="1"/>
  <c r="R84" i="20"/>
  <c r="T84" i="20" s="1"/>
  <c r="BI84" i="20" s="1"/>
  <c r="AM10" i="20"/>
  <c r="S82" i="20"/>
  <c r="AD70" i="20"/>
  <c r="X104" i="20"/>
  <c r="Y104" i="20" s="1"/>
  <c r="Z104" i="20" s="1"/>
  <c r="AH104" i="20"/>
  <c r="U52" i="20"/>
  <c r="V52" i="20" s="1"/>
  <c r="W52" i="20" s="1"/>
  <c r="AH44" i="20"/>
  <c r="AD82" i="20"/>
  <c r="AO14" i="20"/>
  <c r="AP14" i="20" s="1"/>
  <c r="AR117" i="20"/>
  <c r="AR150" i="20"/>
  <c r="AR142" i="20"/>
  <c r="AR129" i="20"/>
  <c r="AV176" i="20"/>
  <c r="BL176" i="20" s="1"/>
  <c r="AG206" i="20"/>
  <c r="AI206" i="20" s="1"/>
  <c r="BK206" i="20" s="1"/>
  <c r="AR169" i="20"/>
  <c r="AR147" i="20"/>
  <c r="AR137" i="20"/>
  <c r="AR122" i="20"/>
  <c r="AR113" i="20"/>
  <c r="AG204" i="20"/>
  <c r="AI204" i="20" s="1"/>
  <c r="BF204" i="20" s="1"/>
  <c r="AE80" i="20"/>
  <c r="AI96" i="20"/>
  <c r="BK96" i="20" s="1"/>
  <c r="AD23" i="20"/>
  <c r="U23" i="20"/>
  <c r="V23" i="20" s="1"/>
  <c r="W23" i="20" s="1"/>
  <c r="AO97" i="20"/>
  <c r="AP97" i="20" s="1"/>
  <c r="AF97" i="20"/>
  <c r="AV97" i="20" s="1"/>
  <c r="BL97" i="20" s="1"/>
  <c r="AD97" i="20"/>
  <c r="AH97" i="20"/>
  <c r="S97" i="20"/>
  <c r="AM81" i="20"/>
  <c r="S81" i="20"/>
  <c r="AA102" i="20"/>
  <c r="AB102" i="20" s="1"/>
  <c r="AF102" i="20"/>
  <c r="AG102" i="20" s="1"/>
  <c r="AD102" i="20"/>
  <c r="AJ86" i="20"/>
  <c r="AK86" i="20" s="1"/>
  <c r="AO86" i="20"/>
  <c r="AP86" i="20" s="1"/>
  <c r="AF86" i="20"/>
  <c r="AG86" i="20" s="1"/>
  <c r="AA86" i="20"/>
  <c r="AB86" i="20" s="1"/>
  <c r="AD86" i="20"/>
  <c r="AM44" i="20"/>
  <c r="X44" i="20"/>
  <c r="Y44" i="20" s="1"/>
  <c r="Z44" i="20" s="1"/>
  <c r="Q52" i="20"/>
  <c r="AS52" i="20" s="1"/>
  <c r="AO52" i="20"/>
  <c r="AP52" i="20" s="1"/>
  <c r="S52" i="20"/>
  <c r="AM101" i="20"/>
  <c r="Q101" i="20"/>
  <c r="AS101" i="20" s="1"/>
  <c r="AM85" i="20"/>
  <c r="AN85" i="20" s="1"/>
  <c r="AF85" i="20"/>
  <c r="AV85" i="20" s="1"/>
  <c r="BL85" i="20" s="1"/>
  <c r="AM69" i="20"/>
  <c r="AF69" i="20"/>
  <c r="AG69" i="20" s="1"/>
  <c r="AM98" i="20"/>
  <c r="AF98" i="20"/>
  <c r="S98" i="20"/>
  <c r="AI152" i="20"/>
  <c r="BK152" i="20" s="1"/>
  <c r="B163" i="2"/>
  <c r="E46" i="1" s="1"/>
  <c r="S10" i="20"/>
  <c r="AM23" i="20"/>
  <c r="AM14" i="20"/>
  <c r="AH86" i="20"/>
  <c r="X52" i="20"/>
  <c r="Y52" i="20" s="1"/>
  <c r="Z52" i="20" s="1"/>
  <c r="X70" i="20"/>
  <c r="Y70" i="20" s="1"/>
  <c r="Z70" i="20" s="1"/>
  <c r="U102" i="20"/>
  <c r="V102" i="20" s="1"/>
  <c r="W102" i="20" s="1"/>
  <c r="U104" i="20"/>
  <c r="V104" i="20" s="1"/>
  <c r="W104" i="20" s="1"/>
  <c r="AH81" i="20"/>
  <c r="U10" i="20"/>
  <c r="V10" i="20" s="1"/>
  <c r="W10" i="20" s="1"/>
  <c r="AD104" i="20"/>
  <c r="AD52" i="20"/>
  <c r="S104" i="20"/>
  <c r="AG64" i="20"/>
  <c r="AI64" i="20" s="1"/>
  <c r="BF64" i="20" s="1"/>
  <c r="AV96" i="20"/>
  <c r="BL96" i="20" s="1"/>
  <c r="S101" i="20"/>
  <c r="AA97" i="20"/>
  <c r="AB97" i="20" s="1"/>
  <c r="AO10" i="20"/>
  <c r="AP10" i="20" s="1"/>
  <c r="Q102" i="20"/>
  <c r="AS102" i="20" s="1"/>
  <c r="AO102" i="20"/>
  <c r="AP102" i="20" s="1"/>
  <c r="AG139" i="20"/>
  <c r="AI139" i="20" s="1"/>
  <c r="BF139" i="20" s="1"/>
  <c r="AG159" i="20"/>
  <c r="AI159" i="20" s="1"/>
  <c r="BK159" i="20" s="1"/>
  <c r="AV152" i="20"/>
  <c r="BL152" i="20" s="1"/>
  <c r="AO36" i="20"/>
  <c r="AP36" i="20" s="1"/>
  <c r="AM36" i="20"/>
  <c r="X36" i="20"/>
  <c r="Y36" i="20" s="1"/>
  <c r="Z36" i="20" s="1"/>
  <c r="Q36" i="20"/>
  <c r="AS36" i="20" s="1"/>
  <c r="AE71" i="20"/>
  <c r="AE108" i="20"/>
  <c r="BE108" i="20" s="1"/>
  <c r="AR199" i="20"/>
  <c r="T191" i="20"/>
  <c r="BI191" i="20" s="1"/>
  <c r="AR182" i="20"/>
  <c r="T196" i="20"/>
  <c r="BI196" i="20" s="1"/>
  <c r="AR121" i="20"/>
  <c r="AR114" i="20"/>
  <c r="AR135" i="20"/>
  <c r="AR128" i="20"/>
  <c r="AR127" i="20"/>
  <c r="AR136" i="20"/>
  <c r="AR120" i="20"/>
  <c r="AR178" i="20"/>
  <c r="AR132" i="20"/>
  <c r="AR149" i="20"/>
  <c r="AR125" i="20"/>
  <c r="AR184" i="20"/>
  <c r="AR176" i="20"/>
  <c r="AN106" i="20"/>
  <c r="AN90" i="20"/>
  <c r="AN110" i="20"/>
  <c r="AN117" i="20"/>
  <c r="AN140" i="20"/>
  <c r="AN103" i="20"/>
  <c r="AN100" i="20"/>
  <c r="AN84" i="20"/>
  <c r="AN136" i="20"/>
  <c r="AN121" i="20"/>
  <c r="AN135" i="20"/>
  <c r="AN133" i="20"/>
  <c r="AN141" i="20"/>
  <c r="AN147" i="20"/>
  <c r="AN137" i="20"/>
  <c r="AN129" i="20"/>
  <c r="AN128" i="20"/>
  <c r="AN67" i="20"/>
  <c r="AR196" i="20"/>
  <c r="AR173" i="20"/>
  <c r="AR152" i="20"/>
  <c r="AR93" i="20"/>
  <c r="AE139" i="20"/>
  <c r="BE139" i="20" s="1"/>
  <c r="AM12" i="20"/>
  <c r="X73" i="20"/>
  <c r="Y73" i="20" s="1"/>
  <c r="Z73" i="20" s="1"/>
  <c r="X107" i="20"/>
  <c r="Y107" i="20" s="1"/>
  <c r="Z107" i="20" s="1"/>
  <c r="X12" i="20"/>
  <c r="Y12" i="20" s="1"/>
  <c r="Z12" i="20" s="1"/>
  <c r="U93" i="20"/>
  <c r="V93" i="20" s="1"/>
  <c r="W93" i="20" s="1"/>
  <c r="U77" i="20"/>
  <c r="V77" i="20" s="1"/>
  <c r="W77" i="20" s="1"/>
  <c r="X78" i="20"/>
  <c r="Y78" i="20" s="1"/>
  <c r="Z78" i="20" s="1"/>
  <c r="S78" i="20"/>
  <c r="AD77" i="20"/>
  <c r="AH93" i="20"/>
  <c r="AH39" i="20"/>
  <c r="X105" i="20"/>
  <c r="Y105" i="20" s="1"/>
  <c r="Z105" i="20" s="1"/>
  <c r="AD106" i="20"/>
  <c r="AH62" i="20"/>
  <c r="AD62" i="20"/>
  <c r="AH77" i="20"/>
  <c r="S73" i="20"/>
  <c r="S89" i="20"/>
  <c r="AH105" i="20"/>
  <c r="Q73" i="20"/>
  <c r="AS73" i="20" s="1"/>
  <c r="AF94" i="20"/>
  <c r="AG94" i="20" s="1"/>
  <c r="Q78" i="20"/>
  <c r="AS78" i="20" s="1"/>
  <c r="AA12" i="20"/>
  <c r="AB12" i="20" s="1"/>
  <c r="Q12" i="20"/>
  <c r="AS12" i="20" s="1"/>
  <c r="AF93" i="20"/>
  <c r="AG93" i="20" s="1"/>
  <c r="AF77" i="20"/>
  <c r="AG77" i="20" s="1"/>
  <c r="AF74" i="20"/>
  <c r="AG74" i="20" s="1"/>
  <c r="AO39" i="20"/>
  <c r="AP39" i="20" s="1"/>
  <c r="AO89" i="20"/>
  <c r="AP89" i="20" s="1"/>
  <c r="Q39" i="20"/>
  <c r="AS39" i="20" s="1"/>
  <c r="AR188" i="20"/>
  <c r="AR180" i="20"/>
  <c r="AR145" i="20"/>
  <c r="AR175" i="20"/>
  <c r="AE175" i="20"/>
  <c r="BE175" i="20" s="1"/>
  <c r="AR160" i="20"/>
  <c r="AR168" i="20"/>
  <c r="AR197" i="20"/>
  <c r="AR131" i="20"/>
  <c r="AR148" i="20"/>
  <c r="AR146" i="20"/>
  <c r="AR130" i="20"/>
  <c r="AR209" i="20"/>
  <c r="AR133" i="20"/>
  <c r="AR126" i="20"/>
  <c r="AR165" i="20"/>
  <c r="AR157" i="20"/>
  <c r="BK143" i="20"/>
  <c r="T139" i="20"/>
  <c r="BI139" i="20" s="1"/>
  <c r="AF39" i="20"/>
  <c r="AD107" i="20"/>
  <c r="AN99" i="20"/>
  <c r="AN111" i="20"/>
  <c r="AJ12" i="20"/>
  <c r="AK12" i="20" s="1"/>
  <c r="AR84" i="20"/>
  <c r="AR167" i="20"/>
  <c r="AR172" i="20"/>
  <c r="AR204" i="20"/>
  <c r="AH107" i="20"/>
  <c r="AH98" i="20"/>
  <c r="AH82" i="20"/>
  <c r="AH52" i="20"/>
  <c r="AI52" i="20" s="1"/>
  <c r="U89" i="20"/>
  <c r="V89" i="20" s="1"/>
  <c r="W89" i="20" s="1"/>
  <c r="X94" i="20"/>
  <c r="Y94" i="20" s="1"/>
  <c r="Z94" i="20" s="1"/>
  <c r="U69" i="20"/>
  <c r="V69" i="20" s="1"/>
  <c r="W69" i="20" s="1"/>
  <c r="U44" i="20"/>
  <c r="V44" i="20" s="1"/>
  <c r="W44" i="20" s="1"/>
  <c r="X98" i="20"/>
  <c r="Y98" i="20" s="1"/>
  <c r="Z98" i="20" s="1"/>
  <c r="U78" i="20"/>
  <c r="V78" i="20" s="1"/>
  <c r="W78" i="20" s="1"/>
  <c r="U82" i="20"/>
  <c r="V82" i="20" s="1"/>
  <c r="W82" i="20" s="1"/>
  <c r="AD88" i="20"/>
  <c r="AD78" i="20"/>
  <c r="AD89" i="20"/>
  <c r="AE89" i="20" s="1"/>
  <c r="AH101" i="20"/>
  <c r="AD101" i="20"/>
  <c r="S62" i="20"/>
  <c r="U13" i="20"/>
  <c r="V13" i="20" s="1"/>
  <c r="W13" i="20" s="1"/>
  <c r="AD44" i="20"/>
  <c r="U94" i="20"/>
  <c r="V94" i="20" s="1"/>
  <c r="W94" i="20" s="1"/>
  <c r="AH69" i="20"/>
  <c r="AH73" i="20"/>
  <c r="AD94" i="20"/>
  <c r="AH78" i="20"/>
  <c r="AD98" i="20"/>
  <c r="AD105" i="20"/>
  <c r="AV83" i="20"/>
  <c r="BL83" i="20" s="1"/>
  <c r="Q105" i="20"/>
  <c r="AS105" i="20" s="1"/>
  <c r="AF89" i="20"/>
  <c r="AV89" i="20" s="1"/>
  <c r="BL89" i="20" s="1"/>
  <c r="AF73" i="20"/>
  <c r="AG73" i="20" s="1"/>
  <c r="Q94" i="20"/>
  <c r="AS94" i="20" s="1"/>
  <c r="AF78" i="20"/>
  <c r="AG78" i="20" s="1"/>
  <c r="AF62" i="20"/>
  <c r="AG62" i="20" s="1"/>
  <c r="AF101" i="20"/>
  <c r="AA82" i="20"/>
  <c r="AB82" i="20" s="1"/>
  <c r="AA105" i="20"/>
  <c r="AB105" i="20" s="1"/>
  <c r="AA94" i="20"/>
  <c r="AB94" i="20" s="1"/>
  <c r="AA78" i="20"/>
  <c r="AB78" i="20" s="1"/>
  <c r="AA69" i="20"/>
  <c r="AB69" i="20" s="1"/>
  <c r="Q98" i="20"/>
  <c r="AS98" i="20" s="1"/>
  <c r="AF82" i="20"/>
  <c r="AG82" i="20" s="1"/>
  <c r="AF66" i="20"/>
  <c r="AG66" i="20" s="1"/>
  <c r="AR76" i="20"/>
  <c r="AO73" i="20"/>
  <c r="AP73" i="20" s="1"/>
  <c r="AR73" i="20" s="1"/>
  <c r="AO78" i="20"/>
  <c r="AP78" i="20" s="1"/>
  <c r="AR124" i="20"/>
  <c r="AS204" i="20"/>
  <c r="AR189" i="20"/>
  <c r="AR195" i="20"/>
  <c r="AR207" i="20"/>
  <c r="AR200" i="20"/>
  <c r="T181" i="20"/>
  <c r="BI181" i="20" s="1"/>
  <c r="AR140" i="20"/>
  <c r="AR174" i="20"/>
  <c r="AR202" i="20"/>
  <c r="AO44" i="20"/>
  <c r="AP44" i="20" s="1"/>
  <c r="AF44" i="20"/>
  <c r="AG44" i="20" s="1"/>
  <c r="AA44" i="20"/>
  <c r="AB44" i="20" s="1"/>
  <c r="AF107" i="20"/>
  <c r="AG107" i="20" s="1"/>
  <c r="Q44" i="20"/>
  <c r="AS44" i="20" s="1"/>
  <c r="AJ44" i="20"/>
  <c r="AK44" i="20" s="1"/>
  <c r="AR179" i="20"/>
  <c r="AR159" i="20"/>
  <c r="AN174" i="20"/>
  <c r="AV56" i="21"/>
  <c r="BM56" i="21" s="1"/>
  <c r="AN115" i="20"/>
  <c r="AN120" i="20"/>
  <c r="AN87" i="20"/>
  <c r="AN114" i="20"/>
  <c r="AN123" i="20"/>
  <c r="AN127" i="20"/>
  <c r="AN113" i="20"/>
  <c r="AN152" i="20"/>
  <c r="AN79" i="20"/>
  <c r="AN83" i="20"/>
  <c r="AV76" i="21"/>
  <c r="BM76" i="21" s="1"/>
  <c r="AN93" i="20"/>
  <c r="AN112" i="20"/>
  <c r="AN131" i="20"/>
  <c r="AN122" i="20"/>
  <c r="AN142" i="20"/>
  <c r="AN146" i="20"/>
  <c r="AN144" i="20"/>
  <c r="AN150" i="20"/>
  <c r="AN138" i="20"/>
  <c r="AN126" i="20"/>
  <c r="AN191" i="20"/>
  <c r="B135" i="2"/>
  <c r="E29" i="1" s="1"/>
  <c r="AN91" i="20"/>
  <c r="AN192" i="20"/>
  <c r="AN204" i="20"/>
  <c r="AN162" i="20"/>
  <c r="AN158" i="20"/>
  <c r="AV179" i="20"/>
  <c r="BL179" i="20" s="1"/>
  <c r="AN178" i="20"/>
  <c r="AN208" i="20"/>
  <c r="AN186" i="20"/>
  <c r="BE143" i="20"/>
  <c r="BE183" i="20"/>
  <c r="AK173" i="20"/>
  <c r="AN173" i="20" s="1"/>
  <c r="AV173" i="20"/>
  <c r="BL173" i="20" s="1"/>
  <c r="AN194" i="20"/>
  <c r="AJ52" i="20"/>
  <c r="AK52" i="20" s="1"/>
  <c r="AM52" i="20"/>
  <c r="R151" i="20"/>
  <c r="T151" i="20" s="1"/>
  <c r="BI151" i="20" s="1"/>
  <c r="AS151" i="20"/>
  <c r="AN181" i="20"/>
  <c r="AN172" i="20"/>
  <c r="R159" i="20"/>
  <c r="T159" i="20" s="1"/>
  <c r="BI159" i="20" s="1"/>
  <c r="AS159" i="20"/>
  <c r="AN188" i="20"/>
  <c r="AN166" i="20"/>
  <c r="AN203" i="20"/>
  <c r="AN201" i="20"/>
  <c r="AN165" i="20"/>
  <c r="AN199" i="20"/>
  <c r="AN160" i="20"/>
  <c r="AN195" i="20"/>
  <c r="AN209" i="20"/>
  <c r="S88" i="20"/>
  <c r="X69" i="20"/>
  <c r="Y69" i="20" s="1"/>
  <c r="Z69" i="20" s="1"/>
  <c r="X82" i="20"/>
  <c r="Y82" i="20" s="1"/>
  <c r="Z82" i="20" s="1"/>
  <c r="U81" i="20"/>
  <c r="V81" i="20" s="1"/>
  <c r="W81" i="20" s="1"/>
  <c r="X86" i="20"/>
  <c r="Y86" i="20" s="1"/>
  <c r="Z86" i="20" s="1"/>
  <c r="X17" i="20"/>
  <c r="Y17" i="20" s="1"/>
  <c r="Z17" i="20" s="1"/>
  <c r="X72" i="20"/>
  <c r="Y72" i="20" s="1"/>
  <c r="Z72" i="20" s="1"/>
  <c r="U97" i="20"/>
  <c r="V97" i="20" s="1"/>
  <c r="W97" i="20" s="1"/>
  <c r="U65" i="20"/>
  <c r="V65" i="20" s="1"/>
  <c r="W65" i="20" s="1"/>
  <c r="U72" i="20"/>
  <c r="V72" i="20" s="1"/>
  <c r="W72" i="20" s="1"/>
  <c r="U101" i="20"/>
  <c r="V101" i="20" s="1"/>
  <c r="W101" i="20" s="1"/>
  <c r="U107" i="20"/>
  <c r="V107" i="20" s="1"/>
  <c r="W107" i="20" s="1"/>
  <c r="U70" i="20"/>
  <c r="V70" i="20" s="1"/>
  <c r="W70" i="20" s="1"/>
  <c r="X102" i="20"/>
  <c r="Y102" i="20" s="1"/>
  <c r="Z102" i="20" s="1"/>
  <c r="X97" i="20"/>
  <c r="Y97" i="20" s="1"/>
  <c r="Z97" i="20" s="1"/>
  <c r="S69" i="20"/>
  <c r="S102" i="20"/>
  <c r="X101" i="20"/>
  <c r="Y101" i="20" s="1"/>
  <c r="Z101" i="20" s="1"/>
  <c r="S107" i="20"/>
  <c r="U86" i="20"/>
  <c r="V86" i="20" s="1"/>
  <c r="W86" i="20" s="1"/>
  <c r="S66" i="20"/>
  <c r="AA81" i="20"/>
  <c r="AB81" i="20" s="1"/>
  <c r="AE81" i="20" s="1"/>
  <c r="AA98" i="20"/>
  <c r="AB98" i="20" s="1"/>
  <c r="AA66" i="20"/>
  <c r="AB66" i="20" s="1"/>
  <c r="AR9" i="20"/>
  <c r="Q97" i="20"/>
  <c r="AS97" i="20" s="1"/>
  <c r="Q81" i="20"/>
  <c r="AS81" i="20" s="1"/>
  <c r="Q86" i="20"/>
  <c r="AS86" i="20" s="1"/>
  <c r="Q70" i="20"/>
  <c r="AS70" i="20" s="1"/>
  <c r="AA101" i="20"/>
  <c r="AB101" i="20" s="1"/>
  <c r="Q82" i="20"/>
  <c r="AS82" i="20" s="1"/>
  <c r="AA65" i="20"/>
  <c r="AB65" i="20" s="1"/>
  <c r="AJ65" i="20"/>
  <c r="AK65" i="20" s="1"/>
  <c r="AN65" i="20" s="1"/>
  <c r="AQ61" i="20"/>
  <c r="AQ66" i="20"/>
  <c r="AO98" i="20"/>
  <c r="AP98" i="20" s="1"/>
  <c r="AR98" i="20" s="1"/>
  <c r="AJ70" i="20"/>
  <c r="AK70" i="20" s="1"/>
  <c r="AN70" i="20" s="1"/>
  <c r="AO101" i="20"/>
  <c r="AP101" i="20" s="1"/>
  <c r="AR101" i="20" s="1"/>
  <c r="AQ82" i="20"/>
  <c r="AN80" i="20"/>
  <c r="AQ52" i="20"/>
  <c r="AR115" i="20"/>
  <c r="BF171" i="20"/>
  <c r="AV188" i="20"/>
  <c r="BL188" i="20" s="1"/>
  <c r="AR164" i="20"/>
  <c r="AR185" i="20"/>
  <c r="AR170" i="20"/>
  <c r="AR154" i="20"/>
  <c r="AR138" i="20"/>
  <c r="AR153" i="20"/>
  <c r="AR190" i="20"/>
  <c r="AV165" i="20"/>
  <c r="BL165" i="20" s="1"/>
  <c r="AV181" i="20"/>
  <c r="BL181" i="20" s="1"/>
  <c r="AR144" i="20"/>
  <c r="AR205" i="20"/>
  <c r="AR123" i="20"/>
  <c r="AR198" i="20"/>
  <c r="AR186" i="20"/>
  <c r="AR177" i="20"/>
  <c r="AR119" i="20"/>
  <c r="AV151" i="20"/>
  <c r="BL151" i="20" s="1"/>
  <c r="AR141" i="20"/>
  <c r="AE202" i="20"/>
  <c r="BE202" i="20" s="1"/>
  <c r="BE171" i="20"/>
  <c r="AA52" i="20"/>
  <c r="AB52" i="20" s="1"/>
  <c r="BE152" i="20"/>
  <c r="AV194" i="20"/>
  <c r="BL194" i="20" s="1"/>
  <c r="AJ88" i="20"/>
  <c r="AK88" i="20" s="1"/>
  <c r="AJ101" i="20"/>
  <c r="AK101" i="20" s="1"/>
  <c r="AJ98" i="20"/>
  <c r="AK98" i="20" s="1"/>
  <c r="AR91" i="20"/>
  <c r="BE156" i="20"/>
  <c r="AR96" i="20"/>
  <c r="AN125" i="20"/>
  <c r="AN134" i="20"/>
  <c r="AN124" i="20"/>
  <c r="AN145" i="20"/>
  <c r="AN154" i="20"/>
  <c r="AN153" i="20"/>
  <c r="AN148" i="20"/>
  <c r="AN96" i="20"/>
  <c r="AN130" i="20"/>
  <c r="AN119" i="20"/>
  <c r="AN206" i="20"/>
  <c r="AN161" i="20"/>
  <c r="AN205" i="20"/>
  <c r="AN185" i="20"/>
  <c r="AN177" i="20"/>
  <c r="AN170" i="20"/>
  <c r="AN184" i="20"/>
  <c r="AN190" i="20"/>
  <c r="AN202" i="20"/>
  <c r="AN151" i="20"/>
  <c r="R172" i="20"/>
  <c r="T172" i="20" s="1"/>
  <c r="BI172" i="20" s="1"/>
  <c r="AS172" i="20"/>
  <c r="AN159" i="20"/>
  <c r="AN182" i="20"/>
  <c r="AN180" i="20"/>
  <c r="AN164" i="20"/>
  <c r="AN132" i="20"/>
  <c r="AN149" i="20"/>
  <c r="AN175" i="20"/>
  <c r="AN187" i="20"/>
  <c r="AN169" i="20"/>
  <c r="AN157" i="20"/>
  <c r="AN163" i="20"/>
  <c r="AN207" i="20"/>
  <c r="AN197" i="20"/>
  <c r="AN176" i="20"/>
  <c r="AN198" i="20"/>
  <c r="AN196" i="20"/>
  <c r="AN189" i="20"/>
  <c r="AN200" i="20"/>
  <c r="AN168" i="20"/>
  <c r="AV71" i="20"/>
  <c r="BL71" i="20" s="1"/>
  <c r="U88" i="20"/>
  <c r="V88" i="20" s="1"/>
  <c r="W88" i="20" s="1"/>
  <c r="AM88" i="20"/>
  <c r="AQ88" i="20"/>
  <c r="AO107" i="20"/>
  <c r="AP107" i="20" s="1"/>
  <c r="AR107" i="20" s="1"/>
  <c r="AM107" i="20"/>
  <c r="AQ97" i="20"/>
  <c r="AM97" i="20"/>
  <c r="AN97" i="20" s="1"/>
  <c r="AQ102" i="20"/>
  <c r="AM102" i="20"/>
  <c r="AN102" i="20" s="1"/>
  <c r="AQ86" i="20"/>
  <c r="AM86" i="20"/>
  <c r="BE96" i="20"/>
  <c r="AO104" i="20"/>
  <c r="AP104" i="20" s="1"/>
  <c r="AM104" i="20"/>
  <c r="AN104" i="20" s="1"/>
  <c r="AQ104" i="20"/>
  <c r="Q104" i="20"/>
  <c r="AA104" i="20"/>
  <c r="AB104" i="20" s="1"/>
  <c r="AJ107" i="20"/>
  <c r="AK107" i="20" s="1"/>
  <c r="AQ105" i="20"/>
  <c r="AR105" i="20" s="1"/>
  <c r="AM105" i="20"/>
  <c r="AN105" i="20" s="1"/>
  <c r="AQ89" i="20"/>
  <c r="AM89" i="20"/>
  <c r="AN89" i="20" s="1"/>
  <c r="AQ94" i="20"/>
  <c r="AR94" i="20" s="1"/>
  <c r="AM94" i="20"/>
  <c r="AN94" i="20" s="1"/>
  <c r="AE64" i="20"/>
  <c r="R82" i="21"/>
  <c r="T82" i="21" s="1"/>
  <c r="BI82" i="21" s="1"/>
  <c r="AI97" i="21"/>
  <c r="AJ13" i="20"/>
  <c r="AK13" i="20" s="1"/>
  <c r="AQ23" i="20"/>
  <c r="AA23" i="20"/>
  <c r="AB23" i="20" s="1"/>
  <c r="AO23" i="20"/>
  <c r="AP23" i="20" s="1"/>
  <c r="AH72" i="20"/>
  <c r="AD41" i="20"/>
  <c r="Q65" i="20"/>
  <c r="AS65" i="20" s="1"/>
  <c r="AO65" i="20"/>
  <c r="AP65" i="20" s="1"/>
  <c r="AO72" i="20"/>
  <c r="AP72" i="20" s="1"/>
  <c r="AR67" i="20"/>
  <c r="U31" i="20"/>
  <c r="V31" i="20" s="1"/>
  <c r="W31" i="20" s="1"/>
  <c r="AE199" i="20"/>
  <c r="BE199" i="20" s="1"/>
  <c r="AR111" i="20"/>
  <c r="AD72" i="20"/>
  <c r="AC20" i="20"/>
  <c r="AE20" i="20" s="1"/>
  <c r="AJ20" i="20"/>
  <c r="AK20" i="20" s="1"/>
  <c r="AN20" i="20" s="1"/>
  <c r="AO20" i="20"/>
  <c r="AP20" i="20" s="1"/>
  <c r="AR20" i="20" s="1"/>
  <c r="AR99" i="20"/>
  <c r="AV80" i="20"/>
  <c r="BL80" i="20" s="1"/>
  <c r="AM46" i="20"/>
  <c r="AN46" i="20" s="1"/>
  <c r="AJ61" i="20"/>
  <c r="AK61" i="20" s="1"/>
  <c r="AN61" i="20" s="1"/>
  <c r="AR112" i="20"/>
  <c r="AR110" i="20"/>
  <c r="AR27" i="20"/>
  <c r="Q72" i="20"/>
  <c r="AS72" i="20" s="1"/>
  <c r="AM72" i="20"/>
  <c r="AQ72" i="20"/>
  <c r="AF72" i="20"/>
  <c r="AA72" i="20"/>
  <c r="AB72" i="20" s="1"/>
  <c r="AC88" i="20"/>
  <c r="AO88" i="20"/>
  <c r="AP88" i="20" s="1"/>
  <c r="AF88" i="20"/>
  <c r="AG88" i="20" s="1"/>
  <c r="AA88" i="20"/>
  <c r="AB88" i="20" s="1"/>
  <c r="Q88" i="20"/>
  <c r="AA26" i="20"/>
  <c r="AB26" i="20" s="1"/>
  <c r="AM30" i="20"/>
  <c r="R11" i="21"/>
  <c r="T11" i="21" s="1"/>
  <c r="BI11" i="21" s="1"/>
  <c r="AM25" i="20"/>
  <c r="AM26" i="20"/>
  <c r="AN27" i="20"/>
  <c r="AO30" i="20"/>
  <c r="AP30" i="20" s="1"/>
  <c r="AQ26" i="20"/>
  <c r="AV117" i="20"/>
  <c r="BL117" i="20" s="1"/>
  <c r="AR67" i="21"/>
  <c r="AR58" i="21"/>
  <c r="BL58" i="21" s="1"/>
  <c r="BF58" i="21" s="1"/>
  <c r="AR42" i="21"/>
  <c r="AI83" i="21"/>
  <c r="AE27" i="20"/>
  <c r="S30" i="20"/>
  <c r="U30" i="20"/>
  <c r="V30" i="20" s="1"/>
  <c r="W30" i="20" s="1"/>
  <c r="AJ25" i="20"/>
  <c r="AK25" i="20" s="1"/>
  <c r="AO26" i="20"/>
  <c r="AP26" i="20" s="1"/>
  <c r="Q33" i="20"/>
  <c r="AS33" i="20" s="1"/>
  <c r="AJ26" i="20"/>
  <c r="AK26" i="20" s="1"/>
  <c r="AQ30" i="20"/>
  <c r="AE150" i="20"/>
  <c r="BE150" i="20" s="1"/>
  <c r="AE189" i="20"/>
  <c r="BE189" i="20" s="1"/>
  <c r="AG120" i="20"/>
  <c r="AI120" i="20" s="1"/>
  <c r="BF120" i="20" s="1"/>
  <c r="AE119" i="20"/>
  <c r="BE119" i="20" s="1"/>
  <c r="R22" i="21"/>
  <c r="T22" i="21" s="1"/>
  <c r="BI22" i="21" s="1"/>
  <c r="AI35" i="21"/>
  <c r="AI47" i="21"/>
  <c r="AR51" i="20"/>
  <c r="AV67" i="21"/>
  <c r="BM67" i="21" s="1"/>
  <c r="AG67" i="21"/>
  <c r="AI67" i="21" s="1"/>
  <c r="S29" i="20"/>
  <c r="AG24" i="20"/>
  <c r="S31" i="20"/>
  <c r="AJ31" i="20"/>
  <c r="AK31" i="20" s="1"/>
  <c r="AJ18" i="20"/>
  <c r="AK18" i="20" s="1"/>
  <c r="AR22" i="20"/>
  <c r="AE185" i="20"/>
  <c r="BE185" i="20" s="1"/>
  <c r="AG185" i="20"/>
  <c r="AI185" i="20" s="1"/>
  <c r="BF185" i="20" s="1"/>
  <c r="AG130" i="20"/>
  <c r="AI130" i="20" s="1"/>
  <c r="BF130" i="20" s="1"/>
  <c r="AE203" i="20"/>
  <c r="BE203" i="20" s="1"/>
  <c r="AG194" i="20"/>
  <c r="AI194" i="20" s="1"/>
  <c r="BF194" i="20" s="1"/>
  <c r="AI81" i="21"/>
  <c r="AI82" i="21"/>
  <c r="U53" i="20"/>
  <c r="V53" i="20" s="1"/>
  <c r="W53" i="20" s="1"/>
  <c r="R27" i="20"/>
  <c r="T27" i="20" s="1"/>
  <c r="BI27" i="20" s="1"/>
  <c r="AH50" i="20"/>
  <c r="AH49" i="20"/>
  <c r="AE99" i="20"/>
  <c r="BE99" i="20" s="1"/>
  <c r="AJ29" i="20"/>
  <c r="AK29" i="20" s="1"/>
  <c r="Q30" i="20"/>
  <c r="AS30" i="20" s="1"/>
  <c r="AC30" i="20"/>
  <c r="AI106" i="21"/>
  <c r="R92" i="20"/>
  <c r="T92" i="20" s="1"/>
  <c r="BI92" i="20" s="1"/>
  <c r="R76" i="20"/>
  <c r="T76" i="20" s="1"/>
  <c r="BI76" i="20" s="1"/>
  <c r="AH37" i="20"/>
  <c r="R91" i="20"/>
  <c r="T91" i="20" s="1"/>
  <c r="BI91" i="20" s="1"/>
  <c r="S50" i="20"/>
  <c r="AH18" i="20"/>
  <c r="U37" i="20"/>
  <c r="V37" i="20" s="1"/>
  <c r="W37" i="20" s="1"/>
  <c r="AH21" i="20"/>
  <c r="AD42" i="20"/>
  <c r="S49" i="20"/>
  <c r="AH42" i="20"/>
  <c r="R60" i="20"/>
  <c r="T60" i="20" s="1"/>
  <c r="BI60" i="20" s="1"/>
  <c r="S37" i="20"/>
  <c r="AH41" i="20"/>
  <c r="U46" i="20"/>
  <c r="V46" i="20" s="1"/>
  <c r="W46" i="20" s="1"/>
  <c r="AA31" i="20"/>
  <c r="AB31" i="20" s="1"/>
  <c r="AE31" i="20" s="1"/>
  <c r="AO17" i="20"/>
  <c r="AP17" i="20" s="1"/>
  <c r="Q31" i="20"/>
  <c r="AA53" i="20"/>
  <c r="AB53" i="20" s="1"/>
  <c r="Q46" i="20"/>
  <c r="AS46" i="20" s="1"/>
  <c r="Q26" i="20"/>
  <c r="AS26" i="20" s="1"/>
  <c r="AC26" i="20"/>
  <c r="AS94" i="21"/>
  <c r="AE58" i="21"/>
  <c r="AI105" i="21"/>
  <c r="S18" i="20"/>
  <c r="AM29" i="20"/>
  <c r="AV22" i="20"/>
  <c r="BL22" i="20" s="1"/>
  <c r="U33" i="20"/>
  <c r="V33" i="20" s="1"/>
  <c r="W33" i="20" s="1"/>
  <c r="R99" i="20"/>
  <c r="T99" i="20" s="1"/>
  <c r="BI99" i="20" s="1"/>
  <c r="X29" i="20"/>
  <c r="Y29" i="20" s="1"/>
  <c r="Z29" i="20" s="1"/>
  <c r="AI63" i="20"/>
  <c r="AA29" i="20"/>
  <c r="AB29" i="20" s="1"/>
  <c r="AO33" i="20"/>
  <c r="AP33" i="20" s="1"/>
  <c r="Q29" i="20"/>
  <c r="AS29" i="20" s="1"/>
  <c r="U18" i="20"/>
  <c r="V18" i="20" s="1"/>
  <c r="W18" i="20" s="1"/>
  <c r="AN51" i="20"/>
  <c r="AE115" i="20"/>
  <c r="BE115" i="20" s="1"/>
  <c r="AE161" i="20"/>
  <c r="BE161" i="20" s="1"/>
  <c r="AV208" i="20"/>
  <c r="BL208" i="20" s="1"/>
  <c r="AG161" i="20"/>
  <c r="AI161" i="20" s="1"/>
  <c r="BF161" i="20" s="1"/>
  <c r="AG201" i="20"/>
  <c r="AI201" i="20" s="1"/>
  <c r="BF201" i="20" s="1"/>
  <c r="AE137" i="20"/>
  <c r="BE137" i="20" s="1"/>
  <c r="AE146" i="20"/>
  <c r="BE146" i="20" s="1"/>
  <c r="AE198" i="20"/>
  <c r="BE198" i="20" s="1"/>
  <c r="AE132" i="20"/>
  <c r="BE132" i="20" s="1"/>
  <c r="BK172" i="20"/>
  <c r="AI109" i="21"/>
  <c r="AI93" i="21"/>
  <c r="AE63" i="20"/>
  <c r="AI45" i="21"/>
  <c r="AI90" i="21"/>
  <c r="AI71" i="20"/>
  <c r="AF42" i="20"/>
  <c r="AG42" i="20" s="1"/>
  <c r="AR11" i="21"/>
  <c r="AR76" i="21"/>
  <c r="S26" i="20"/>
  <c r="AD26" i="20"/>
  <c r="R51" i="20"/>
  <c r="T51" i="20" s="1"/>
  <c r="BI51" i="20" s="1"/>
  <c r="X31" i="20"/>
  <c r="Y31" i="20" s="1"/>
  <c r="Z31" i="20" s="1"/>
  <c r="X30" i="20"/>
  <c r="Y30" i="20" s="1"/>
  <c r="Z30" i="20" s="1"/>
  <c r="AH30" i="20"/>
  <c r="X26" i="20"/>
  <c r="Y26" i="20" s="1"/>
  <c r="Z26" i="20" s="1"/>
  <c r="X61" i="20"/>
  <c r="Y61" i="20" s="1"/>
  <c r="Z61" i="20" s="1"/>
  <c r="AF30" i="20"/>
  <c r="AG30" i="20" s="1"/>
  <c r="AF58" i="20"/>
  <c r="AG58" i="20" s="1"/>
  <c r="AA25" i="20"/>
  <c r="AB25" i="20" s="1"/>
  <c r="AE25" i="20" s="1"/>
  <c r="AJ21" i="20"/>
  <c r="AK21" i="20" s="1"/>
  <c r="AE22" i="20"/>
  <c r="AN55" i="20"/>
  <c r="U26" i="20"/>
  <c r="V26" i="20" s="1"/>
  <c r="W26" i="20" s="1"/>
  <c r="AE166" i="20"/>
  <c r="AE134" i="20"/>
  <c r="BE134" i="20" s="1"/>
  <c r="AI208" i="20"/>
  <c r="BF208" i="20" s="1"/>
  <c r="AG166" i="20"/>
  <c r="AI166" i="20" s="1"/>
  <c r="BF166" i="20" s="1"/>
  <c r="AG162" i="20"/>
  <c r="AI162" i="20" s="1"/>
  <c r="BF162" i="20" s="1"/>
  <c r="AE162" i="20"/>
  <c r="BE162" i="20" s="1"/>
  <c r="AE186" i="20"/>
  <c r="BE186" i="20" s="1"/>
  <c r="AE177" i="20"/>
  <c r="BE177" i="20" s="1"/>
  <c r="AE200" i="20"/>
  <c r="AG158" i="20"/>
  <c r="AI158" i="20" s="1"/>
  <c r="BF158" i="20" s="1"/>
  <c r="AI101" i="21"/>
  <c r="AS58" i="21"/>
  <c r="AI55" i="20"/>
  <c r="AI43" i="21"/>
  <c r="AF17" i="20"/>
  <c r="AG17" i="20" s="1"/>
  <c r="AF14" i="20"/>
  <c r="AF10" i="20"/>
  <c r="AG10" i="20" s="1"/>
  <c r="AI10" i="20" s="1"/>
  <c r="AJ17" i="20"/>
  <c r="AK17" i="20" s="1"/>
  <c r="AO13" i="20"/>
  <c r="AP13" i="20" s="1"/>
  <c r="AO21" i="20"/>
  <c r="AP21" i="20" s="1"/>
  <c r="AJ34" i="20"/>
  <c r="AK34" i="20" s="1"/>
  <c r="AD34" i="20"/>
  <c r="AF18" i="20"/>
  <c r="AG18" i="20" s="1"/>
  <c r="AF13" i="20"/>
  <c r="AG13" i="20" s="1"/>
  <c r="AF21" i="20"/>
  <c r="AG21" i="20" s="1"/>
  <c r="R55" i="20"/>
  <c r="T55" i="20" s="1"/>
  <c r="BI55" i="20" s="1"/>
  <c r="R67" i="20"/>
  <c r="T67" i="20" s="1"/>
  <c r="BI67" i="20" s="1"/>
  <c r="AH46" i="20"/>
  <c r="X50" i="20"/>
  <c r="Y50" i="20" s="1"/>
  <c r="Z50" i="20" s="1"/>
  <c r="U61" i="20"/>
  <c r="V61" i="20" s="1"/>
  <c r="W61" i="20" s="1"/>
  <c r="U49" i="20"/>
  <c r="V49" i="20" s="1"/>
  <c r="W49" i="20" s="1"/>
  <c r="U42" i="20"/>
  <c r="V42" i="20" s="1"/>
  <c r="W42" i="20" s="1"/>
  <c r="U41" i="20"/>
  <c r="V41" i="20" s="1"/>
  <c r="W41" i="20" s="1"/>
  <c r="X46" i="20"/>
  <c r="Y46" i="20" s="1"/>
  <c r="Z46" i="20" s="1"/>
  <c r="X53" i="20"/>
  <c r="Y53" i="20" s="1"/>
  <c r="Z53" i="20" s="1"/>
  <c r="AD49" i="20"/>
  <c r="X49" i="20"/>
  <c r="Y49" i="20" s="1"/>
  <c r="Z49" i="20" s="1"/>
  <c r="X42" i="20"/>
  <c r="Y42" i="20" s="1"/>
  <c r="Z42" i="20" s="1"/>
  <c r="AD53" i="20"/>
  <c r="X41" i="20"/>
  <c r="Y41" i="20" s="1"/>
  <c r="Z41" i="20" s="1"/>
  <c r="AD46" i="20"/>
  <c r="AD50" i="20"/>
  <c r="AH53" i="20"/>
  <c r="R108" i="20"/>
  <c r="T108" i="20" s="1"/>
  <c r="BI108" i="20" s="1"/>
  <c r="S46" i="20"/>
  <c r="S42" i="20"/>
  <c r="AA42" i="20"/>
  <c r="AB42" i="20" s="1"/>
  <c r="AA46" i="20"/>
  <c r="AB46" i="20" s="1"/>
  <c r="AF49" i="20"/>
  <c r="AG49" i="20" s="1"/>
  <c r="AF37" i="20"/>
  <c r="AG37" i="20" s="1"/>
  <c r="Q61" i="20"/>
  <c r="AS61" i="20" s="1"/>
  <c r="AJ37" i="20"/>
  <c r="AK37" i="20" s="1"/>
  <c r="AA61" i="20"/>
  <c r="AB61" i="20" s="1"/>
  <c r="AO41" i="20"/>
  <c r="AP41" i="20" s="1"/>
  <c r="AE188" i="20"/>
  <c r="BE188" i="20" s="1"/>
  <c r="AV150" i="20"/>
  <c r="BL150" i="20" s="1"/>
  <c r="AV119" i="20"/>
  <c r="BL119" i="20" s="1"/>
  <c r="AV198" i="20"/>
  <c r="BL198" i="20" s="1"/>
  <c r="AV200" i="20"/>
  <c r="BL200" i="20" s="1"/>
  <c r="AS105" i="21"/>
  <c r="AR35" i="21"/>
  <c r="R63" i="20"/>
  <c r="T63" i="20" s="1"/>
  <c r="R83" i="20"/>
  <c r="T83" i="20" s="1"/>
  <c r="BI83" i="20" s="1"/>
  <c r="AH54" i="20"/>
  <c r="AD54" i="20"/>
  <c r="S58" i="20"/>
  <c r="AA57" i="20"/>
  <c r="AB57" i="20" s="1"/>
  <c r="AV203" i="20"/>
  <c r="BL203" i="20" s="1"/>
  <c r="AE112" i="20"/>
  <c r="BE112" i="20" s="1"/>
  <c r="AV142" i="20"/>
  <c r="BL142" i="20" s="1"/>
  <c r="AG136" i="20"/>
  <c r="AI136" i="20" s="1"/>
  <c r="BF136" i="20" s="1"/>
  <c r="AS106" i="21"/>
  <c r="AS109" i="21"/>
  <c r="AR47" i="21"/>
  <c r="AR44" i="21"/>
  <c r="BL44" i="21" s="1"/>
  <c r="BF44" i="21" s="1"/>
  <c r="AR15" i="21"/>
  <c r="AR30" i="21"/>
  <c r="AR74" i="21"/>
  <c r="BL74" i="21" s="1"/>
  <c r="BF74" i="21" s="1"/>
  <c r="AR36" i="21"/>
  <c r="AI62" i="21"/>
  <c r="T84" i="21"/>
  <c r="BI84" i="21" s="1"/>
  <c r="Q41" i="20"/>
  <c r="AS41" i="20" s="1"/>
  <c r="Q53" i="20"/>
  <c r="AS53" i="20" s="1"/>
  <c r="Q50" i="20"/>
  <c r="AS50" i="20" s="1"/>
  <c r="AA41" i="20"/>
  <c r="AB41" i="20" s="1"/>
  <c r="Q49" i="20"/>
  <c r="AS49" i="20" s="1"/>
  <c r="Q42" i="20"/>
  <c r="AS42" i="20" s="1"/>
  <c r="Q37" i="20"/>
  <c r="AS37" i="20" s="1"/>
  <c r="AQ49" i="20"/>
  <c r="X37" i="20"/>
  <c r="Y37" i="20" s="1"/>
  <c r="Z37" i="20" s="1"/>
  <c r="S53" i="20"/>
  <c r="AM37" i="20"/>
  <c r="AE40" i="20"/>
  <c r="AF53" i="20"/>
  <c r="AG53" i="20" s="1"/>
  <c r="R40" i="20"/>
  <c r="T40" i="20" s="1"/>
  <c r="U58" i="20"/>
  <c r="V58" i="20" s="1"/>
  <c r="W58" i="20" s="1"/>
  <c r="U57" i="20"/>
  <c r="V57" i="20" s="1"/>
  <c r="W57" i="20" s="1"/>
  <c r="U45" i="20"/>
  <c r="V45" i="20" s="1"/>
  <c r="W45" i="20" s="1"/>
  <c r="AI84" i="20"/>
  <c r="AD45" i="20"/>
  <c r="X57" i="20"/>
  <c r="Y57" i="20" s="1"/>
  <c r="Z57" i="20" s="1"/>
  <c r="AD58" i="20"/>
  <c r="AH45" i="20"/>
  <c r="Q57" i="20"/>
  <c r="AS57" i="20" s="1"/>
  <c r="Q45" i="20"/>
  <c r="AF38" i="20"/>
  <c r="AG38" i="20" s="1"/>
  <c r="AA34" i="20"/>
  <c r="AB34" i="20" s="1"/>
  <c r="AF61" i="20"/>
  <c r="AA58" i="20"/>
  <c r="AB58" i="20" s="1"/>
  <c r="AO61" i="20"/>
  <c r="AP61" i="20" s="1"/>
  <c r="AE117" i="20"/>
  <c r="BE117" i="20" s="1"/>
  <c r="AV134" i="20"/>
  <c r="BL134" i="20" s="1"/>
  <c r="AE208" i="20"/>
  <c r="BE208" i="20" s="1"/>
  <c r="AG178" i="20"/>
  <c r="AI178" i="20" s="1"/>
  <c r="AS67" i="21"/>
  <c r="R68" i="21"/>
  <c r="T68" i="21" s="1"/>
  <c r="BI68" i="21" s="1"/>
  <c r="AS84" i="21"/>
  <c r="AN74" i="21"/>
  <c r="AE74" i="21"/>
  <c r="AE9" i="21"/>
  <c r="AE53" i="21"/>
  <c r="AE66" i="21"/>
  <c r="AF46" i="20"/>
  <c r="AG46" i="20" s="1"/>
  <c r="AJ41" i="20"/>
  <c r="AK41" i="20" s="1"/>
  <c r="AN41" i="20" s="1"/>
  <c r="AJ42" i="20"/>
  <c r="AK42" i="20" s="1"/>
  <c r="AN42" i="20" s="1"/>
  <c r="AQ46" i="20"/>
  <c r="AO49" i="20"/>
  <c r="AP49" i="20" s="1"/>
  <c r="AQ37" i="20"/>
  <c r="AR37" i="20" s="1"/>
  <c r="AF41" i="20"/>
  <c r="AG41" i="20" s="1"/>
  <c r="AO42" i="20"/>
  <c r="AP42" i="20" s="1"/>
  <c r="AO46" i="20"/>
  <c r="AP46" i="20" s="1"/>
  <c r="S41" i="20"/>
  <c r="AM34" i="20"/>
  <c r="AJ57" i="20"/>
  <c r="AK57" i="20" s="1"/>
  <c r="AN57" i="20" s="1"/>
  <c r="AI75" i="20"/>
  <c r="BF75" i="20" s="1"/>
  <c r="AH58" i="20"/>
  <c r="X45" i="20"/>
  <c r="Y45" i="20" s="1"/>
  <c r="Z45" i="20" s="1"/>
  <c r="S57" i="20"/>
  <c r="AD57" i="20"/>
  <c r="AH57" i="20"/>
  <c r="X58" i="20"/>
  <c r="Y58" i="20" s="1"/>
  <c r="Z58" i="20" s="1"/>
  <c r="AE91" i="20"/>
  <c r="BE91" i="20" s="1"/>
  <c r="Q34" i="20"/>
  <c r="AS34" i="20" s="1"/>
  <c r="Q58" i="20"/>
  <c r="Q38" i="20"/>
  <c r="AS38" i="20" s="1"/>
  <c r="Q54" i="20"/>
  <c r="AS54" i="20" s="1"/>
  <c r="AA38" i="20"/>
  <c r="AB38" i="20" s="1"/>
  <c r="AQ57" i="20"/>
  <c r="AJ45" i="20"/>
  <c r="AK45" i="20" s="1"/>
  <c r="AN45" i="20" s="1"/>
  <c r="AJ58" i="20"/>
  <c r="AK58" i="20" s="1"/>
  <c r="AN58" i="20" s="1"/>
  <c r="AQ38" i="20"/>
  <c r="AR38" i="20" s="1"/>
  <c r="AF57" i="20"/>
  <c r="AG57" i="20" s="1"/>
  <c r="AI134" i="20"/>
  <c r="BF134" i="20" s="1"/>
  <c r="AE122" i="20"/>
  <c r="BE122" i="20" s="1"/>
  <c r="AE209" i="20"/>
  <c r="BE209" i="20" s="1"/>
  <c r="BK156" i="20"/>
  <c r="BB156" i="20"/>
  <c r="BD156" i="20" s="1"/>
  <c r="BH156" i="20" s="1"/>
  <c r="BJ156" i="20"/>
  <c r="R9" i="21"/>
  <c r="T9" i="21" s="1"/>
  <c r="BI9" i="21" s="1"/>
  <c r="R89" i="21"/>
  <c r="T89" i="21" s="1"/>
  <c r="BI89" i="21" s="1"/>
  <c r="AR34" i="21"/>
  <c r="R14" i="21"/>
  <c r="T14" i="21" s="1"/>
  <c r="BI14" i="21" s="1"/>
  <c r="AS66" i="21"/>
  <c r="AN56" i="21"/>
  <c r="T74" i="21"/>
  <c r="BI74" i="21" s="1"/>
  <c r="AV59" i="21"/>
  <c r="BM59" i="21" s="1"/>
  <c r="AV58" i="21"/>
  <c r="BM58" i="21" s="1"/>
  <c r="AR53" i="21"/>
  <c r="BL53" i="21" s="1"/>
  <c r="BF53" i="21" s="1"/>
  <c r="BL66" i="21"/>
  <c r="BF66" i="21" s="1"/>
  <c r="AR25" i="21"/>
  <c r="AR37" i="21"/>
  <c r="AR39" i="21"/>
  <c r="R63" i="21"/>
  <c r="T63" i="21" s="1"/>
  <c r="BI63" i="21" s="1"/>
  <c r="AS55" i="21"/>
  <c r="AS47" i="21"/>
  <c r="AR21" i="21"/>
  <c r="AR57" i="21"/>
  <c r="BL57" i="21" s="1"/>
  <c r="BF57" i="21" s="1"/>
  <c r="AE36" i="21"/>
  <c r="AE70" i="21"/>
  <c r="AE44" i="21"/>
  <c r="T70" i="21"/>
  <c r="BI70" i="21" s="1"/>
  <c r="AI89" i="21"/>
  <c r="R72" i="21"/>
  <c r="T72" i="21" s="1"/>
  <c r="BI72" i="21" s="1"/>
  <c r="AV44" i="21"/>
  <c r="BM44" i="21" s="1"/>
  <c r="AV66" i="21"/>
  <c r="BM66" i="21" s="1"/>
  <c r="AV26" i="21"/>
  <c r="BM26" i="21" s="1"/>
  <c r="AV55" i="21"/>
  <c r="BM55" i="21" s="1"/>
  <c r="R53" i="21"/>
  <c r="T53" i="21" s="1"/>
  <c r="BI53" i="21" s="1"/>
  <c r="AS70" i="21"/>
  <c r="AV101" i="21"/>
  <c r="BM101" i="21" s="1"/>
  <c r="AI63" i="21"/>
  <c r="R44" i="21"/>
  <c r="T44" i="21" s="1"/>
  <c r="BI44" i="21" s="1"/>
  <c r="BJ143" i="20"/>
  <c r="AR20" i="21"/>
  <c r="AI56" i="21"/>
  <c r="AS74" i="21"/>
  <c r="R59" i="21"/>
  <c r="T59" i="21" s="1"/>
  <c r="BI59" i="21" s="1"/>
  <c r="AV68" i="21"/>
  <c r="BM68" i="21" s="1"/>
  <c r="AE85" i="21"/>
  <c r="AR109" i="21"/>
  <c r="T58" i="21"/>
  <c r="BI58" i="21" s="1"/>
  <c r="AR62" i="21"/>
  <c r="AI99" i="21"/>
  <c r="AV93" i="21"/>
  <c r="BM93" i="21" s="1"/>
  <c r="AV29" i="21"/>
  <c r="BM29" i="21" s="1"/>
  <c r="AV28" i="21"/>
  <c r="BM28" i="21" s="1"/>
  <c r="R102" i="21"/>
  <c r="T102" i="21" s="1"/>
  <c r="BI102" i="21" s="1"/>
  <c r="AN76" i="20"/>
  <c r="T105" i="21"/>
  <c r="BI105" i="21" s="1"/>
  <c r="AG59" i="21"/>
  <c r="AI59" i="21" s="1"/>
  <c r="AV30" i="21"/>
  <c r="BM30" i="21" s="1"/>
  <c r="AV63" i="21"/>
  <c r="BM63" i="21" s="1"/>
  <c r="AR10" i="21"/>
  <c r="AI55" i="21"/>
  <c r="AV74" i="21"/>
  <c r="BM74" i="21" s="1"/>
  <c r="AI76" i="21"/>
  <c r="T94" i="21"/>
  <c r="BI94" i="21" s="1"/>
  <c r="AV18" i="21"/>
  <c r="BM18" i="21" s="1"/>
  <c r="AV53" i="21"/>
  <c r="BM53" i="21" s="1"/>
  <c r="AN47" i="21"/>
  <c r="BK47" i="21" s="1"/>
  <c r="BE47" i="21" s="1"/>
  <c r="AN55" i="21"/>
  <c r="BK55" i="21" s="1"/>
  <c r="BE55" i="21" s="1"/>
  <c r="AE81" i="21"/>
  <c r="AR83" i="21"/>
  <c r="AN59" i="21"/>
  <c r="AN66" i="21"/>
  <c r="AN41" i="21"/>
  <c r="AV98" i="21"/>
  <c r="BM98" i="21" s="1"/>
  <c r="AN76" i="21"/>
  <c r="BK76" i="21" s="1"/>
  <c r="BE76" i="21" s="1"/>
  <c r="AR63" i="21"/>
  <c r="AN63" i="21"/>
  <c r="BK63" i="21" s="1"/>
  <c r="BE63" i="21" s="1"/>
  <c r="AQ45" i="20"/>
  <c r="AQ58" i="20"/>
  <c r="AF45" i="20"/>
  <c r="AG45" i="20" s="1"/>
  <c r="AI188" i="20"/>
  <c r="BF188" i="20" s="1"/>
  <c r="AE129" i="20"/>
  <c r="BE129" i="20" s="1"/>
  <c r="AE111" i="20"/>
  <c r="BE111" i="20" s="1"/>
  <c r="AE153" i="20"/>
  <c r="BE153" i="20" s="1"/>
  <c r="AE169" i="20"/>
  <c r="BE169" i="20" s="1"/>
  <c r="AE195" i="20"/>
  <c r="AE168" i="20"/>
  <c r="BE168" i="20" s="1"/>
  <c r="AE197" i="20"/>
  <c r="BE197" i="20" s="1"/>
  <c r="AE201" i="20"/>
  <c r="BE201" i="20" s="1"/>
  <c r="AE136" i="20"/>
  <c r="BE136" i="20" s="1"/>
  <c r="AE120" i="20"/>
  <c r="BE120" i="20" s="1"/>
  <c r="AE130" i="20"/>
  <c r="AI198" i="20"/>
  <c r="BF198" i="20" s="1"/>
  <c r="AE194" i="20"/>
  <c r="AI200" i="20"/>
  <c r="BF200" i="20" s="1"/>
  <c r="AE149" i="20"/>
  <c r="AE126" i="20"/>
  <c r="BE126" i="20" s="1"/>
  <c r="AE165" i="20"/>
  <c r="BE165" i="20" s="1"/>
  <c r="AE157" i="20"/>
  <c r="BE157" i="20" s="1"/>
  <c r="AE83" i="20"/>
  <c r="BE83" i="20" s="1"/>
  <c r="AR55" i="21"/>
  <c r="AN62" i="21"/>
  <c r="BK62" i="21" s="1"/>
  <c r="BE62" i="21" s="1"/>
  <c r="AE67" i="21"/>
  <c r="AG9" i="21"/>
  <c r="AI9" i="21" s="1"/>
  <c r="BL9" i="21" s="1"/>
  <c r="BF9" i="21" s="1"/>
  <c r="AV9" i="21"/>
  <c r="BM9" i="21" s="1"/>
  <c r="AG14" i="21"/>
  <c r="AI14" i="21" s="1"/>
  <c r="AV14" i="21"/>
  <c r="BM14" i="21" s="1"/>
  <c r="AS62" i="21"/>
  <c r="R62" i="21"/>
  <c r="T62" i="21" s="1"/>
  <c r="BI62" i="21" s="1"/>
  <c r="AS93" i="21"/>
  <c r="R93" i="21"/>
  <c r="T93" i="21" s="1"/>
  <c r="BI93" i="21" s="1"/>
  <c r="AR24" i="21"/>
  <c r="AN75" i="20"/>
  <c r="AN68" i="20"/>
  <c r="AV70" i="21"/>
  <c r="BM70" i="21" s="1"/>
  <c r="AS15" i="21"/>
  <c r="AS30" i="21"/>
  <c r="R76" i="21"/>
  <c r="T76" i="21" s="1"/>
  <c r="BI76" i="21" s="1"/>
  <c r="R24" i="21"/>
  <c r="T24" i="21" s="1"/>
  <c r="BI24" i="21" s="1"/>
  <c r="AV47" i="21"/>
  <c r="BM47" i="21" s="1"/>
  <c r="AN44" i="21"/>
  <c r="AN57" i="21"/>
  <c r="AI42" i="21"/>
  <c r="AR68" i="21"/>
  <c r="BL68" i="21" s="1"/>
  <c r="BF68" i="21" s="1"/>
  <c r="AS97" i="21"/>
  <c r="R97" i="21"/>
  <c r="T97" i="21" s="1"/>
  <c r="BI97" i="21" s="1"/>
  <c r="AS98" i="21"/>
  <c r="R98" i="21"/>
  <c r="T98" i="21" s="1"/>
  <c r="BI98" i="21" s="1"/>
  <c r="AN71" i="20"/>
  <c r="AR17" i="21"/>
  <c r="AI87" i="21"/>
  <c r="AR32" i="21"/>
  <c r="AI85" i="21"/>
  <c r="AR50" i="21"/>
  <c r="AR41" i="21"/>
  <c r="AR23" i="21"/>
  <c r="T90" i="21"/>
  <c r="BI90" i="21" s="1"/>
  <c r="AN45" i="21"/>
  <c r="AN58" i="21"/>
  <c r="AN53" i="21"/>
  <c r="AN43" i="21"/>
  <c r="AR98" i="21"/>
  <c r="BL98" i="21" s="1"/>
  <c r="BF98" i="21" s="1"/>
  <c r="AR81" i="21"/>
  <c r="AR90" i="21"/>
  <c r="AN80" i="21"/>
  <c r="AN100" i="21"/>
  <c r="AR56" i="21"/>
  <c r="AR101" i="21"/>
  <c r="AR45" i="21"/>
  <c r="AV25" i="21"/>
  <c r="BM25" i="21" s="1"/>
  <c r="AN67" i="21"/>
  <c r="AN70" i="21"/>
  <c r="AM53" i="20"/>
  <c r="AS57" i="21"/>
  <c r="AE60" i="20"/>
  <c r="AI40" i="20"/>
  <c r="BK40" i="20" s="1"/>
  <c r="AE75" i="20"/>
  <c r="AE100" i="20"/>
  <c r="BE100" i="20" s="1"/>
  <c r="AF33" i="20"/>
  <c r="AG33" i="20" s="1"/>
  <c r="AQ53" i="20"/>
  <c r="AR53" i="20" s="1"/>
  <c r="AA49" i="20"/>
  <c r="AB49" i="20" s="1"/>
  <c r="AQ41" i="20"/>
  <c r="AJ49" i="20"/>
  <c r="AK49" i="20" s="1"/>
  <c r="AN49" i="20" s="1"/>
  <c r="AQ42" i="20"/>
  <c r="AJ53" i="20"/>
  <c r="AK53" i="20" s="1"/>
  <c r="AA37" i="20"/>
  <c r="AB37" i="20" s="1"/>
  <c r="AO34" i="20"/>
  <c r="AP34" i="20" s="1"/>
  <c r="AH34" i="20"/>
  <c r="AI34" i="20" s="1"/>
  <c r="BK34" i="20" s="1"/>
  <c r="AI117" i="20"/>
  <c r="BF117" i="20" s="1"/>
  <c r="AI150" i="20"/>
  <c r="BF150" i="20" s="1"/>
  <c r="AI142" i="20"/>
  <c r="BF142" i="20" s="1"/>
  <c r="AE67" i="20"/>
  <c r="BE67" i="20" s="1"/>
  <c r="AE142" i="20"/>
  <c r="BE142" i="20" s="1"/>
  <c r="T15" i="21"/>
  <c r="BI15" i="21" s="1"/>
  <c r="T30" i="21"/>
  <c r="BI30" i="21" s="1"/>
  <c r="AN22" i="20"/>
  <c r="AI22" i="20"/>
  <c r="BK22" i="20" s="1"/>
  <c r="BF116" i="20"/>
  <c r="BB116" i="20"/>
  <c r="BD116" i="20" s="1"/>
  <c r="BH116" i="20" s="1"/>
  <c r="BJ116" i="20"/>
  <c r="BK116" i="20"/>
  <c r="AI9" i="20"/>
  <c r="AI11" i="20"/>
  <c r="AE51" i="20"/>
  <c r="AE92" i="20"/>
  <c r="BE92" i="20" s="1"/>
  <c r="AE87" i="20"/>
  <c r="BE87" i="20" s="1"/>
  <c r="AN40" i="20"/>
  <c r="AR79" i="20"/>
  <c r="AR71" i="20"/>
  <c r="AE180" i="20"/>
  <c r="BE180" i="20" s="1"/>
  <c r="AE164" i="20"/>
  <c r="AE158" i="20"/>
  <c r="BE158" i="20" s="1"/>
  <c r="AE170" i="20"/>
  <c r="AE154" i="20"/>
  <c r="BE154" i="20" s="1"/>
  <c r="AE138" i="20"/>
  <c r="BE138" i="20" s="1"/>
  <c r="AE114" i="20"/>
  <c r="BE114" i="20" s="1"/>
  <c r="AE135" i="20"/>
  <c r="BE135" i="20" s="1"/>
  <c r="AE190" i="20"/>
  <c r="BE190" i="20" s="1"/>
  <c r="AE192" i="20"/>
  <c r="BE192" i="20" s="1"/>
  <c r="AE207" i="20"/>
  <c r="BE207" i="20" s="1"/>
  <c r="AE205" i="20"/>
  <c r="BE205" i="20" s="1"/>
  <c r="AE147" i="20"/>
  <c r="BE147" i="20" s="1"/>
  <c r="AE131" i="20"/>
  <c r="BE131" i="20" s="1"/>
  <c r="AE123" i="20"/>
  <c r="BE123" i="20" s="1"/>
  <c r="AE148" i="20"/>
  <c r="AE127" i="20"/>
  <c r="BE127" i="20" s="1"/>
  <c r="AE178" i="20"/>
  <c r="BE178" i="20" s="1"/>
  <c r="AI146" i="20"/>
  <c r="BF146" i="20" s="1"/>
  <c r="AI119" i="20"/>
  <c r="BF119" i="20" s="1"/>
  <c r="AE125" i="20"/>
  <c r="BE125" i="20" s="1"/>
  <c r="AE184" i="20"/>
  <c r="BE184" i="20" s="1"/>
  <c r="AI176" i="20"/>
  <c r="BF176" i="20" s="1"/>
  <c r="AE176" i="20"/>
  <c r="AE187" i="20"/>
  <c r="BE187" i="20" s="1"/>
  <c r="AE113" i="20"/>
  <c r="BE113" i="20" s="1"/>
  <c r="AE140" i="20"/>
  <c r="BE140" i="20" s="1"/>
  <c r="AE141" i="20"/>
  <c r="BE141" i="20" s="1"/>
  <c r="AE163" i="20"/>
  <c r="BE163" i="20" s="1"/>
  <c r="AR83" i="20"/>
  <c r="AI183" i="20"/>
  <c r="BK183" i="20" s="1"/>
  <c r="AN9" i="20"/>
  <c r="BE9" i="20" s="1"/>
  <c r="AI56" i="20"/>
  <c r="AE79" i="20"/>
  <c r="BE79" i="20" s="1"/>
  <c r="AE68" i="20"/>
  <c r="AE95" i="20"/>
  <c r="BE95" i="20" s="1"/>
  <c r="AE84" i="20"/>
  <c r="AE182" i="20"/>
  <c r="BE182" i="20" s="1"/>
  <c r="AE124" i="20"/>
  <c r="AI118" i="20"/>
  <c r="BF118" i="20" s="1"/>
  <c r="AE145" i="20"/>
  <c r="BE145" i="20" s="1"/>
  <c r="AE121" i="20"/>
  <c r="BE121" i="20" s="1"/>
  <c r="AE144" i="20"/>
  <c r="BE144" i="20" s="1"/>
  <c r="AE128" i="20"/>
  <c r="BE128" i="20" s="1"/>
  <c r="AI203" i="20"/>
  <c r="BF203" i="20" s="1"/>
  <c r="AE133" i="20"/>
  <c r="BE133" i="20" s="1"/>
  <c r="AE110" i="20"/>
  <c r="BE110" i="20" s="1"/>
  <c r="AI165" i="20"/>
  <c r="BF165" i="20" s="1"/>
  <c r="AE174" i="20"/>
  <c r="BE174" i="20" s="1"/>
  <c r="BF196" i="20"/>
  <c r="BK196" i="20"/>
  <c r="AV87" i="21"/>
  <c r="BM87" i="21" s="1"/>
  <c r="AV64" i="21"/>
  <c r="BM64" i="21" s="1"/>
  <c r="AV85" i="21"/>
  <c r="BM85" i="21" s="1"/>
  <c r="AV22" i="21"/>
  <c r="BM22" i="21" s="1"/>
  <c r="AV20" i="21"/>
  <c r="BM20" i="21" s="1"/>
  <c r="AR14" i="21"/>
  <c r="T55" i="21"/>
  <c r="BI55" i="21" s="1"/>
  <c r="AN20" i="21"/>
  <c r="AR18" i="21"/>
  <c r="AN18" i="21"/>
  <c r="AV109" i="21"/>
  <c r="BM109" i="21" s="1"/>
  <c r="AI107" i="21"/>
  <c r="AR46" i="21"/>
  <c r="AN37" i="21"/>
  <c r="AI61" i="21"/>
  <c r="AI64" i="21"/>
  <c r="AV45" i="21"/>
  <c r="BM45" i="21" s="1"/>
  <c r="AV62" i="21"/>
  <c r="BM62" i="21" s="1"/>
  <c r="AS81" i="21"/>
  <c r="AN109" i="21"/>
  <c r="BK109" i="21" s="1"/>
  <c r="BE109" i="21" s="1"/>
  <c r="AR93" i="21"/>
  <c r="AN93" i="21"/>
  <c r="BK93" i="21" s="1"/>
  <c r="BE93" i="21" s="1"/>
  <c r="AN68" i="21"/>
  <c r="AR84" i="21"/>
  <c r="BL84" i="21" s="1"/>
  <c r="BF84" i="21" s="1"/>
  <c r="AR106" i="21"/>
  <c r="T57" i="21"/>
  <c r="BI57" i="21" s="1"/>
  <c r="AI91" i="21"/>
  <c r="AI46" i="21"/>
  <c r="AV11" i="21"/>
  <c r="BM11" i="21" s="1"/>
  <c r="AV15" i="21"/>
  <c r="BM15" i="21" s="1"/>
  <c r="AN39" i="21"/>
  <c r="AV21" i="21"/>
  <c r="BM21" i="21" s="1"/>
  <c r="AV24" i="21"/>
  <c r="BM24" i="21" s="1"/>
  <c r="AS101" i="21"/>
  <c r="AR52" i="21"/>
  <c r="AR54" i="21"/>
  <c r="AK25" i="21"/>
  <c r="AN25" i="21" s="1"/>
  <c r="AV91" i="21"/>
  <c r="BM91" i="21" s="1"/>
  <c r="AI28" i="21"/>
  <c r="AI21" i="21"/>
  <c r="AI24" i="21"/>
  <c r="AI32" i="21"/>
  <c r="AI12" i="21"/>
  <c r="AI16" i="21"/>
  <c r="AI25" i="21"/>
  <c r="AI34" i="21"/>
  <c r="AI11" i="21"/>
  <c r="AI15" i="21"/>
  <c r="AI26" i="21"/>
  <c r="AN84" i="21"/>
  <c r="AN98" i="21"/>
  <c r="AN81" i="21"/>
  <c r="AN106" i="21"/>
  <c r="AN90" i="21"/>
  <c r="AN95" i="21"/>
  <c r="AN42" i="21"/>
  <c r="AN11" i="21"/>
  <c r="BK11" i="21" s="1"/>
  <c r="BE11" i="21" s="1"/>
  <c r="AN30" i="21"/>
  <c r="BK30" i="21" s="1"/>
  <c r="BE30" i="21" s="1"/>
  <c r="AN22" i="21"/>
  <c r="BK22" i="21" s="1"/>
  <c r="BE22" i="21" s="1"/>
  <c r="AN9" i="21"/>
  <c r="AN21" i="21"/>
  <c r="BK21" i="21" s="1"/>
  <c r="BE21" i="21" s="1"/>
  <c r="AN24" i="21"/>
  <c r="BK24" i="21" s="1"/>
  <c r="BE24" i="21" s="1"/>
  <c r="AN54" i="21"/>
  <c r="AN49" i="21"/>
  <c r="AN15" i="21"/>
  <c r="BK15" i="21" s="1"/>
  <c r="BE15" i="21" s="1"/>
  <c r="AN36" i="21"/>
  <c r="AN14" i="21"/>
  <c r="BK14" i="21" s="1"/>
  <c r="BE14" i="21" s="1"/>
  <c r="AN35" i="21"/>
  <c r="AN52" i="21"/>
  <c r="AN48" i="21"/>
  <c r="AI20" i="21"/>
  <c r="AI29" i="21"/>
  <c r="AR27" i="21"/>
  <c r="AR51" i="21"/>
  <c r="AR28" i="21"/>
  <c r="AR26" i="21"/>
  <c r="AN26" i="21"/>
  <c r="AR19" i="21"/>
  <c r="AR38" i="21"/>
  <c r="AR16" i="21"/>
  <c r="AN40" i="21"/>
  <c r="AN105" i="21"/>
  <c r="BK105" i="21" s="1"/>
  <c r="BE105" i="21" s="1"/>
  <c r="AR72" i="21"/>
  <c r="BL72" i="21" s="1"/>
  <c r="BF72" i="21" s="1"/>
  <c r="AN94" i="21"/>
  <c r="AR82" i="21"/>
  <c r="AN77" i="21"/>
  <c r="BK77" i="21" s="1"/>
  <c r="BE77" i="21" s="1"/>
  <c r="AN87" i="21"/>
  <c r="AN88" i="21"/>
  <c r="AN79" i="21"/>
  <c r="AN73" i="21"/>
  <c r="AR108" i="21"/>
  <c r="AN104" i="21"/>
  <c r="AR96" i="21"/>
  <c r="AR92" i="21"/>
  <c r="AN60" i="21"/>
  <c r="AR64" i="21"/>
  <c r="AN69" i="21"/>
  <c r="BK69" i="21" s="1"/>
  <c r="BE69" i="21" s="1"/>
  <c r="AR86" i="21"/>
  <c r="AN101" i="21"/>
  <c r="BK101" i="21" s="1"/>
  <c r="BE101" i="21" s="1"/>
  <c r="AR59" i="21"/>
  <c r="AN97" i="21"/>
  <c r="BK97" i="21" s="1"/>
  <c r="BE97" i="21" s="1"/>
  <c r="AN102" i="21"/>
  <c r="AR89" i="21"/>
  <c r="AN78" i="21"/>
  <c r="AR71" i="21"/>
  <c r="AN107" i="21"/>
  <c r="AR103" i="21"/>
  <c r="AR99" i="21"/>
  <c r="AN91" i="21"/>
  <c r="AN46" i="21"/>
  <c r="AN61" i="21"/>
  <c r="AR65" i="21"/>
  <c r="AR75" i="21"/>
  <c r="AR85" i="21"/>
  <c r="AE87" i="21"/>
  <c r="AE27" i="21"/>
  <c r="AE49" i="21"/>
  <c r="AE73" i="21"/>
  <c r="AE10" i="21"/>
  <c r="AE48" i="21"/>
  <c r="AE20" i="21"/>
  <c r="AE68" i="21"/>
  <c r="AE72" i="21"/>
  <c r="AE39" i="21"/>
  <c r="AE54" i="21"/>
  <c r="AE106" i="21"/>
  <c r="AE102" i="21"/>
  <c r="AE98" i="21"/>
  <c r="AE94" i="21"/>
  <c r="AE51" i="21"/>
  <c r="AE18" i="21"/>
  <c r="AE25" i="21"/>
  <c r="AE41" i="21"/>
  <c r="AE31" i="21"/>
  <c r="AE34" i="21"/>
  <c r="AE50" i="21"/>
  <c r="AE35" i="21"/>
  <c r="AE71" i="21"/>
  <c r="AE107" i="21"/>
  <c r="AE103" i="21"/>
  <c r="AE99" i="21"/>
  <c r="AE95" i="21"/>
  <c r="AE91" i="21"/>
  <c r="AE42" i="21"/>
  <c r="AE17" i="21"/>
  <c r="AE23" i="21"/>
  <c r="AE37" i="21"/>
  <c r="AE79" i="21"/>
  <c r="AE40" i="21"/>
  <c r="AR29" i="21"/>
  <c r="AN29" i="21"/>
  <c r="AN28" i="21"/>
  <c r="AR13" i="21"/>
  <c r="AN38" i="21"/>
  <c r="AR49" i="21"/>
  <c r="AR12" i="21"/>
  <c r="AR33" i="21"/>
  <c r="AR48" i="21"/>
  <c r="AR31" i="21"/>
  <c r="AR40" i="21"/>
  <c r="AR105" i="21"/>
  <c r="AN83" i="21"/>
  <c r="BK83" i="21" s="1"/>
  <c r="BE83" i="21" s="1"/>
  <c r="AN72" i="21"/>
  <c r="AR94" i="21"/>
  <c r="BL94" i="21" s="1"/>
  <c r="BF94" i="21" s="1"/>
  <c r="AN82" i="21"/>
  <c r="AR77" i="21"/>
  <c r="AR87" i="21"/>
  <c r="AR80" i="21"/>
  <c r="AR88" i="21"/>
  <c r="AR79" i="21"/>
  <c r="AR73" i="21"/>
  <c r="AN108" i="21"/>
  <c r="AR104" i="21"/>
  <c r="AR100" i="21"/>
  <c r="AN96" i="21"/>
  <c r="AN92" i="21"/>
  <c r="AN51" i="21"/>
  <c r="AR60" i="21"/>
  <c r="AN64" i="21"/>
  <c r="AR69" i="21"/>
  <c r="AN86" i="21"/>
  <c r="BK86" i="21" s="1"/>
  <c r="BE86" i="21" s="1"/>
  <c r="AR97" i="21"/>
  <c r="AR102" i="21"/>
  <c r="BL102" i="21" s="1"/>
  <c r="BF102" i="21" s="1"/>
  <c r="AN89" i="21"/>
  <c r="BK89" i="21" s="1"/>
  <c r="BE89" i="21" s="1"/>
  <c r="AR78" i="21"/>
  <c r="AN71" i="21"/>
  <c r="AR107" i="21"/>
  <c r="AN103" i="21"/>
  <c r="AN99" i="21"/>
  <c r="AR95" i="21"/>
  <c r="AR91" i="21"/>
  <c r="AR61" i="21"/>
  <c r="AN65" i="21"/>
  <c r="AN75" i="21"/>
  <c r="BK75" i="21" s="1"/>
  <c r="BE75" i="21" s="1"/>
  <c r="AN85" i="21"/>
  <c r="AN50" i="21"/>
  <c r="AR43" i="21"/>
  <c r="AE78" i="21"/>
  <c r="AE28" i="21"/>
  <c r="AI27" i="21"/>
  <c r="AE84" i="21"/>
  <c r="AE108" i="21"/>
  <c r="AE104" i="21"/>
  <c r="AE100" i="21"/>
  <c r="AE96" i="21"/>
  <c r="AE92" i="21"/>
  <c r="AI10" i="21"/>
  <c r="R21" i="21"/>
  <c r="T21" i="21" s="1"/>
  <c r="BI21" i="21" s="1"/>
  <c r="AS21" i="21"/>
  <c r="AI33" i="21"/>
  <c r="AE33" i="21"/>
  <c r="AE46" i="21"/>
  <c r="AE59" i="21"/>
  <c r="AI13" i="21"/>
  <c r="AE13" i="21"/>
  <c r="AI19" i="21"/>
  <c r="AE19" i="21"/>
  <c r="AE29" i="21"/>
  <c r="AE45" i="21"/>
  <c r="AE38" i="21"/>
  <c r="AE61" i="21"/>
  <c r="AE65" i="21"/>
  <c r="AI22" i="21"/>
  <c r="AE80" i="21"/>
  <c r="AE88" i="21"/>
  <c r="AE32" i="21"/>
  <c r="AI18" i="21"/>
  <c r="AE12" i="21"/>
  <c r="AE16" i="21"/>
  <c r="AE56" i="21"/>
  <c r="AI31" i="21"/>
  <c r="BL31" i="21" s="1"/>
  <c r="BF31" i="21" s="1"/>
  <c r="AE60" i="21"/>
  <c r="AE64" i="21"/>
  <c r="AI17" i="21"/>
  <c r="AI23" i="21"/>
  <c r="AE52" i="21"/>
  <c r="AI30" i="21"/>
  <c r="AE26" i="21"/>
  <c r="AE43" i="21"/>
  <c r="AE57" i="21"/>
  <c r="AE82" i="21"/>
  <c r="AE90" i="21"/>
  <c r="AV102" i="21"/>
  <c r="BM102" i="21" s="1"/>
  <c r="R83" i="21"/>
  <c r="T83" i="21" s="1"/>
  <c r="BI83" i="21" s="1"/>
  <c r="AV57" i="21"/>
  <c r="BM57" i="21" s="1"/>
  <c r="AV61" i="21"/>
  <c r="BM61" i="21" s="1"/>
  <c r="R45" i="21"/>
  <c r="T45" i="21" s="1"/>
  <c r="BI45" i="21" s="1"/>
  <c r="T106" i="21"/>
  <c r="BI106" i="21" s="1"/>
  <c r="T109" i="21"/>
  <c r="AV97" i="21"/>
  <c r="BM97" i="21" s="1"/>
  <c r="T81" i="21"/>
  <c r="BI81" i="21" s="1"/>
  <c r="AV84" i="21"/>
  <c r="BM84" i="21" s="1"/>
  <c r="AV81" i="21"/>
  <c r="BM81" i="21" s="1"/>
  <c r="AV43" i="21"/>
  <c r="BM43" i="21" s="1"/>
  <c r="AV90" i="21"/>
  <c r="BM90" i="21" s="1"/>
  <c r="T101" i="21"/>
  <c r="AV72" i="21"/>
  <c r="BM72" i="21" s="1"/>
  <c r="AV106" i="21"/>
  <c r="BM106" i="21" s="1"/>
  <c r="AV89" i="21"/>
  <c r="BM89" i="21" s="1"/>
  <c r="AV82" i="21"/>
  <c r="BM82" i="21" s="1"/>
  <c r="AV107" i="21"/>
  <c r="BM107" i="21" s="1"/>
  <c r="R49" i="21"/>
  <c r="T49" i="21" s="1"/>
  <c r="BI49" i="21" s="1"/>
  <c r="AS49" i="21"/>
  <c r="R46" i="21"/>
  <c r="T46" i="21" s="1"/>
  <c r="BI46" i="21" s="1"/>
  <c r="AS46" i="21"/>
  <c r="R36" i="21"/>
  <c r="T36" i="21" s="1"/>
  <c r="BI36" i="21" s="1"/>
  <c r="AS36" i="21"/>
  <c r="R35" i="21"/>
  <c r="T35" i="21" s="1"/>
  <c r="BI35" i="21" s="1"/>
  <c r="AS35" i="21"/>
  <c r="R38" i="21"/>
  <c r="T38" i="21" s="1"/>
  <c r="BI38" i="21" s="1"/>
  <c r="AS38" i="21"/>
  <c r="R52" i="21"/>
  <c r="T52" i="21" s="1"/>
  <c r="BI52" i="21" s="1"/>
  <c r="AS52" i="21"/>
  <c r="R54" i="21"/>
  <c r="T54" i="21" s="1"/>
  <c r="BI54" i="21" s="1"/>
  <c r="AS54" i="21"/>
  <c r="R56" i="21"/>
  <c r="T56" i="21" s="1"/>
  <c r="BI56" i="21" s="1"/>
  <c r="AS56" i="21"/>
  <c r="R43" i="21"/>
  <c r="T43" i="21" s="1"/>
  <c r="AS43" i="21"/>
  <c r="R51" i="21"/>
  <c r="T51" i="21" s="1"/>
  <c r="BI51" i="21" s="1"/>
  <c r="AS51" i="21"/>
  <c r="R41" i="21"/>
  <c r="T41" i="21" s="1"/>
  <c r="BI41" i="21" s="1"/>
  <c r="AS41" i="21"/>
  <c r="R40" i="21"/>
  <c r="T40" i="21" s="1"/>
  <c r="BI40" i="21" s="1"/>
  <c r="AS40" i="21"/>
  <c r="R42" i="21"/>
  <c r="T42" i="21" s="1"/>
  <c r="BI42" i="21" s="1"/>
  <c r="AS42" i="21"/>
  <c r="AV83" i="21"/>
  <c r="BM83" i="21" s="1"/>
  <c r="AV94" i="21"/>
  <c r="BM94" i="21" s="1"/>
  <c r="R50" i="21"/>
  <c r="T50" i="21" s="1"/>
  <c r="BI50" i="21" s="1"/>
  <c r="AS50" i="21"/>
  <c r="AV105" i="21"/>
  <c r="BM105" i="21" s="1"/>
  <c r="R37" i="21"/>
  <c r="T37" i="21" s="1"/>
  <c r="AS37" i="21"/>
  <c r="R39" i="21"/>
  <c r="T39" i="21" s="1"/>
  <c r="AS39" i="21"/>
  <c r="R48" i="21"/>
  <c r="T48" i="21" s="1"/>
  <c r="BI48" i="21" s="1"/>
  <c r="AS48" i="21"/>
  <c r="AV99" i="21"/>
  <c r="BM99" i="21" s="1"/>
  <c r="AG41" i="21"/>
  <c r="AI41" i="21" s="1"/>
  <c r="AV41" i="21"/>
  <c r="BM41" i="21" s="1"/>
  <c r="AG71" i="21"/>
  <c r="AI71" i="21" s="1"/>
  <c r="AV71" i="21"/>
  <c r="BM71" i="21" s="1"/>
  <c r="AG95" i="21"/>
  <c r="AI95" i="21" s="1"/>
  <c r="AV95" i="21"/>
  <c r="BM95" i="21" s="1"/>
  <c r="R20" i="21"/>
  <c r="T20" i="21" s="1"/>
  <c r="AS20" i="21"/>
  <c r="AG38" i="21"/>
  <c r="AI38" i="21" s="1"/>
  <c r="AV38" i="21"/>
  <c r="BM38" i="21" s="1"/>
  <c r="AG65" i="21"/>
  <c r="AI65" i="21" s="1"/>
  <c r="AV65" i="21"/>
  <c r="BM65" i="21" s="1"/>
  <c r="BI67" i="21"/>
  <c r="AG88" i="21"/>
  <c r="AI88" i="21" s="1"/>
  <c r="AV88" i="21"/>
  <c r="BM88" i="21" s="1"/>
  <c r="AG100" i="21"/>
  <c r="AI100" i="21" s="1"/>
  <c r="AV100" i="21"/>
  <c r="BM100" i="21" s="1"/>
  <c r="AG51" i="21"/>
  <c r="AI51" i="21" s="1"/>
  <c r="AV51" i="21"/>
  <c r="BM51" i="21" s="1"/>
  <c r="R18" i="21"/>
  <c r="T18" i="21" s="1"/>
  <c r="AS18" i="21"/>
  <c r="AG60" i="21"/>
  <c r="AI60" i="21" s="1"/>
  <c r="AV60" i="21"/>
  <c r="BM60" i="21" s="1"/>
  <c r="AG75" i="21"/>
  <c r="AI75" i="21" s="1"/>
  <c r="AV75" i="21"/>
  <c r="BM75" i="21" s="1"/>
  <c r="R71" i="21"/>
  <c r="T71" i="21" s="1"/>
  <c r="AS71" i="21"/>
  <c r="R99" i="21"/>
  <c r="T99" i="21" s="1"/>
  <c r="AS99" i="21"/>
  <c r="R17" i="21"/>
  <c r="T17" i="21" s="1"/>
  <c r="AS17" i="21"/>
  <c r="AK17" i="21"/>
  <c r="AN17" i="21" s="1"/>
  <c r="AV17" i="21"/>
  <c r="BM17" i="21" s="1"/>
  <c r="R108" i="21"/>
  <c r="T108" i="21" s="1"/>
  <c r="AS108" i="21"/>
  <c r="R92" i="21"/>
  <c r="T92" i="21" s="1"/>
  <c r="AS92" i="21"/>
  <c r="AK32" i="21"/>
  <c r="AN32" i="21" s="1"/>
  <c r="AV32" i="21"/>
  <c r="BM32" i="21" s="1"/>
  <c r="R32" i="21"/>
  <c r="T32" i="21" s="1"/>
  <c r="AS32" i="21"/>
  <c r="R10" i="21"/>
  <c r="T10" i="21" s="1"/>
  <c r="AS10" i="21"/>
  <c r="AK10" i="21"/>
  <c r="AN10" i="21" s="1"/>
  <c r="AV10" i="21"/>
  <c r="BM10" i="21" s="1"/>
  <c r="R34" i="21"/>
  <c r="T34" i="21" s="1"/>
  <c r="AS34" i="21"/>
  <c r="AK34" i="21"/>
  <c r="AN34" i="21" s="1"/>
  <c r="AV34" i="21"/>
  <c r="BM34" i="21" s="1"/>
  <c r="AG37" i="21"/>
  <c r="AI37" i="21" s="1"/>
  <c r="AV37" i="21"/>
  <c r="BM37" i="21" s="1"/>
  <c r="AG52" i="21"/>
  <c r="AI52" i="21" s="1"/>
  <c r="AV52" i="21"/>
  <c r="BM52" i="21" s="1"/>
  <c r="AG39" i="21"/>
  <c r="AI39" i="21" s="1"/>
  <c r="AV39" i="21"/>
  <c r="BM39" i="21" s="1"/>
  <c r="AG54" i="21"/>
  <c r="AI54" i="21" s="1"/>
  <c r="AV54" i="21"/>
  <c r="BM54" i="21" s="1"/>
  <c r="AG80" i="21"/>
  <c r="AI80" i="21" s="1"/>
  <c r="AV80" i="21"/>
  <c r="BM80" i="21" s="1"/>
  <c r="BI66" i="21"/>
  <c r="R95" i="21"/>
  <c r="T95" i="21" s="1"/>
  <c r="AS95" i="21"/>
  <c r="AK19" i="21"/>
  <c r="AN19" i="21" s="1"/>
  <c r="AV19" i="21"/>
  <c r="BM19" i="21" s="1"/>
  <c r="R19" i="21"/>
  <c r="T19" i="21" s="1"/>
  <c r="AS19" i="21"/>
  <c r="R23" i="21"/>
  <c r="T23" i="21" s="1"/>
  <c r="AS23" i="21"/>
  <c r="AK23" i="21"/>
  <c r="AV23" i="21"/>
  <c r="BM23" i="21" s="1"/>
  <c r="R65" i="21"/>
  <c r="T65" i="21" s="1"/>
  <c r="AS65" i="21"/>
  <c r="R77" i="21"/>
  <c r="T77" i="21" s="1"/>
  <c r="AS77" i="21"/>
  <c r="R80" i="21"/>
  <c r="T80" i="21" s="1"/>
  <c r="AS80" i="21"/>
  <c r="R79" i="21"/>
  <c r="T79" i="21" s="1"/>
  <c r="AS79" i="21"/>
  <c r="R104" i="21"/>
  <c r="T104" i="21" s="1"/>
  <c r="AS104" i="21"/>
  <c r="AK12" i="21"/>
  <c r="AN12" i="21" s="1"/>
  <c r="AV12" i="21"/>
  <c r="BM12" i="21" s="1"/>
  <c r="R12" i="21"/>
  <c r="T12" i="21" s="1"/>
  <c r="AS12" i="21"/>
  <c r="AK31" i="21"/>
  <c r="AN31" i="21" s="1"/>
  <c r="AV31" i="21"/>
  <c r="BM31" i="21" s="1"/>
  <c r="R31" i="21"/>
  <c r="T31" i="21" s="1"/>
  <c r="AS31" i="21"/>
  <c r="AG103" i="21"/>
  <c r="AI103" i="21" s="1"/>
  <c r="AV103" i="21"/>
  <c r="BM103" i="21" s="1"/>
  <c r="AG77" i="21"/>
  <c r="AI77" i="21" s="1"/>
  <c r="AV77" i="21"/>
  <c r="BM77" i="21" s="1"/>
  <c r="AG49" i="21"/>
  <c r="AI49" i="21" s="1"/>
  <c r="AV49" i="21"/>
  <c r="BM49" i="21" s="1"/>
  <c r="AG73" i="21"/>
  <c r="AI73" i="21" s="1"/>
  <c r="AV73" i="21"/>
  <c r="BM73" i="21" s="1"/>
  <c r="AG108" i="21"/>
  <c r="AI108" i="21" s="1"/>
  <c r="AV108" i="21"/>
  <c r="BM108" i="21" s="1"/>
  <c r="AG92" i="21"/>
  <c r="AI92" i="21" s="1"/>
  <c r="AV92" i="21"/>
  <c r="BM92" i="21" s="1"/>
  <c r="R25" i="21"/>
  <c r="T25" i="21" s="1"/>
  <c r="AS25" i="21"/>
  <c r="AG69" i="21"/>
  <c r="AI69" i="21" s="1"/>
  <c r="AV69" i="21"/>
  <c r="BM69" i="21" s="1"/>
  <c r="AG50" i="21"/>
  <c r="AI50" i="21" s="1"/>
  <c r="AV50" i="21"/>
  <c r="BM50" i="21" s="1"/>
  <c r="R107" i="21"/>
  <c r="T107" i="21" s="1"/>
  <c r="AS107" i="21"/>
  <c r="R91" i="21"/>
  <c r="T91" i="21" s="1"/>
  <c r="AS91" i="21"/>
  <c r="R61" i="21"/>
  <c r="T61" i="21" s="1"/>
  <c r="AS61" i="21"/>
  <c r="R87" i="21"/>
  <c r="T87" i="21" s="1"/>
  <c r="AS87" i="21"/>
  <c r="AK27" i="21"/>
  <c r="AN27" i="21" s="1"/>
  <c r="AV27" i="21"/>
  <c r="BM27" i="21" s="1"/>
  <c r="R27" i="21"/>
  <c r="T27" i="21" s="1"/>
  <c r="AS27" i="21"/>
  <c r="R88" i="21"/>
  <c r="T88" i="21" s="1"/>
  <c r="AS88" i="21"/>
  <c r="R73" i="21"/>
  <c r="T73" i="21" s="1"/>
  <c r="AS73" i="21"/>
  <c r="R100" i="21"/>
  <c r="T100" i="21" s="1"/>
  <c r="AS100" i="21"/>
  <c r="R64" i="21"/>
  <c r="T64" i="21" s="1"/>
  <c r="AS64" i="21"/>
  <c r="R85" i="21"/>
  <c r="T85" i="21" s="1"/>
  <c r="AS85" i="21"/>
  <c r="AG78" i="21"/>
  <c r="AI78" i="21" s="1"/>
  <c r="AV78" i="21"/>
  <c r="BM78" i="21" s="1"/>
  <c r="R29" i="21"/>
  <c r="T29" i="21" s="1"/>
  <c r="AS29" i="21"/>
  <c r="R28" i="21"/>
  <c r="T28" i="21" s="1"/>
  <c r="AS28" i="21"/>
  <c r="AG79" i="21"/>
  <c r="AI79" i="21" s="1"/>
  <c r="AV79" i="21"/>
  <c r="BM79" i="21" s="1"/>
  <c r="AG104" i="21"/>
  <c r="AI104" i="21" s="1"/>
  <c r="AV104" i="21"/>
  <c r="BM104" i="21" s="1"/>
  <c r="AG96" i="21"/>
  <c r="AI96" i="21" s="1"/>
  <c r="AV96" i="21"/>
  <c r="BM96" i="21" s="1"/>
  <c r="AG48" i="21"/>
  <c r="AI48" i="21" s="1"/>
  <c r="AV48" i="21"/>
  <c r="BM48" i="21" s="1"/>
  <c r="R26" i="21"/>
  <c r="T26" i="21" s="1"/>
  <c r="AS26" i="21"/>
  <c r="AG40" i="21"/>
  <c r="AI40" i="21" s="1"/>
  <c r="AV40" i="21"/>
  <c r="BM40" i="21" s="1"/>
  <c r="AG86" i="21"/>
  <c r="AI86" i="21" s="1"/>
  <c r="AV86" i="21"/>
  <c r="BM86" i="21" s="1"/>
  <c r="R78" i="21"/>
  <c r="T78" i="21" s="1"/>
  <c r="AS78" i="21"/>
  <c r="R103" i="21"/>
  <c r="T103" i="21" s="1"/>
  <c r="AS103" i="21"/>
  <c r="AK13" i="21"/>
  <c r="AN13" i="21" s="1"/>
  <c r="AV13" i="21"/>
  <c r="BM13" i="21" s="1"/>
  <c r="R13" i="21"/>
  <c r="T13" i="21" s="1"/>
  <c r="AS13" i="21"/>
  <c r="AG36" i="21"/>
  <c r="AI36" i="21" s="1"/>
  <c r="AV36" i="21"/>
  <c r="BM36" i="21" s="1"/>
  <c r="R96" i="21"/>
  <c r="T96" i="21" s="1"/>
  <c r="AS96" i="21"/>
  <c r="AK16" i="21"/>
  <c r="AN16" i="21" s="1"/>
  <c r="AV16" i="21"/>
  <c r="BM16" i="21" s="1"/>
  <c r="R16" i="21"/>
  <c r="T16" i="21" s="1"/>
  <c r="AS16" i="21"/>
  <c r="R33" i="21"/>
  <c r="T33" i="21" s="1"/>
  <c r="AS33" i="21"/>
  <c r="AK33" i="21"/>
  <c r="AN33" i="21" s="1"/>
  <c r="AV33" i="21"/>
  <c r="BM33" i="21" s="1"/>
  <c r="R60" i="21"/>
  <c r="T60" i="21" s="1"/>
  <c r="AS60" i="21"/>
  <c r="R69" i="21"/>
  <c r="T69" i="21" s="1"/>
  <c r="AS69" i="21"/>
  <c r="R75" i="21"/>
  <c r="T75" i="21" s="1"/>
  <c r="AS75" i="21"/>
  <c r="R86" i="21"/>
  <c r="T86" i="21" s="1"/>
  <c r="AS86" i="21"/>
  <c r="AV46" i="21"/>
  <c r="BM46" i="21" s="1"/>
  <c r="AV35" i="21"/>
  <c r="BM35" i="21" s="1"/>
  <c r="AV42" i="21"/>
  <c r="BM42" i="21" s="1"/>
  <c r="BB143" i="20"/>
  <c r="BD143" i="20" s="1"/>
  <c r="BH143" i="20" s="1"/>
  <c r="BI143" i="20"/>
  <c r="BK193" i="20"/>
  <c r="BJ193" i="20"/>
  <c r="BB193" i="20"/>
  <c r="BD193" i="20" s="1"/>
  <c r="BH193" i="20" s="1"/>
  <c r="BK171" i="20"/>
  <c r="BJ171" i="20"/>
  <c r="AO57" i="20"/>
  <c r="AP57" i="20" s="1"/>
  <c r="AG199" i="20"/>
  <c r="AI199" i="20" s="1"/>
  <c r="AV199" i="20"/>
  <c r="BL199" i="20" s="1"/>
  <c r="R199" i="20"/>
  <c r="T199" i="20" s="1"/>
  <c r="AS199" i="20"/>
  <c r="AG115" i="20"/>
  <c r="AI115" i="20" s="1"/>
  <c r="AV115" i="20"/>
  <c r="BL115" i="20" s="1"/>
  <c r="R166" i="20"/>
  <c r="T166" i="20" s="1"/>
  <c r="AS166" i="20"/>
  <c r="R182" i="20"/>
  <c r="T182" i="20" s="1"/>
  <c r="AS182" i="20"/>
  <c r="AG182" i="20"/>
  <c r="AI182" i="20" s="1"/>
  <c r="BF182" i="20" s="1"/>
  <c r="AV182" i="20"/>
  <c r="BL182" i="20" s="1"/>
  <c r="R180" i="20"/>
  <c r="T180" i="20" s="1"/>
  <c r="AS180" i="20"/>
  <c r="AG180" i="20"/>
  <c r="AI180" i="20" s="1"/>
  <c r="BF180" i="20" s="1"/>
  <c r="AV180" i="20"/>
  <c r="BL180" i="20" s="1"/>
  <c r="R164" i="20"/>
  <c r="T164" i="20" s="1"/>
  <c r="AS164" i="20"/>
  <c r="AG124" i="20"/>
  <c r="AI124" i="20" s="1"/>
  <c r="BF124" i="20" s="1"/>
  <c r="AV124" i="20"/>
  <c r="BL124" i="20" s="1"/>
  <c r="R124" i="20"/>
  <c r="T124" i="20" s="1"/>
  <c r="AS124" i="20"/>
  <c r="BI204" i="20"/>
  <c r="AG145" i="20"/>
  <c r="AI145" i="20" s="1"/>
  <c r="BF145" i="20" s="1"/>
  <c r="AV145" i="20"/>
  <c r="BL145" i="20" s="1"/>
  <c r="R145" i="20"/>
  <c r="T145" i="20" s="1"/>
  <c r="AS145" i="20"/>
  <c r="AG129" i="20"/>
  <c r="AI129" i="20" s="1"/>
  <c r="BF129" i="20" s="1"/>
  <c r="AV129" i="20"/>
  <c r="BL129" i="20" s="1"/>
  <c r="R121" i="20"/>
  <c r="T121" i="20" s="1"/>
  <c r="AS121" i="20"/>
  <c r="AG121" i="20"/>
  <c r="AI121" i="20" s="1"/>
  <c r="BF121" i="20" s="1"/>
  <c r="AV121" i="20"/>
  <c r="BL121" i="20" s="1"/>
  <c r="AG170" i="20"/>
  <c r="AI170" i="20" s="1"/>
  <c r="BF170" i="20" s="1"/>
  <c r="AV170" i="20"/>
  <c r="BL170" i="20" s="1"/>
  <c r="AG154" i="20"/>
  <c r="AI154" i="20" s="1"/>
  <c r="BF154" i="20" s="1"/>
  <c r="AV154" i="20"/>
  <c r="BL154" i="20" s="1"/>
  <c r="R138" i="20"/>
  <c r="T138" i="20" s="1"/>
  <c r="AS138" i="20"/>
  <c r="AG138" i="20"/>
  <c r="AI138" i="20" s="1"/>
  <c r="BF138" i="20" s="1"/>
  <c r="AV138" i="20"/>
  <c r="BL138" i="20" s="1"/>
  <c r="R114" i="20"/>
  <c r="T114" i="20" s="1"/>
  <c r="AS114" i="20"/>
  <c r="R175" i="20"/>
  <c r="T175" i="20" s="1"/>
  <c r="AS175" i="20"/>
  <c r="AG135" i="20"/>
  <c r="AI135" i="20" s="1"/>
  <c r="AV135" i="20"/>
  <c r="BL135" i="20" s="1"/>
  <c r="R135" i="20"/>
  <c r="T135" i="20" s="1"/>
  <c r="AS135" i="20"/>
  <c r="R111" i="20"/>
  <c r="T111" i="20" s="1"/>
  <c r="AS111" i="20"/>
  <c r="AG111" i="20"/>
  <c r="AI111" i="20" s="1"/>
  <c r="BF111" i="20" s="1"/>
  <c r="AV111" i="20"/>
  <c r="BL111" i="20" s="1"/>
  <c r="AG160" i="20"/>
  <c r="AI160" i="20" s="1"/>
  <c r="AV160" i="20"/>
  <c r="BL160" i="20" s="1"/>
  <c r="R160" i="20"/>
  <c r="T160" i="20" s="1"/>
  <c r="AS160" i="20"/>
  <c r="AG153" i="20"/>
  <c r="AI153" i="20" s="1"/>
  <c r="BF153" i="20" s="1"/>
  <c r="AV153" i="20"/>
  <c r="BL153" i="20" s="1"/>
  <c r="AG190" i="20"/>
  <c r="AI190" i="20" s="1"/>
  <c r="AV190" i="20"/>
  <c r="BL190" i="20" s="1"/>
  <c r="R190" i="20"/>
  <c r="T190" i="20" s="1"/>
  <c r="AS190" i="20"/>
  <c r="R169" i="20"/>
  <c r="T169" i="20" s="1"/>
  <c r="AS169" i="20"/>
  <c r="BK181" i="20"/>
  <c r="R195" i="20"/>
  <c r="T195" i="20" s="1"/>
  <c r="AS195" i="20"/>
  <c r="AG192" i="20"/>
  <c r="AI192" i="20" s="1"/>
  <c r="BF192" i="20" s="1"/>
  <c r="AV192" i="20"/>
  <c r="BL192" i="20" s="1"/>
  <c r="R144" i="20"/>
  <c r="T144" i="20" s="1"/>
  <c r="AS144" i="20"/>
  <c r="AG128" i="20"/>
  <c r="AI128" i="20" s="1"/>
  <c r="BF128" i="20" s="1"/>
  <c r="AV128" i="20"/>
  <c r="BL128" i="20" s="1"/>
  <c r="AG207" i="20"/>
  <c r="AI207" i="20" s="1"/>
  <c r="BF207" i="20" s="1"/>
  <c r="AV207" i="20"/>
  <c r="BL207" i="20" s="1"/>
  <c r="AG205" i="20"/>
  <c r="AI205" i="20" s="1"/>
  <c r="BF205" i="20" s="1"/>
  <c r="AV205" i="20"/>
  <c r="BL205" i="20" s="1"/>
  <c r="R205" i="20"/>
  <c r="T205" i="20" s="1"/>
  <c r="AS205" i="20"/>
  <c r="AG197" i="20"/>
  <c r="AI197" i="20" s="1"/>
  <c r="BF197" i="20" s="1"/>
  <c r="AV197" i="20"/>
  <c r="BL197" i="20" s="1"/>
  <c r="AG147" i="20"/>
  <c r="AI147" i="20" s="1"/>
  <c r="BF147" i="20" s="1"/>
  <c r="AV147" i="20"/>
  <c r="BL147" i="20" s="1"/>
  <c r="AG131" i="20"/>
  <c r="AI131" i="20" s="1"/>
  <c r="BF131" i="20" s="1"/>
  <c r="AV131" i="20"/>
  <c r="BL131" i="20" s="1"/>
  <c r="R123" i="20"/>
  <c r="T123" i="20" s="1"/>
  <c r="AS123" i="20"/>
  <c r="R201" i="20"/>
  <c r="T201" i="20" s="1"/>
  <c r="AS201" i="20"/>
  <c r="R127" i="20"/>
  <c r="T127" i="20" s="1"/>
  <c r="AS127" i="20"/>
  <c r="AG127" i="20"/>
  <c r="AI127" i="20" s="1"/>
  <c r="BF127" i="20" s="1"/>
  <c r="AV127" i="20"/>
  <c r="BL127" i="20" s="1"/>
  <c r="R120" i="20"/>
  <c r="T120" i="20" s="1"/>
  <c r="AS120" i="20"/>
  <c r="AG137" i="20"/>
  <c r="AI137" i="20" s="1"/>
  <c r="AV137" i="20"/>
  <c r="BL137" i="20" s="1"/>
  <c r="R137" i="20"/>
  <c r="T137" i="20" s="1"/>
  <c r="AS137" i="20"/>
  <c r="R162" i="20"/>
  <c r="T162" i="20" s="1"/>
  <c r="AS162" i="20"/>
  <c r="R130" i="20"/>
  <c r="T130" i="20" s="1"/>
  <c r="AS130" i="20"/>
  <c r="R122" i="20"/>
  <c r="T122" i="20" s="1"/>
  <c r="AS122" i="20"/>
  <c r="AG122" i="20"/>
  <c r="AI122" i="20" s="1"/>
  <c r="BF122" i="20" s="1"/>
  <c r="AV122" i="20"/>
  <c r="BL122" i="20" s="1"/>
  <c r="R194" i="20"/>
  <c r="T194" i="20" s="1"/>
  <c r="AS194" i="20"/>
  <c r="AG186" i="20"/>
  <c r="AI186" i="20" s="1"/>
  <c r="AV186" i="20"/>
  <c r="BL186" i="20" s="1"/>
  <c r="AG177" i="20"/>
  <c r="AI177" i="20" s="1"/>
  <c r="AV177" i="20"/>
  <c r="BL177" i="20" s="1"/>
  <c r="R200" i="20"/>
  <c r="T200" i="20" s="1"/>
  <c r="AS200" i="20"/>
  <c r="R209" i="20"/>
  <c r="T209" i="20" s="1"/>
  <c r="AS209" i="20"/>
  <c r="R119" i="20"/>
  <c r="T119" i="20" s="1"/>
  <c r="AS119" i="20"/>
  <c r="AG149" i="20"/>
  <c r="AI149" i="20" s="1"/>
  <c r="AV149" i="20"/>
  <c r="BL149" i="20" s="1"/>
  <c r="R126" i="20"/>
  <c r="T126" i="20" s="1"/>
  <c r="AS126" i="20"/>
  <c r="R110" i="20"/>
  <c r="T110" i="20" s="1"/>
  <c r="AS110" i="20"/>
  <c r="AG184" i="20"/>
  <c r="AI184" i="20" s="1"/>
  <c r="BF184" i="20" s="1"/>
  <c r="AV184" i="20"/>
  <c r="BL184" i="20" s="1"/>
  <c r="R187" i="20"/>
  <c r="T187" i="20" s="1"/>
  <c r="AS187" i="20"/>
  <c r="AG187" i="20"/>
  <c r="AI187" i="20" s="1"/>
  <c r="BF187" i="20" s="1"/>
  <c r="AV187" i="20"/>
  <c r="BL187" i="20" s="1"/>
  <c r="R165" i="20"/>
  <c r="T165" i="20" s="1"/>
  <c r="AS165" i="20"/>
  <c r="BK155" i="20"/>
  <c r="AG140" i="20"/>
  <c r="AI140" i="20" s="1"/>
  <c r="BF140" i="20" s="1"/>
  <c r="AV140" i="20"/>
  <c r="BL140" i="20" s="1"/>
  <c r="R157" i="20"/>
  <c r="T157" i="20" s="1"/>
  <c r="AS157" i="20"/>
  <c r="AG141" i="20"/>
  <c r="AI141" i="20" s="1"/>
  <c r="BF141" i="20" s="1"/>
  <c r="AV141" i="20"/>
  <c r="BL141" i="20" s="1"/>
  <c r="BI118" i="20"/>
  <c r="AG168" i="20"/>
  <c r="AI168" i="20" s="1"/>
  <c r="BF168" i="20" s="1"/>
  <c r="AV168" i="20"/>
  <c r="BL168" i="20" s="1"/>
  <c r="AG163" i="20"/>
  <c r="AI163" i="20" s="1"/>
  <c r="BF163" i="20" s="1"/>
  <c r="AV163" i="20"/>
  <c r="BL163" i="20" s="1"/>
  <c r="BJ155" i="20"/>
  <c r="R188" i="20"/>
  <c r="T188" i="20" s="1"/>
  <c r="AS188" i="20"/>
  <c r="R115" i="20"/>
  <c r="T115" i="20" s="1"/>
  <c r="AS115" i="20"/>
  <c r="R117" i="20"/>
  <c r="T117" i="20" s="1"/>
  <c r="AS117" i="20"/>
  <c r="R150" i="20"/>
  <c r="T150" i="20" s="1"/>
  <c r="AS150" i="20"/>
  <c r="R134" i="20"/>
  <c r="T134" i="20" s="1"/>
  <c r="AS134" i="20"/>
  <c r="R161" i="20"/>
  <c r="T161" i="20" s="1"/>
  <c r="AS161" i="20"/>
  <c r="R208" i="20"/>
  <c r="T208" i="20" s="1"/>
  <c r="AS208" i="20"/>
  <c r="AG164" i="20"/>
  <c r="AI164" i="20" s="1"/>
  <c r="AV164" i="20"/>
  <c r="BL164" i="20" s="1"/>
  <c r="R185" i="20"/>
  <c r="T185" i="20" s="1"/>
  <c r="AS185" i="20"/>
  <c r="AG189" i="20"/>
  <c r="AI189" i="20" s="1"/>
  <c r="BF189" i="20" s="1"/>
  <c r="AV189" i="20"/>
  <c r="BL189" i="20" s="1"/>
  <c r="R189" i="20"/>
  <c r="T189" i="20" s="1"/>
  <c r="AS189" i="20"/>
  <c r="R158" i="20"/>
  <c r="T158" i="20" s="1"/>
  <c r="AS158" i="20"/>
  <c r="R142" i="20"/>
  <c r="T142" i="20" s="1"/>
  <c r="AS142" i="20"/>
  <c r="R112" i="20"/>
  <c r="T112" i="20" s="1"/>
  <c r="AS112" i="20"/>
  <c r="AG112" i="20"/>
  <c r="AI112" i="20" s="1"/>
  <c r="AV112" i="20"/>
  <c r="BL112" i="20" s="1"/>
  <c r="R129" i="20"/>
  <c r="T129" i="20" s="1"/>
  <c r="AS129" i="20"/>
  <c r="R170" i="20"/>
  <c r="T170" i="20" s="1"/>
  <c r="AS170" i="20"/>
  <c r="R154" i="20"/>
  <c r="T154" i="20" s="1"/>
  <c r="AS154" i="20"/>
  <c r="AG114" i="20"/>
  <c r="AI114" i="20" s="1"/>
  <c r="BF114" i="20" s="1"/>
  <c r="AV114" i="20"/>
  <c r="BL114" i="20" s="1"/>
  <c r="AG175" i="20"/>
  <c r="AI175" i="20" s="1"/>
  <c r="BF175" i="20" s="1"/>
  <c r="AV175" i="20"/>
  <c r="BL175" i="20" s="1"/>
  <c r="R153" i="20"/>
  <c r="T153" i="20" s="1"/>
  <c r="AS153" i="20"/>
  <c r="AG169" i="20"/>
  <c r="AI169" i="20" s="1"/>
  <c r="BF169" i="20" s="1"/>
  <c r="AV169" i="20"/>
  <c r="BL169" i="20" s="1"/>
  <c r="AG195" i="20"/>
  <c r="AI195" i="20" s="1"/>
  <c r="BF195" i="20" s="1"/>
  <c r="AV195" i="20"/>
  <c r="BL195" i="20" s="1"/>
  <c r="R192" i="20"/>
  <c r="T192" i="20" s="1"/>
  <c r="AS192" i="20"/>
  <c r="R168" i="20"/>
  <c r="T168" i="20" s="1"/>
  <c r="AS168" i="20"/>
  <c r="AG144" i="20"/>
  <c r="AI144" i="20" s="1"/>
  <c r="BF144" i="20" s="1"/>
  <c r="AV144" i="20"/>
  <c r="BL144" i="20" s="1"/>
  <c r="R128" i="20"/>
  <c r="T128" i="20" s="1"/>
  <c r="AS128" i="20"/>
  <c r="BI171" i="20"/>
  <c r="BB171" i="20"/>
  <c r="BD171" i="20" s="1"/>
  <c r="BH171" i="20" s="1"/>
  <c r="R203" i="20"/>
  <c r="T203" i="20" s="1"/>
  <c r="AS203" i="20"/>
  <c r="R207" i="20"/>
  <c r="T207" i="20" s="1"/>
  <c r="AS207" i="20"/>
  <c r="R197" i="20"/>
  <c r="T197" i="20" s="1"/>
  <c r="AS197" i="20"/>
  <c r="R147" i="20"/>
  <c r="T147" i="20" s="1"/>
  <c r="AS147" i="20"/>
  <c r="R131" i="20"/>
  <c r="T131" i="20" s="1"/>
  <c r="AS131" i="20"/>
  <c r="AG123" i="20"/>
  <c r="AI123" i="20" s="1"/>
  <c r="AV123" i="20"/>
  <c r="BL123" i="20" s="1"/>
  <c r="R148" i="20"/>
  <c r="T148" i="20" s="1"/>
  <c r="AS148" i="20"/>
  <c r="AG148" i="20"/>
  <c r="AV148" i="20"/>
  <c r="BL148" i="20" s="1"/>
  <c r="R136" i="20"/>
  <c r="T136" i="20" s="1"/>
  <c r="AS136" i="20"/>
  <c r="R178" i="20"/>
  <c r="T178" i="20" s="1"/>
  <c r="AS178" i="20"/>
  <c r="R146" i="20"/>
  <c r="T146" i="20" s="1"/>
  <c r="AS146" i="20"/>
  <c r="R198" i="20"/>
  <c r="T198" i="20" s="1"/>
  <c r="AS198" i="20"/>
  <c r="AG132" i="20"/>
  <c r="AV132" i="20"/>
  <c r="BL132" i="20" s="1"/>
  <c r="R132" i="20"/>
  <c r="T132" i="20" s="1"/>
  <c r="AS132" i="20"/>
  <c r="R186" i="20"/>
  <c r="T186" i="20" s="1"/>
  <c r="AS186" i="20"/>
  <c r="R177" i="20"/>
  <c r="T177" i="20" s="1"/>
  <c r="AS177" i="20"/>
  <c r="AG209" i="20"/>
  <c r="AI209" i="20" s="1"/>
  <c r="BF209" i="20" s="1"/>
  <c r="AV209" i="20"/>
  <c r="BL209" i="20" s="1"/>
  <c r="R149" i="20"/>
  <c r="T149" i="20" s="1"/>
  <c r="AS149" i="20"/>
  <c r="R133" i="20"/>
  <c r="T133" i="20" s="1"/>
  <c r="AS133" i="20"/>
  <c r="AG133" i="20"/>
  <c r="AI133" i="20" s="1"/>
  <c r="BF133" i="20" s="1"/>
  <c r="AV133" i="20"/>
  <c r="BL133" i="20" s="1"/>
  <c r="R125" i="20"/>
  <c r="T125" i="20" s="1"/>
  <c r="AS125" i="20"/>
  <c r="AG125" i="20"/>
  <c r="AI125" i="20" s="1"/>
  <c r="BF125" i="20" s="1"/>
  <c r="AV125" i="20"/>
  <c r="BL125" i="20" s="1"/>
  <c r="AG126" i="20"/>
  <c r="AI126" i="20" s="1"/>
  <c r="BF126" i="20" s="1"/>
  <c r="AV126" i="20"/>
  <c r="BL126" i="20" s="1"/>
  <c r="AG110" i="20"/>
  <c r="AI110" i="20" s="1"/>
  <c r="BF110" i="20" s="1"/>
  <c r="AV110" i="20"/>
  <c r="BL110" i="20" s="1"/>
  <c r="R184" i="20"/>
  <c r="T184" i="20" s="1"/>
  <c r="AS184" i="20"/>
  <c r="R176" i="20"/>
  <c r="T176" i="20" s="1"/>
  <c r="AS176" i="20"/>
  <c r="R113" i="20"/>
  <c r="T113" i="20" s="1"/>
  <c r="AS113" i="20"/>
  <c r="AG113" i="20"/>
  <c r="AI113" i="20" s="1"/>
  <c r="BF113" i="20" s="1"/>
  <c r="AV113" i="20"/>
  <c r="BL113" i="20" s="1"/>
  <c r="R140" i="20"/>
  <c r="T140" i="20" s="1"/>
  <c r="AS140" i="20"/>
  <c r="AG157" i="20"/>
  <c r="AI157" i="20" s="1"/>
  <c r="BF157" i="20" s="1"/>
  <c r="AV157" i="20"/>
  <c r="BL157" i="20" s="1"/>
  <c r="R141" i="20"/>
  <c r="T141" i="20" s="1"/>
  <c r="AS141" i="20"/>
  <c r="AG174" i="20"/>
  <c r="AI174" i="20" s="1"/>
  <c r="BF174" i="20" s="1"/>
  <c r="AV174" i="20"/>
  <c r="BL174" i="20" s="1"/>
  <c r="R174" i="20"/>
  <c r="T174" i="20" s="1"/>
  <c r="AS174" i="20"/>
  <c r="AG202" i="20"/>
  <c r="AI202" i="20" s="1"/>
  <c r="BF202" i="20" s="1"/>
  <c r="AV202" i="20"/>
  <c r="BL202" i="20" s="1"/>
  <c r="R202" i="20"/>
  <c r="T202" i="20" s="1"/>
  <c r="AS202" i="20"/>
  <c r="R163" i="20"/>
  <c r="T163" i="20" s="1"/>
  <c r="AS163" i="20"/>
  <c r="BB155" i="20"/>
  <c r="BD155" i="20" s="1"/>
  <c r="BH155" i="20" s="1"/>
  <c r="AV84" i="20"/>
  <c r="BL84" i="20" s="1"/>
  <c r="AV40" i="20"/>
  <c r="BL40" i="20" s="1"/>
  <c r="AO85" i="20"/>
  <c r="AP85" i="20" s="1"/>
  <c r="AR85" i="20" s="1"/>
  <c r="Q85" i="20"/>
  <c r="AS85" i="20" s="1"/>
  <c r="S85" i="20"/>
  <c r="X85" i="20"/>
  <c r="Y85" i="20" s="1"/>
  <c r="Z85" i="20" s="1"/>
  <c r="AD85" i="20"/>
  <c r="U85" i="20"/>
  <c r="V85" i="20" s="1"/>
  <c r="W85" i="20" s="1"/>
  <c r="AO66" i="20"/>
  <c r="AP66" i="20" s="1"/>
  <c r="AJ66" i="20"/>
  <c r="AK66" i="20" s="1"/>
  <c r="AN66" i="20" s="1"/>
  <c r="Q66" i="20"/>
  <c r="AS66" i="20" s="1"/>
  <c r="U66" i="20"/>
  <c r="V66" i="20" s="1"/>
  <c r="W66" i="20" s="1"/>
  <c r="AH66" i="20"/>
  <c r="AD66" i="20"/>
  <c r="AH85" i="20"/>
  <c r="X66" i="20"/>
  <c r="Y66" i="20" s="1"/>
  <c r="Z66" i="20" s="1"/>
  <c r="AA85" i="20"/>
  <c r="AB85" i="20" s="1"/>
  <c r="AQ69" i="20"/>
  <c r="AO69" i="20"/>
  <c r="AP69" i="20" s="1"/>
  <c r="Q69" i="20"/>
  <c r="AD69" i="20"/>
  <c r="AO90" i="20"/>
  <c r="AP90" i="20" s="1"/>
  <c r="AR90" i="20" s="1"/>
  <c r="Q90" i="20"/>
  <c r="AA90" i="20"/>
  <c r="AB90" i="20" s="1"/>
  <c r="AD90" i="20"/>
  <c r="X90" i="20"/>
  <c r="Y90" i="20" s="1"/>
  <c r="Z90" i="20" s="1"/>
  <c r="AH90" i="20"/>
  <c r="AQ74" i="20"/>
  <c r="Q74" i="20"/>
  <c r="AA74" i="20"/>
  <c r="AB74" i="20" s="1"/>
  <c r="U74" i="20"/>
  <c r="V74" i="20" s="1"/>
  <c r="W74" i="20" s="1"/>
  <c r="S74" i="20"/>
  <c r="AH74" i="20"/>
  <c r="AM50" i="20"/>
  <c r="AJ50" i="20"/>
  <c r="AK50" i="20" s="1"/>
  <c r="AA50" i="20"/>
  <c r="AB50" i="20" s="1"/>
  <c r="AF50" i="20"/>
  <c r="U50" i="20"/>
  <c r="V50" i="20" s="1"/>
  <c r="W50" i="20" s="1"/>
  <c r="AM38" i="20"/>
  <c r="AJ38" i="20"/>
  <c r="AK38" i="20" s="1"/>
  <c r="AQ81" i="20"/>
  <c r="AO81" i="20"/>
  <c r="AP81" i="20" s="1"/>
  <c r="AF81" i="20"/>
  <c r="AG81" i="20" s="1"/>
  <c r="X81" i="20"/>
  <c r="Y81" i="20" s="1"/>
  <c r="Z81" i="20" s="1"/>
  <c r="AQ65" i="20"/>
  <c r="AF65" i="20"/>
  <c r="X65" i="20"/>
  <c r="Y65" i="20" s="1"/>
  <c r="Z65" i="20" s="1"/>
  <c r="AQ70" i="20"/>
  <c r="AO70" i="20"/>
  <c r="AP70" i="20" s="1"/>
  <c r="AF70" i="20"/>
  <c r="AG70" i="20" s="1"/>
  <c r="AA70" i="20"/>
  <c r="AB70" i="20" s="1"/>
  <c r="S70" i="20"/>
  <c r="AH70" i="20"/>
  <c r="AO45" i="20"/>
  <c r="AP45" i="20" s="1"/>
  <c r="AA45" i="20"/>
  <c r="AB45" i="20" s="1"/>
  <c r="S45" i="20"/>
  <c r="AM54" i="20"/>
  <c r="AO54" i="20"/>
  <c r="AP54" i="20" s="1"/>
  <c r="AR54" i="20" s="1"/>
  <c r="AJ54" i="20"/>
  <c r="AK54" i="20" s="1"/>
  <c r="AF54" i="20"/>
  <c r="AG54" i="20" s="1"/>
  <c r="AA54" i="20"/>
  <c r="AB54" i="20" s="1"/>
  <c r="U54" i="20"/>
  <c r="V54" i="20" s="1"/>
  <c r="W54" i="20" s="1"/>
  <c r="X54" i="20"/>
  <c r="Y54" i="20" s="1"/>
  <c r="Z54" i="20" s="1"/>
  <c r="S54" i="20"/>
  <c r="AH65" i="20"/>
  <c r="S65" i="20"/>
  <c r="AD65" i="20"/>
  <c r="S34" i="20"/>
  <c r="AQ34" i="20"/>
  <c r="U34" i="20"/>
  <c r="V34" i="20" s="1"/>
  <c r="W34" i="20" s="1"/>
  <c r="X34" i="20"/>
  <c r="Y34" i="20" s="1"/>
  <c r="Z34" i="20" s="1"/>
  <c r="AJ81" i="20"/>
  <c r="AK81" i="20" s="1"/>
  <c r="AJ77" i="20"/>
  <c r="AK77" i="20" s="1"/>
  <c r="AN77" i="20" s="1"/>
  <c r="AJ74" i="20"/>
  <c r="AK74" i="20" s="1"/>
  <c r="AN74" i="20" s="1"/>
  <c r="AO82" i="20"/>
  <c r="AP82" i="20" s="1"/>
  <c r="AO50" i="20"/>
  <c r="AP50" i="20" s="1"/>
  <c r="AR50" i="20" s="1"/>
  <c r="AD61" i="20"/>
  <c r="AH61" i="20"/>
  <c r="S61" i="20"/>
  <c r="AJ73" i="20"/>
  <c r="AJ69" i="20"/>
  <c r="AK69" i="20" s="1"/>
  <c r="AO74" i="20"/>
  <c r="AP74" i="20" s="1"/>
  <c r="AO58" i="20"/>
  <c r="AP58" i="20" s="1"/>
  <c r="R22" i="20"/>
  <c r="T22" i="20" s="1"/>
  <c r="BI22" i="20" s="1"/>
  <c r="AQ33" i="20"/>
  <c r="AM33" i="20"/>
  <c r="X33" i="20"/>
  <c r="Y33" i="20" s="1"/>
  <c r="Z33" i="20" s="1"/>
  <c r="S33" i="20"/>
  <c r="S21" i="20"/>
  <c r="S13" i="20"/>
  <c r="S25" i="20"/>
  <c r="AM13" i="20"/>
  <c r="AM18" i="20"/>
  <c r="AM17" i="20"/>
  <c r="AM21" i="20"/>
  <c r="U109" i="20"/>
  <c r="V109" i="20" s="1"/>
  <c r="W109" i="20" s="1"/>
  <c r="X18" i="20"/>
  <c r="Y18" i="20" s="1"/>
  <c r="Z18" i="20" s="1"/>
  <c r="U21" i="20"/>
  <c r="V21" i="20" s="1"/>
  <c r="W21" i="20" s="1"/>
  <c r="X21" i="20"/>
  <c r="Y21" i="20" s="1"/>
  <c r="Z21" i="20" s="1"/>
  <c r="AH109" i="20"/>
  <c r="AA109" i="20"/>
  <c r="AB109" i="20" s="1"/>
  <c r="AE109" i="20" s="1"/>
  <c r="Q109" i="20"/>
  <c r="AQ31" i="20"/>
  <c r="AM31" i="20"/>
  <c r="AK109" i="20"/>
  <c r="AO109" i="20"/>
  <c r="AP109" i="20" s="1"/>
  <c r="AM109" i="20"/>
  <c r="AQ109" i="20"/>
  <c r="R9" i="20"/>
  <c r="T9" i="20" s="1"/>
  <c r="BI9" i="20" s="1"/>
  <c r="AS9" i="20"/>
  <c r="Q25" i="20"/>
  <c r="AS25" i="20" s="1"/>
  <c r="S106" i="20"/>
  <c r="AO106" i="20"/>
  <c r="AP106" i="20" s="1"/>
  <c r="AR106" i="20" s="1"/>
  <c r="Q106" i="20"/>
  <c r="AS106" i="20" s="1"/>
  <c r="AH106" i="20"/>
  <c r="Q14" i="20"/>
  <c r="AS14" i="20" s="1"/>
  <c r="AQ14" i="20"/>
  <c r="AA14" i="20"/>
  <c r="AB14" i="20" s="1"/>
  <c r="AE14" i="20" s="1"/>
  <c r="Q10" i="20"/>
  <c r="AS10" i="20" s="1"/>
  <c r="AQ10" i="20"/>
  <c r="AA10" i="20"/>
  <c r="AB10" i="20" s="1"/>
  <c r="AE10" i="20" s="1"/>
  <c r="AF29" i="20"/>
  <c r="AG29" i="20" s="1"/>
  <c r="AF106" i="20"/>
  <c r="AV106" i="20" s="1"/>
  <c r="BL106" i="20" s="1"/>
  <c r="AQ21" i="20"/>
  <c r="Q21" i="20"/>
  <c r="AS21" i="20" s="1"/>
  <c r="AA21" i="20"/>
  <c r="AB21" i="20" s="1"/>
  <c r="AE21" i="20" s="1"/>
  <c r="AF25" i="20"/>
  <c r="AF26" i="20"/>
  <c r="AJ33" i="20"/>
  <c r="AJ14" i="20"/>
  <c r="AK14" i="20" s="1"/>
  <c r="X25" i="20"/>
  <c r="Y25" i="20" s="1"/>
  <c r="Z25" i="20" s="1"/>
  <c r="U25" i="20"/>
  <c r="V25" i="20" s="1"/>
  <c r="W25" i="20" s="1"/>
  <c r="AH25" i="20"/>
  <c r="AQ25" i="20"/>
  <c r="AQ17" i="20"/>
  <c r="Q17" i="20"/>
  <c r="AS17" i="20" s="1"/>
  <c r="AA17" i="20"/>
  <c r="AB17" i="20" s="1"/>
  <c r="AE17" i="20" s="1"/>
  <c r="U17" i="20"/>
  <c r="V17" i="20" s="1"/>
  <c r="W17" i="20" s="1"/>
  <c r="AQ18" i="20"/>
  <c r="AA18" i="20"/>
  <c r="AB18" i="20" s="1"/>
  <c r="AE18" i="20" s="1"/>
  <c r="Q18" i="20"/>
  <c r="AS18" i="20" s="1"/>
  <c r="AA30" i="20"/>
  <c r="AB30" i="20" s="1"/>
  <c r="AF31" i="20"/>
  <c r="AG31" i="20" s="1"/>
  <c r="AA33" i="20"/>
  <c r="AB33" i="20" s="1"/>
  <c r="AE33" i="20" s="1"/>
  <c r="AA13" i="20"/>
  <c r="AB13" i="20" s="1"/>
  <c r="AE13" i="20" s="1"/>
  <c r="AQ13" i="20"/>
  <c r="Q13" i="20"/>
  <c r="AS13" i="20" s="1"/>
  <c r="AJ30" i="20"/>
  <c r="AK30" i="20" s="1"/>
  <c r="AO29" i="20"/>
  <c r="AP29" i="20" s="1"/>
  <c r="AR29" i="20" s="1"/>
  <c r="AO25" i="20"/>
  <c r="AP25" i="20" s="1"/>
  <c r="AO18" i="20"/>
  <c r="AP18" i="20" s="1"/>
  <c r="AA106" i="20"/>
  <c r="AB106" i="20" s="1"/>
  <c r="AO31" i="20"/>
  <c r="AP31" i="20" s="1"/>
  <c r="AJ10" i="20"/>
  <c r="AK10" i="20" s="1"/>
  <c r="R71" i="20"/>
  <c r="T71" i="20" s="1"/>
  <c r="BI71" i="20" s="1"/>
  <c r="AG100" i="20"/>
  <c r="R107" i="20"/>
  <c r="T87" i="20"/>
  <c r="BI87" i="20" s="1"/>
  <c r="AV55" i="20"/>
  <c r="BL55" i="20" s="1"/>
  <c r="AV76" i="20"/>
  <c r="BL76" i="20" s="1"/>
  <c r="AG76" i="20"/>
  <c r="AG27" i="20"/>
  <c r="AV27" i="20"/>
  <c r="BL27" i="20" s="1"/>
  <c r="AG92" i="20"/>
  <c r="AV92" i="20"/>
  <c r="BL92" i="20" s="1"/>
  <c r="AV108" i="20"/>
  <c r="BL108" i="20" s="1"/>
  <c r="AG108" i="20"/>
  <c r="AV75" i="20"/>
  <c r="BL75" i="20" s="1"/>
  <c r="AV68" i="20"/>
  <c r="BL68" i="20" s="1"/>
  <c r="AG68" i="20"/>
  <c r="AI68" i="20" s="1"/>
  <c r="BF68" i="20" s="1"/>
  <c r="S14" i="20"/>
  <c r="AD29" i="20"/>
  <c r="AH38" i="20"/>
  <c r="U38" i="20"/>
  <c r="V38" i="20" s="1"/>
  <c r="W38" i="20" s="1"/>
  <c r="AD38" i="20"/>
  <c r="S38" i="20"/>
  <c r="AG104" i="20"/>
  <c r="AV104" i="20"/>
  <c r="BL104" i="20" s="1"/>
  <c r="AG60" i="20"/>
  <c r="R79" i="20"/>
  <c r="T79" i="20" s="1"/>
  <c r="BI79" i="20" s="1"/>
  <c r="AV9" i="20"/>
  <c r="BL9" i="20" s="1"/>
  <c r="X38" i="20"/>
  <c r="Y38" i="20" s="1"/>
  <c r="Z38" i="20" s="1"/>
  <c r="X14" i="20"/>
  <c r="Y14" i="20" s="1"/>
  <c r="Z14" i="20" s="1"/>
  <c r="AH14" i="20"/>
  <c r="U14" i="20"/>
  <c r="V14" i="20" s="1"/>
  <c r="W14" i="20" s="1"/>
  <c r="AH29" i="20"/>
  <c r="U29" i="20"/>
  <c r="V29" i="20" s="1"/>
  <c r="W29" i="20" s="1"/>
  <c r="AG99" i="20"/>
  <c r="AV99" i="20"/>
  <c r="BL99" i="20" s="1"/>
  <c r="AG91" i="20"/>
  <c r="AV91" i="20"/>
  <c r="BL91" i="20" s="1"/>
  <c r="AG67" i="20"/>
  <c r="AI67" i="20" s="1"/>
  <c r="AV67" i="20"/>
  <c r="BL67" i="20" s="1"/>
  <c r="AG95" i="20"/>
  <c r="AI95" i="20" s="1"/>
  <c r="BF95" i="20" s="1"/>
  <c r="AV95" i="20"/>
  <c r="BL95" i="20" s="1"/>
  <c r="AG79" i="20"/>
  <c r="AV79" i="20"/>
  <c r="BL79" i="20" s="1"/>
  <c r="AG103" i="20"/>
  <c r="AI103" i="20" s="1"/>
  <c r="BF103" i="20" s="1"/>
  <c r="AV103" i="20"/>
  <c r="BL103" i="20" s="1"/>
  <c r="AK16" i="20"/>
  <c r="AG51" i="20"/>
  <c r="AI51" i="20" s="1"/>
  <c r="AV51" i="20"/>
  <c r="BL51" i="20" s="1"/>
  <c r="K133" i="2"/>
  <c r="M133" i="2" s="1"/>
  <c r="D86" i="2"/>
  <c r="E33" i="1"/>
  <c r="B296" i="2"/>
  <c r="B297" i="2" s="1"/>
  <c r="F4" i="17" s="1"/>
  <c r="E34" i="1"/>
  <c r="B168" i="2"/>
  <c r="E41" i="1" s="1"/>
  <c r="B172" i="2"/>
  <c r="L173" i="2" s="1"/>
  <c r="L174" i="2"/>
  <c r="K173" i="2"/>
  <c r="K168" i="2"/>
  <c r="K167" i="2"/>
  <c r="K195" i="2"/>
  <c r="E52" i="1"/>
  <c r="B137" i="2"/>
  <c r="D61" i="16" s="1"/>
  <c r="B280" i="2"/>
  <c r="F5" i="17" s="1"/>
  <c r="F7" i="17"/>
  <c r="B306" i="2"/>
  <c r="B308" i="2" s="1"/>
  <c r="E68" i="1" s="1"/>
  <c r="H167" i="2"/>
  <c r="E45" i="1"/>
  <c r="N103" i="2"/>
  <c r="N102" i="2"/>
  <c r="P102" i="2"/>
  <c r="BE75" i="20" l="1"/>
  <c r="BE80" i="20"/>
  <c r="BF67" i="20"/>
  <c r="BE84" i="20"/>
  <c r="BF84" i="20"/>
  <c r="BF87" i="20"/>
  <c r="AN35" i="20"/>
  <c r="BE35" i="20" s="1"/>
  <c r="AV63" i="20"/>
  <c r="BL63" i="20" s="1"/>
  <c r="AI24" i="20"/>
  <c r="BK42" i="21"/>
  <c r="BE42" i="21" s="1"/>
  <c r="BE64" i="20"/>
  <c r="BF63" i="20"/>
  <c r="AV56" i="20"/>
  <c r="BL56" i="20" s="1"/>
  <c r="R56" i="20"/>
  <c r="T56" i="20" s="1"/>
  <c r="BI56" i="20" s="1"/>
  <c r="AR56" i="20"/>
  <c r="BJ56" i="20" s="1"/>
  <c r="BE51" i="20"/>
  <c r="AN72" i="20"/>
  <c r="AN48" i="20"/>
  <c r="AR59" i="20"/>
  <c r="AV59" i="20"/>
  <c r="BL59" i="20" s="1"/>
  <c r="AV60" i="20"/>
  <c r="BL60" i="20" s="1"/>
  <c r="AE48" i="20"/>
  <c r="AG59" i="20"/>
  <c r="AI59" i="20" s="1"/>
  <c r="BK59" i="20" s="1"/>
  <c r="R23" i="20"/>
  <c r="T23" i="20" s="1"/>
  <c r="BI23" i="20" s="1"/>
  <c r="AR32" i="20"/>
  <c r="BF32" i="20" s="1"/>
  <c r="AR78" i="20"/>
  <c r="BE59" i="20"/>
  <c r="AN32" i="20"/>
  <c r="R59" i="20"/>
  <c r="T59" i="20" s="1"/>
  <c r="BI59" i="20" s="1"/>
  <c r="BF55" i="20"/>
  <c r="AV101" i="20"/>
  <c r="BL101" i="20" s="1"/>
  <c r="AV98" i="20"/>
  <c r="BL98" i="20" s="1"/>
  <c r="AN60" i="20"/>
  <c r="BE60" i="20" s="1"/>
  <c r="BE56" i="20"/>
  <c r="BF51" i="20"/>
  <c r="BK73" i="21"/>
  <c r="BE73" i="21" s="1"/>
  <c r="AV61" i="20"/>
  <c r="BL61" i="20" s="1"/>
  <c r="BK40" i="21"/>
  <c r="BE40" i="21" s="1"/>
  <c r="BK87" i="21"/>
  <c r="BE87" i="21" s="1"/>
  <c r="BK90" i="21"/>
  <c r="BE90" i="21" s="1"/>
  <c r="BK82" i="21"/>
  <c r="BE82" i="21" s="1"/>
  <c r="AE43" i="20"/>
  <c r="B318" i="2"/>
  <c r="AE35" i="20"/>
  <c r="AV35" i="20"/>
  <c r="BL35" i="20" s="1"/>
  <c r="AV32" i="20"/>
  <c r="BL32" i="20" s="1"/>
  <c r="R48" i="20"/>
  <c r="T48" i="20" s="1"/>
  <c r="BI48" i="20" s="1"/>
  <c r="AR36" i="20"/>
  <c r="BF36" i="20" s="1"/>
  <c r="AG35" i="20"/>
  <c r="AI35" i="20" s="1"/>
  <c r="BE159" i="20"/>
  <c r="R35" i="20"/>
  <c r="T35" i="20" s="1"/>
  <c r="BI35" i="20" s="1"/>
  <c r="AE32" i="20"/>
  <c r="R32" i="20"/>
  <c r="T32" i="20" s="1"/>
  <c r="BI32" i="20" s="1"/>
  <c r="AN23" i="20"/>
  <c r="AN43" i="20"/>
  <c r="AN15" i="20"/>
  <c r="BE15" i="20" s="1"/>
  <c r="AR28" i="20"/>
  <c r="AE73" i="20"/>
  <c r="AI43" i="20"/>
  <c r="BK43" i="20" s="1"/>
  <c r="R43" i="20"/>
  <c r="T43" i="20" s="1"/>
  <c r="BI43" i="20" s="1"/>
  <c r="AR15" i="20"/>
  <c r="BF15" i="20" s="1"/>
  <c r="AR24" i="20"/>
  <c r="BF24" i="20" s="1"/>
  <c r="AN47" i="20"/>
  <c r="BE47" i="20" s="1"/>
  <c r="AR11" i="20"/>
  <c r="BF11" i="20" s="1"/>
  <c r="R24" i="20"/>
  <c r="T24" i="20" s="1"/>
  <c r="BI24" i="20" s="1"/>
  <c r="AV109" i="20"/>
  <c r="BL109" i="20" s="1"/>
  <c r="AI48" i="20"/>
  <c r="BF48" i="20" s="1"/>
  <c r="R11" i="20"/>
  <c r="T11" i="20" s="1"/>
  <c r="BI11" i="20" s="1"/>
  <c r="AV43" i="20"/>
  <c r="BL43" i="20" s="1"/>
  <c r="AR47" i="20"/>
  <c r="AV47" i="20"/>
  <c r="BL47" i="20" s="1"/>
  <c r="AI17" i="20"/>
  <c r="BK17" i="20" s="1"/>
  <c r="AN88" i="20"/>
  <c r="R47" i="20"/>
  <c r="T47" i="20" s="1"/>
  <c r="BI47" i="20" s="1"/>
  <c r="AR62" i="20"/>
  <c r="AV105" i="20"/>
  <c r="BL105" i="20" s="1"/>
  <c r="AI47" i="20"/>
  <c r="AV48" i="20"/>
  <c r="BL48" i="20" s="1"/>
  <c r="AI15" i="20"/>
  <c r="AN11" i="20"/>
  <c r="BE11" i="20" s="1"/>
  <c r="BE151" i="20"/>
  <c r="AI105" i="20"/>
  <c r="BK105" i="20" s="1"/>
  <c r="AV36" i="20"/>
  <c r="BL36" i="20" s="1"/>
  <c r="BK173" i="20"/>
  <c r="AV39" i="20"/>
  <c r="BL39" i="20" s="1"/>
  <c r="AG90" i="20"/>
  <c r="AI90" i="20" s="1"/>
  <c r="BF90" i="20" s="1"/>
  <c r="AV11" i="20"/>
  <c r="BL11" i="20" s="1"/>
  <c r="AV15" i="20"/>
  <c r="BL15" i="20" s="1"/>
  <c r="AI23" i="20"/>
  <c r="BK23" i="20" s="1"/>
  <c r="R77" i="20"/>
  <c r="T77" i="20" s="1"/>
  <c r="BI77" i="20" s="1"/>
  <c r="R15" i="20"/>
  <c r="T15" i="20" s="1"/>
  <c r="BE24" i="20"/>
  <c r="AG39" i="20"/>
  <c r="AI39" i="20" s="1"/>
  <c r="BK39" i="20" s="1"/>
  <c r="R20" i="20"/>
  <c r="T20" i="20" s="1"/>
  <c r="BI20" i="20" s="1"/>
  <c r="AR14" i="20"/>
  <c r="BK151" i="20"/>
  <c r="AN16" i="20"/>
  <c r="BE16" i="20" s="1"/>
  <c r="AI49" i="20"/>
  <c r="AI31" i="20"/>
  <c r="BK31" i="20" s="1"/>
  <c r="AI19" i="20"/>
  <c r="AE62" i="20"/>
  <c r="BE62" i="20" s="1"/>
  <c r="BE172" i="20"/>
  <c r="AE77" i="20"/>
  <c r="BE77" i="20" s="1"/>
  <c r="AR16" i="20"/>
  <c r="BF16" i="20" s="1"/>
  <c r="AE36" i="20"/>
  <c r="AE37" i="20"/>
  <c r="AI88" i="20"/>
  <c r="BK88" i="20" s="1"/>
  <c r="BE160" i="20"/>
  <c r="AE39" i="20"/>
  <c r="BE39" i="20" s="1"/>
  <c r="AE28" i="20"/>
  <c r="BE28" i="20" s="1"/>
  <c r="AV16" i="20"/>
  <c r="BL16" i="20" s="1"/>
  <c r="R89" i="20"/>
  <c r="T89" i="20" s="1"/>
  <c r="BI89" i="20" s="1"/>
  <c r="BK191" i="20"/>
  <c r="AI16" i="20"/>
  <c r="BK16" i="20" s="1"/>
  <c r="R16" i="20"/>
  <c r="T16" i="20" s="1"/>
  <c r="BI16" i="20" s="1"/>
  <c r="BE71" i="20"/>
  <c r="BE76" i="20"/>
  <c r="BF20" i="20"/>
  <c r="BB191" i="20"/>
  <c r="BD191" i="20" s="1"/>
  <c r="BH191" i="20" s="1"/>
  <c r="AR44" i="20"/>
  <c r="AE107" i="20"/>
  <c r="BF96" i="20"/>
  <c r="R70" i="20"/>
  <c r="T70" i="20" s="1"/>
  <c r="BI70" i="20" s="1"/>
  <c r="AI33" i="20"/>
  <c r="BK33" i="20" s="1"/>
  <c r="AV23" i="20"/>
  <c r="BL23" i="20" s="1"/>
  <c r="AR52" i="20"/>
  <c r="BF52" i="20" s="1"/>
  <c r="AV19" i="20"/>
  <c r="BL19" i="20" s="1"/>
  <c r="AE93" i="20"/>
  <c r="BE93" i="20" s="1"/>
  <c r="AI28" i="20"/>
  <c r="BK28" i="20" s="1"/>
  <c r="BK179" i="20"/>
  <c r="AE86" i="20"/>
  <c r="AV28" i="20"/>
  <c r="BL28" i="20" s="1"/>
  <c r="R62" i="20"/>
  <c r="T62" i="20" s="1"/>
  <c r="BI62" i="20" s="1"/>
  <c r="BJ80" i="20"/>
  <c r="AR39" i="20"/>
  <c r="AV86" i="20"/>
  <c r="BL86" i="20" s="1"/>
  <c r="R28" i="20"/>
  <c r="T28" i="20" s="1"/>
  <c r="BI28" i="20" s="1"/>
  <c r="BF80" i="20"/>
  <c r="BE20" i="20"/>
  <c r="AE12" i="20"/>
  <c r="AI13" i="20"/>
  <c r="BK13" i="20" s="1"/>
  <c r="BJ152" i="20"/>
  <c r="BL25" i="21"/>
  <c r="BF25" i="21" s="1"/>
  <c r="BK59" i="21"/>
  <c r="BE59" i="21" s="1"/>
  <c r="BL30" i="21"/>
  <c r="BF30" i="21" s="1"/>
  <c r="AV88" i="20"/>
  <c r="BL88" i="20" s="1"/>
  <c r="AE70" i="20"/>
  <c r="BE70" i="20" s="1"/>
  <c r="BL83" i="21"/>
  <c r="BF83" i="21" s="1"/>
  <c r="R52" i="20"/>
  <c r="T52" i="20" s="1"/>
  <c r="BI52" i="20" s="1"/>
  <c r="BF152" i="20"/>
  <c r="AI73" i="20"/>
  <c r="BF73" i="20" s="1"/>
  <c r="AE102" i="20"/>
  <c r="BE102" i="20" s="1"/>
  <c r="BJ96" i="20"/>
  <c r="AR19" i="20"/>
  <c r="AV13" i="20"/>
  <c r="BL13" i="20" s="1"/>
  <c r="AV94" i="20"/>
  <c r="BL94" i="20" s="1"/>
  <c r="BF206" i="20"/>
  <c r="AG98" i="20"/>
  <c r="AI98" i="20" s="1"/>
  <c r="BF98" i="20" s="1"/>
  <c r="AN10" i="20"/>
  <c r="BE10" i="20" s="1"/>
  <c r="BF9" i="20"/>
  <c r="AE78" i="20"/>
  <c r="BE78" i="20" s="1"/>
  <c r="AI86" i="20"/>
  <c r="AN19" i="20"/>
  <c r="BE19" i="20" s="1"/>
  <c r="R73" i="20"/>
  <c r="T73" i="20" s="1"/>
  <c r="BI73" i="20" s="1"/>
  <c r="AN101" i="20"/>
  <c r="AE52" i="20"/>
  <c r="AN69" i="20"/>
  <c r="BF83" i="20"/>
  <c r="BE206" i="20"/>
  <c r="AI107" i="20"/>
  <c r="BF107" i="20" s="1"/>
  <c r="AE82" i="20"/>
  <c r="BE82" i="20" s="1"/>
  <c r="BJ167" i="20"/>
  <c r="AG89" i="20"/>
  <c r="AI89" i="20" s="1"/>
  <c r="BK89" i="20" s="1"/>
  <c r="AV102" i="20"/>
  <c r="BL102" i="20" s="1"/>
  <c r="AE74" i="20"/>
  <c r="BE74" i="20" s="1"/>
  <c r="R19" i="20"/>
  <c r="T19" i="20" s="1"/>
  <c r="BI19" i="20" s="1"/>
  <c r="R12" i="20"/>
  <c r="T12" i="20" s="1"/>
  <c r="BI12" i="20" s="1"/>
  <c r="AV62" i="20"/>
  <c r="BL62" i="20" s="1"/>
  <c r="R93" i="20"/>
  <c r="T93" i="20" s="1"/>
  <c r="BI93" i="20" s="1"/>
  <c r="AV20" i="20"/>
  <c r="BL20" i="20" s="1"/>
  <c r="R39" i="20"/>
  <c r="T39" i="20" s="1"/>
  <c r="BI39" i="20" s="1"/>
  <c r="AR10" i="20"/>
  <c r="BF10" i="20" s="1"/>
  <c r="R46" i="20"/>
  <c r="T46" i="20" s="1"/>
  <c r="BI46" i="20" s="1"/>
  <c r="BF159" i="20"/>
  <c r="R78" i="20"/>
  <c r="T78" i="20" s="1"/>
  <c r="BI78" i="20" s="1"/>
  <c r="R81" i="20"/>
  <c r="T81" i="20" s="1"/>
  <c r="BI81" i="20" s="1"/>
  <c r="AV12" i="20"/>
  <c r="BL12" i="20" s="1"/>
  <c r="AE72" i="20"/>
  <c r="BE72" i="20" s="1"/>
  <c r="AI62" i="20"/>
  <c r="BK62" i="20" s="1"/>
  <c r="BK64" i="20"/>
  <c r="BB139" i="20"/>
  <c r="BD139" i="20" s="1"/>
  <c r="BH139" i="20" s="1"/>
  <c r="AN26" i="20"/>
  <c r="AN86" i="20"/>
  <c r="BK38" i="21"/>
  <c r="BE38" i="21" s="1"/>
  <c r="BL19" i="21"/>
  <c r="BF19" i="21" s="1"/>
  <c r="BK46" i="21"/>
  <c r="BE46" i="21" s="1"/>
  <c r="BK48" i="21"/>
  <c r="BE48" i="21" s="1"/>
  <c r="BL10" i="21"/>
  <c r="BF10" i="21" s="1"/>
  <c r="BK91" i="21"/>
  <c r="BE91" i="21" s="1"/>
  <c r="BK92" i="21"/>
  <c r="BE92" i="21" s="1"/>
  <c r="BK108" i="21"/>
  <c r="BE108" i="21" s="1"/>
  <c r="BK78" i="21"/>
  <c r="BE78" i="21" s="1"/>
  <c r="BK64" i="21"/>
  <c r="BE64" i="21" s="1"/>
  <c r="BK61" i="21"/>
  <c r="BE61" i="21" s="1"/>
  <c r="BK96" i="21"/>
  <c r="BE96" i="21" s="1"/>
  <c r="BK41" i="21"/>
  <c r="BE41" i="21" s="1"/>
  <c r="BK54" i="21"/>
  <c r="BE54" i="21" s="1"/>
  <c r="BL42" i="21"/>
  <c r="BF42" i="21" s="1"/>
  <c r="BL11" i="21"/>
  <c r="BF11" i="21" s="1"/>
  <c r="BJ179" i="20"/>
  <c r="BL37" i="21"/>
  <c r="BF37" i="21" s="1"/>
  <c r="AR97" i="20"/>
  <c r="AE23" i="20"/>
  <c r="AE41" i="20"/>
  <c r="BE41" i="20" s="1"/>
  <c r="AV82" i="20"/>
  <c r="BL82" i="20" s="1"/>
  <c r="AR102" i="20"/>
  <c r="AN98" i="20"/>
  <c r="AI93" i="20"/>
  <c r="BF93" i="20" s="1"/>
  <c r="AE97" i="20"/>
  <c r="BE97" i="20" s="1"/>
  <c r="BB96" i="20"/>
  <c r="BD96" i="20" s="1"/>
  <c r="BH96" i="20" s="1"/>
  <c r="AG97" i="20"/>
  <c r="AI97" i="20" s="1"/>
  <c r="BF97" i="20" s="1"/>
  <c r="AI104" i="20"/>
  <c r="BF104" i="20" s="1"/>
  <c r="AN14" i="20"/>
  <c r="BE14" i="20" s="1"/>
  <c r="AN36" i="20"/>
  <c r="BJ64" i="20"/>
  <c r="AN81" i="20"/>
  <c r="BF167" i="20"/>
  <c r="AI44" i="20"/>
  <c r="R86" i="20"/>
  <c r="T86" i="20" s="1"/>
  <c r="BI86" i="20" s="1"/>
  <c r="AR89" i="20"/>
  <c r="AE104" i="20"/>
  <c r="BE104" i="20" s="1"/>
  <c r="AR86" i="20"/>
  <c r="AE105" i="20"/>
  <c r="AI69" i="20"/>
  <c r="BK69" i="20" s="1"/>
  <c r="AN44" i="20"/>
  <c r="BJ63" i="20"/>
  <c r="AV93" i="20"/>
  <c r="BL93" i="20" s="1"/>
  <c r="R105" i="20"/>
  <c r="T105" i="20" s="1"/>
  <c r="BI105" i="20" s="1"/>
  <c r="AE106" i="20"/>
  <c r="BE106" i="20" s="1"/>
  <c r="AN30" i="20"/>
  <c r="AG101" i="20"/>
  <c r="AI101" i="20" s="1"/>
  <c r="BK101" i="20" s="1"/>
  <c r="AN13" i="20"/>
  <c r="BE13" i="20" s="1"/>
  <c r="R36" i="20"/>
  <c r="T36" i="20" s="1"/>
  <c r="BI36" i="20" s="1"/>
  <c r="AR82" i="20"/>
  <c r="AE65" i="20"/>
  <c r="BE65" i="20" s="1"/>
  <c r="AG85" i="20"/>
  <c r="AI85" i="20" s="1"/>
  <c r="BF85" i="20" s="1"/>
  <c r="R102" i="20"/>
  <c r="T102" i="20" s="1"/>
  <c r="BI102" i="20" s="1"/>
  <c r="AR66" i="20"/>
  <c r="BJ139" i="20"/>
  <c r="BK139" i="20"/>
  <c r="BF12" i="20"/>
  <c r="R101" i="20"/>
  <c r="T101" i="20" s="1"/>
  <c r="BI101" i="20" s="1"/>
  <c r="BJ196" i="20"/>
  <c r="AE98" i="20"/>
  <c r="BE98" i="20" s="1"/>
  <c r="AE94" i="20"/>
  <c r="BE94" i="20" s="1"/>
  <c r="AE44" i="20"/>
  <c r="BB167" i="20"/>
  <c r="BD167" i="20" s="1"/>
  <c r="BH167" i="20" s="1"/>
  <c r="AI77" i="20"/>
  <c r="BK77" i="20" s="1"/>
  <c r="AN12" i="20"/>
  <c r="AR104" i="20"/>
  <c r="T107" i="20"/>
  <c r="BI107" i="20" s="1"/>
  <c r="AV52" i="20"/>
  <c r="BL52" i="20" s="1"/>
  <c r="R94" i="20"/>
  <c r="T94" i="20" s="1"/>
  <c r="BI94" i="20" s="1"/>
  <c r="AE69" i="20"/>
  <c r="BE69" i="20" s="1"/>
  <c r="BJ151" i="20"/>
  <c r="BL85" i="21"/>
  <c r="BF85" i="21" s="1"/>
  <c r="BL90" i="21"/>
  <c r="BF90" i="21" s="1"/>
  <c r="AI42" i="20"/>
  <c r="BK42" i="20" s="1"/>
  <c r="AI78" i="20"/>
  <c r="BF78" i="20" s="1"/>
  <c r="AE101" i="20"/>
  <c r="BE101" i="20" s="1"/>
  <c r="AV78" i="20"/>
  <c r="BL78" i="20" s="1"/>
  <c r="R65" i="20"/>
  <c r="T65" i="20" s="1"/>
  <c r="BI65" i="20" s="1"/>
  <c r="AI66" i="20"/>
  <c r="BF66" i="20" s="1"/>
  <c r="R98" i="20"/>
  <c r="T98" i="20" s="1"/>
  <c r="BI98" i="20" s="1"/>
  <c r="BB179" i="20"/>
  <c r="BD179" i="20" s="1"/>
  <c r="BH179" i="20" s="1"/>
  <c r="AR61" i="20"/>
  <c r="R44" i="20"/>
  <c r="T44" i="20" s="1"/>
  <c r="BI44" i="20" s="1"/>
  <c r="AV44" i="20"/>
  <c r="BL44" i="20" s="1"/>
  <c r="BB152" i="20"/>
  <c r="BD152" i="20" s="1"/>
  <c r="BH152" i="20" s="1"/>
  <c r="BB181" i="20"/>
  <c r="BD181" i="20" s="1"/>
  <c r="BH181" i="20" s="1"/>
  <c r="BJ159" i="20"/>
  <c r="BB206" i="20"/>
  <c r="BD206" i="20" s="1"/>
  <c r="BH206" i="20" s="1"/>
  <c r="BB159" i="20"/>
  <c r="BD159" i="20" s="1"/>
  <c r="BH159" i="20" s="1"/>
  <c r="BJ181" i="20"/>
  <c r="BL97" i="21"/>
  <c r="BF97" i="21" s="1"/>
  <c r="BK9" i="21"/>
  <c r="BE9" i="21" s="1"/>
  <c r="BJ191" i="20"/>
  <c r="BK70" i="21"/>
  <c r="BE70" i="21" s="1"/>
  <c r="BL101" i="21"/>
  <c r="BF101" i="21" s="1"/>
  <c r="BB172" i="20"/>
  <c r="BD172" i="20" s="1"/>
  <c r="BH172" i="20" s="1"/>
  <c r="BL35" i="21"/>
  <c r="BF35" i="21" s="1"/>
  <c r="BJ172" i="20"/>
  <c r="AE42" i="20"/>
  <c r="BE42" i="20" s="1"/>
  <c r="AE53" i="20"/>
  <c r="AR72" i="20"/>
  <c r="AN52" i="20"/>
  <c r="BE173" i="20"/>
  <c r="BJ173" i="20"/>
  <c r="BB173" i="20"/>
  <c r="BD173" i="20" s="1"/>
  <c r="BH173" i="20" s="1"/>
  <c r="BE196" i="20"/>
  <c r="BK63" i="20"/>
  <c r="AV107" i="20"/>
  <c r="BL107" i="20" s="1"/>
  <c r="BB64" i="20"/>
  <c r="BD64" i="20" s="1"/>
  <c r="BH64" i="20" s="1"/>
  <c r="R97" i="20"/>
  <c r="T97" i="20" s="1"/>
  <c r="BI97" i="20" s="1"/>
  <c r="R82" i="20"/>
  <c r="T82" i="20" s="1"/>
  <c r="BI82" i="20" s="1"/>
  <c r="AE66" i="20"/>
  <c r="BE66" i="20" s="1"/>
  <c r="BJ206" i="20"/>
  <c r="BF112" i="20"/>
  <c r="BF164" i="20"/>
  <c r="BB151" i="20"/>
  <c r="BD151" i="20" s="1"/>
  <c r="BH151" i="20" s="1"/>
  <c r="BF190" i="20"/>
  <c r="BB196" i="20"/>
  <c r="BD196" i="20" s="1"/>
  <c r="BH196" i="20" s="1"/>
  <c r="BE124" i="20"/>
  <c r="BE68" i="20"/>
  <c r="BE176" i="20"/>
  <c r="BE148" i="20"/>
  <c r="BE170" i="20"/>
  <c r="BE164" i="20"/>
  <c r="BE149" i="20"/>
  <c r="BE194" i="20"/>
  <c r="BE130" i="20"/>
  <c r="BE195" i="20"/>
  <c r="BL67" i="21"/>
  <c r="BF67" i="21" s="1"/>
  <c r="BE200" i="20"/>
  <c r="BE166" i="20"/>
  <c r="AR88" i="20"/>
  <c r="BE89" i="20"/>
  <c r="AS104" i="20"/>
  <c r="R104" i="20"/>
  <c r="T104" i="20" s="1"/>
  <c r="BI104" i="20" s="1"/>
  <c r="AN107" i="20"/>
  <c r="BL55" i="21"/>
  <c r="BF55" i="21" s="1"/>
  <c r="AR23" i="20"/>
  <c r="AR65" i="20"/>
  <c r="AE88" i="20"/>
  <c r="BE88" i="20" s="1"/>
  <c r="BB80" i="20"/>
  <c r="BD80" i="20" s="1"/>
  <c r="BH80" i="20" s="1"/>
  <c r="R72" i="20"/>
  <c r="T72" i="20" s="1"/>
  <c r="BI72" i="20" s="1"/>
  <c r="BK36" i="21"/>
  <c r="BE36" i="21" s="1"/>
  <c r="BK81" i="21"/>
  <c r="BE81" i="21" s="1"/>
  <c r="AI37" i="20"/>
  <c r="BK37" i="20" s="1"/>
  <c r="AI18" i="20"/>
  <c r="BK18" i="20" s="1"/>
  <c r="BE63" i="20"/>
  <c r="BE27" i="20"/>
  <c r="BE55" i="20"/>
  <c r="BE81" i="20"/>
  <c r="AV74" i="20"/>
  <c r="BL74" i="20" s="1"/>
  <c r="BF71" i="20"/>
  <c r="AS88" i="20"/>
  <c r="R88" i="20"/>
  <c r="T88" i="20" s="1"/>
  <c r="BI88" i="20" s="1"/>
  <c r="AG72" i="20"/>
  <c r="AI72" i="20" s="1"/>
  <c r="BF72" i="20" s="1"/>
  <c r="AV72" i="20"/>
  <c r="BL72" i="20" s="1"/>
  <c r="R26" i="20"/>
  <c r="T26" i="20" s="1"/>
  <c r="BI26" i="20" s="1"/>
  <c r="AV31" i="20"/>
  <c r="BL31" i="20" s="1"/>
  <c r="R49" i="20"/>
  <c r="T49" i="20" s="1"/>
  <c r="BI49" i="20" s="1"/>
  <c r="AE30" i="20"/>
  <c r="BK37" i="21"/>
  <c r="BE37" i="21" s="1"/>
  <c r="BK18" i="21"/>
  <c r="BE18" i="21" s="1"/>
  <c r="BK20" i="21"/>
  <c r="BE20" i="21" s="1"/>
  <c r="BL76" i="21"/>
  <c r="BF76" i="21" s="1"/>
  <c r="BK74" i="21"/>
  <c r="BE74" i="21" s="1"/>
  <c r="AN29" i="20"/>
  <c r="AR26" i="20"/>
  <c r="BL82" i="21"/>
  <c r="BF82" i="21" s="1"/>
  <c r="BL106" i="21"/>
  <c r="BF106" i="21" s="1"/>
  <c r="BL47" i="21"/>
  <c r="BF47" i="21" s="1"/>
  <c r="AR30" i="20"/>
  <c r="AN25" i="20"/>
  <c r="BE25" i="20" s="1"/>
  <c r="R33" i="20"/>
  <c r="T33" i="20" s="1"/>
  <c r="BI33" i="20" s="1"/>
  <c r="AE54" i="20"/>
  <c r="AE45" i="20"/>
  <c r="BE45" i="20" s="1"/>
  <c r="AV34" i="20"/>
  <c r="BL34" i="20" s="1"/>
  <c r="R53" i="20"/>
  <c r="T53" i="20" s="1"/>
  <c r="BI53" i="20" s="1"/>
  <c r="R42" i="20"/>
  <c r="T42" i="20" s="1"/>
  <c r="BI42" i="20" s="1"/>
  <c r="BL99" i="21"/>
  <c r="BF99" i="21" s="1"/>
  <c r="BL59" i="21"/>
  <c r="BF59" i="21" s="1"/>
  <c r="AE49" i="20"/>
  <c r="BE49" i="20" s="1"/>
  <c r="AR109" i="20"/>
  <c r="AN31" i="20"/>
  <c r="BE31" i="20" s="1"/>
  <c r="BL81" i="21"/>
  <c r="BF81" i="21" s="1"/>
  <c r="AR17" i="20"/>
  <c r="BF17" i="20" s="1"/>
  <c r="AR21" i="20"/>
  <c r="AN17" i="20"/>
  <c r="AV53" i="20"/>
  <c r="BL53" i="20" s="1"/>
  <c r="R30" i="20"/>
  <c r="T30" i="20" s="1"/>
  <c r="BI30" i="20" s="1"/>
  <c r="BK176" i="20"/>
  <c r="BL36" i="21"/>
  <c r="BF36" i="21" s="1"/>
  <c r="BK44" i="21"/>
  <c r="BE44" i="21" s="1"/>
  <c r="AI21" i="20"/>
  <c r="BK21" i="20" s="1"/>
  <c r="AS31" i="20"/>
  <c r="R31" i="20"/>
  <c r="T31" i="20" s="1"/>
  <c r="BI31" i="20" s="1"/>
  <c r="AV21" i="20"/>
  <c r="BL21" i="20" s="1"/>
  <c r="AR13" i="20"/>
  <c r="BF13" i="20" s="1"/>
  <c r="BJ55" i="20"/>
  <c r="AR33" i="20"/>
  <c r="BJ203" i="20"/>
  <c r="BK165" i="20"/>
  <c r="BJ185" i="20"/>
  <c r="BK208" i="20"/>
  <c r="BK85" i="21"/>
  <c r="BE85" i="21" s="1"/>
  <c r="BL105" i="21"/>
  <c r="BF105" i="21" s="1"/>
  <c r="BE40" i="20"/>
  <c r="BE22" i="20"/>
  <c r="BJ66" i="21"/>
  <c r="BL109" i="21"/>
  <c r="BF109" i="21" s="1"/>
  <c r="AI41" i="20"/>
  <c r="BK41" i="20" s="1"/>
  <c r="AE26" i="20"/>
  <c r="BK55" i="20"/>
  <c r="BI63" i="20"/>
  <c r="R29" i="20"/>
  <c r="T29" i="20" s="1"/>
  <c r="BI29" i="20" s="1"/>
  <c r="AV70" i="20"/>
  <c r="BL70" i="20" s="1"/>
  <c r="R37" i="20"/>
  <c r="T37" i="20" s="1"/>
  <c r="BI37" i="20" s="1"/>
  <c r="AV17" i="20"/>
  <c r="BL17" i="20" s="1"/>
  <c r="R85" i="20"/>
  <c r="T85" i="20" s="1"/>
  <c r="BI85" i="20" s="1"/>
  <c r="AE61" i="20"/>
  <c r="BE61" i="20" s="1"/>
  <c r="BK166" i="20"/>
  <c r="BL89" i="21"/>
  <c r="BF89" i="21" s="1"/>
  <c r="BL93" i="21"/>
  <c r="BF93" i="21" s="1"/>
  <c r="BL45" i="21"/>
  <c r="BF45" i="21" s="1"/>
  <c r="BL62" i="21"/>
  <c r="BF62" i="21" s="1"/>
  <c r="AE34" i="20"/>
  <c r="AE46" i="20"/>
  <c r="BE46" i="20" s="1"/>
  <c r="AR49" i="20"/>
  <c r="AV37" i="20"/>
  <c r="BL37" i="20" s="1"/>
  <c r="AI58" i="20"/>
  <c r="AI30" i="20"/>
  <c r="BK30" i="20" s="1"/>
  <c r="BK84" i="20"/>
  <c r="AV29" i="20"/>
  <c r="BL29" i="20" s="1"/>
  <c r="BK87" i="20"/>
  <c r="BK52" i="20"/>
  <c r="AE50" i="20"/>
  <c r="BK134" i="20"/>
  <c r="BB22" i="21"/>
  <c r="BD22" i="21" s="1"/>
  <c r="BH22" i="21" s="1"/>
  <c r="BL43" i="21"/>
  <c r="BF43" i="21" s="1"/>
  <c r="AR42" i="20"/>
  <c r="AR41" i="20"/>
  <c r="BL56" i="21"/>
  <c r="BF56" i="21" s="1"/>
  <c r="BB58" i="21"/>
  <c r="BD58" i="21" s="1"/>
  <c r="BH58" i="21" s="1"/>
  <c r="BL63" i="21"/>
  <c r="BF63" i="21" s="1"/>
  <c r="BJ74" i="21"/>
  <c r="AN37" i="20"/>
  <c r="BF40" i="20"/>
  <c r="AV18" i="20"/>
  <c r="BL18" i="20" s="1"/>
  <c r="BF22" i="20"/>
  <c r="AI53" i="20"/>
  <c r="BK53" i="20" s="1"/>
  <c r="R50" i="20"/>
  <c r="T50" i="20" s="1"/>
  <c r="BI50" i="20" s="1"/>
  <c r="AN18" i="20"/>
  <c r="BE18" i="20" s="1"/>
  <c r="R41" i="20"/>
  <c r="T41" i="20" s="1"/>
  <c r="BI41" i="20" s="1"/>
  <c r="R61" i="20"/>
  <c r="T61" i="20" s="1"/>
  <c r="BI61" i="20" s="1"/>
  <c r="R66" i="20"/>
  <c r="T66" i="20" s="1"/>
  <c r="BI66" i="20" s="1"/>
  <c r="AR34" i="20"/>
  <c r="BF34" i="20" s="1"/>
  <c r="BK118" i="20"/>
  <c r="BJ208" i="20"/>
  <c r="BK130" i="20"/>
  <c r="BK161" i="20"/>
  <c r="BK25" i="21"/>
  <c r="BE25" i="21" s="1"/>
  <c r="BK39" i="21"/>
  <c r="BE39" i="21" s="1"/>
  <c r="BK68" i="21"/>
  <c r="BE68" i="21" s="1"/>
  <c r="BL15" i="21"/>
  <c r="BF15" i="21" s="1"/>
  <c r="AE57" i="20"/>
  <c r="BE57" i="20" s="1"/>
  <c r="R10" i="20"/>
  <c r="T10" i="20" s="1"/>
  <c r="AV46" i="20"/>
  <c r="BL46" i="20" s="1"/>
  <c r="AI54" i="20"/>
  <c r="BF54" i="20" s="1"/>
  <c r="R57" i="20"/>
  <c r="T57" i="20" s="1"/>
  <c r="BI57" i="20" s="1"/>
  <c r="R54" i="20"/>
  <c r="T54" i="20" s="1"/>
  <c r="BI54" i="20" s="1"/>
  <c r="AV41" i="20"/>
  <c r="BL41" i="20" s="1"/>
  <c r="BJ162" i="20"/>
  <c r="BK201" i="20"/>
  <c r="BB118" i="20"/>
  <c r="BD118" i="20" s="1"/>
  <c r="BH118" i="20" s="1"/>
  <c r="BJ165" i="20"/>
  <c r="BJ120" i="20"/>
  <c r="BK120" i="20"/>
  <c r="BB204" i="20"/>
  <c r="BD204" i="20" s="1"/>
  <c r="BH204" i="20" s="1"/>
  <c r="BL86" i="21"/>
  <c r="BF86" i="21" s="1"/>
  <c r="BB74" i="21"/>
  <c r="BD74" i="21" s="1"/>
  <c r="BH74" i="21" s="1"/>
  <c r="BL65" i="21"/>
  <c r="BF65" i="21" s="1"/>
  <c r="BL41" i="21"/>
  <c r="BF41" i="21" s="1"/>
  <c r="BK43" i="21"/>
  <c r="BE43" i="21" s="1"/>
  <c r="BJ45" i="21"/>
  <c r="BL20" i="21"/>
  <c r="BF20" i="21" s="1"/>
  <c r="BL24" i="21"/>
  <c r="BF24" i="21" s="1"/>
  <c r="BJ83" i="20"/>
  <c r="AG61" i="20"/>
  <c r="AI61" i="20" s="1"/>
  <c r="R25" i="20"/>
  <c r="T25" i="20" s="1"/>
  <c r="BI25" i="20" s="1"/>
  <c r="AI38" i="20"/>
  <c r="BF38" i="20" s="1"/>
  <c r="AV38" i="20"/>
  <c r="BL38" i="20" s="1"/>
  <c r="AI45" i="20"/>
  <c r="BK45" i="20" s="1"/>
  <c r="AE58" i="20"/>
  <c r="BE58" i="20" s="1"/>
  <c r="BF178" i="20"/>
  <c r="BK178" i="20"/>
  <c r="R13" i="20"/>
  <c r="T13" i="20" s="1"/>
  <c r="BI13" i="20" s="1"/>
  <c r="BB83" i="20"/>
  <c r="BD83" i="20" s="1"/>
  <c r="BH83" i="20" s="1"/>
  <c r="AV45" i="20"/>
  <c r="BL45" i="20" s="1"/>
  <c r="R34" i="20"/>
  <c r="T34" i="20" s="1"/>
  <c r="BI34" i="20" s="1"/>
  <c r="AR45" i="20"/>
  <c r="AN34" i="20"/>
  <c r="BJ146" i="20"/>
  <c r="BJ150" i="20"/>
  <c r="BK136" i="20"/>
  <c r="BJ166" i="20"/>
  <c r="BJ62" i="21"/>
  <c r="BL96" i="21"/>
  <c r="BF96" i="21" s="1"/>
  <c r="BL104" i="21"/>
  <c r="BF104" i="21" s="1"/>
  <c r="BJ42" i="21"/>
  <c r="BJ47" i="21"/>
  <c r="BL17" i="21"/>
  <c r="BF17" i="21" s="1"/>
  <c r="BK56" i="21"/>
  <c r="BE56" i="21" s="1"/>
  <c r="BK80" i="21"/>
  <c r="BE80" i="21" s="1"/>
  <c r="BL32" i="21"/>
  <c r="BF32" i="21" s="1"/>
  <c r="BK58" i="21"/>
  <c r="BE58" i="21" s="1"/>
  <c r="BB53" i="21"/>
  <c r="BD53" i="21" s="1"/>
  <c r="BH53" i="21" s="1"/>
  <c r="AV42" i="20"/>
  <c r="BL42" i="20" s="1"/>
  <c r="AS45" i="20"/>
  <c r="R45" i="20"/>
  <c r="T45" i="20" s="1"/>
  <c r="BI45" i="20" s="1"/>
  <c r="AR46" i="20"/>
  <c r="BJ106" i="21"/>
  <c r="AN53" i="20"/>
  <c r="AS58" i="20"/>
  <c r="R58" i="20"/>
  <c r="T58" i="20" s="1"/>
  <c r="BI58" i="20" s="1"/>
  <c r="AN21" i="20"/>
  <c r="BE21" i="20" s="1"/>
  <c r="AI29" i="20"/>
  <c r="BF29" i="20" s="1"/>
  <c r="AV81" i="20"/>
  <c r="BL81" i="20" s="1"/>
  <c r="BK75" i="20"/>
  <c r="AV57" i="20"/>
  <c r="BL57" i="20" s="1"/>
  <c r="AR58" i="20"/>
  <c r="BK204" i="20"/>
  <c r="BK188" i="20"/>
  <c r="BJ161" i="20"/>
  <c r="BK150" i="20"/>
  <c r="BJ188" i="20"/>
  <c r="BK146" i="20"/>
  <c r="BK203" i="20"/>
  <c r="BJ134" i="20"/>
  <c r="AR57" i="20"/>
  <c r="BL73" i="21"/>
  <c r="BF73" i="21" s="1"/>
  <c r="BL49" i="21"/>
  <c r="BF49" i="21" s="1"/>
  <c r="BL103" i="21"/>
  <c r="BF103" i="21" s="1"/>
  <c r="BL54" i="21"/>
  <c r="BF54" i="21" s="1"/>
  <c r="BL39" i="21"/>
  <c r="BF39" i="21" s="1"/>
  <c r="BL34" i="21"/>
  <c r="BF34" i="21" s="1"/>
  <c r="BL21" i="21"/>
  <c r="BF21" i="21" s="1"/>
  <c r="AV58" i="20"/>
  <c r="BL58" i="20" s="1"/>
  <c r="BJ44" i="21"/>
  <c r="AI57" i="20"/>
  <c r="BK57" i="20" s="1"/>
  <c r="R21" i="20"/>
  <c r="T21" i="20" s="1"/>
  <c r="AV10" i="20"/>
  <c r="BL10" i="20" s="1"/>
  <c r="AG106" i="20"/>
  <c r="AI106" i="20" s="1"/>
  <c r="BF106" i="20" s="1"/>
  <c r="AN38" i="20"/>
  <c r="BJ71" i="20"/>
  <c r="BJ14" i="21"/>
  <c r="BJ43" i="21"/>
  <c r="BL78" i="21"/>
  <c r="BF78" i="21" s="1"/>
  <c r="BL108" i="21"/>
  <c r="BF108" i="21" s="1"/>
  <c r="BL75" i="21"/>
  <c r="BF75" i="21" s="1"/>
  <c r="BL38" i="21"/>
  <c r="BF38" i="21" s="1"/>
  <c r="BL71" i="21"/>
  <c r="BF71" i="21" s="1"/>
  <c r="BB109" i="21"/>
  <c r="BD109" i="21" s="1"/>
  <c r="BH109" i="21" s="1"/>
  <c r="BK57" i="21"/>
  <c r="BE57" i="21" s="1"/>
  <c r="BK26" i="21"/>
  <c r="BE26" i="21" s="1"/>
  <c r="BK52" i="21"/>
  <c r="BE52" i="21" s="1"/>
  <c r="BK60" i="21"/>
  <c r="BE60" i="21" s="1"/>
  <c r="BK100" i="21"/>
  <c r="BE100" i="21" s="1"/>
  <c r="BJ10" i="21"/>
  <c r="BL88" i="21"/>
  <c r="BF88" i="21" s="1"/>
  <c r="BK29" i="21"/>
  <c r="BE29" i="21" s="1"/>
  <c r="BL13" i="21"/>
  <c r="BF13" i="21" s="1"/>
  <c r="BL33" i="21"/>
  <c r="BF33" i="21" s="1"/>
  <c r="BL27" i="21"/>
  <c r="BF27" i="21" s="1"/>
  <c r="BK79" i="21"/>
  <c r="BE79" i="21" s="1"/>
  <c r="BK95" i="21"/>
  <c r="BE95" i="21" s="1"/>
  <c r="BK98" i="21"/>
  <c r="BE98" i="21" s="1"/>
  <c r="BK106" i="21"/>
  <c r="BE106" i="21" s="1"/>
  <c r="BK65" i="21"/>
  <c r="BE65" i="21" s="1"/>
  <c r="BJ67" i="21"/>
  <c r="BJ84" i="21"/>
  <c r="BJ53" i="21"/>
  <c r="BL92" i="21"/>
  <c r="BF92" i="21" s="1"/>
  <c r="BB76" i="21"/>
  <c r="BD76" i="21" s="1"/>
  <c r="BH76" i="21" s="1"/>
  <c r="BL51" i="21"/>
  <c r="BF51" i="21" s="1"/>
  <c r="BL100" i="21"/>
  <c r="BF100" i="21" s="1"/>
  <c r="BB101" i="21"/>
  <c r="BD101" i="21" s="1"/>
  <c r="BH101" i="21" s="1"/>
  <c r="BK53" i="21"/>
  <c r="BE53" i="21" s="1"/>
  <c r="BJ102" i="21"/>
  <c r="BB67" i="21"/>
  <c r="BD67" i="21" s="1"/>
  <c r="BH67" i="21" s="1"/>
  <c r="BJ142" i="20"/>
  <c r="BB45" i="21"/>
  <c r="BD45" i="21" s="1"/>
  <c r="BH45" i="21" s="1"/>
  <c r="BB55" i="21"/>
  <c r="BD55" i="21" s="1"/>
  <c r="BH55" i="21" s="1"/>
  <c r="BL40" i="21"/>
  <c r="BF40" i="21" s="1"/>
  <c r="BL48" i="21"/>
  <c r="BF48" i="21" s="1"/>
  <c r="BL79" i="21"/>
  <c r="BF79" i="21" s="1"/>
  <c r="BL50" i="21"/>
  <c r="BF50" i="21" s="1"/>
  <c r="BL69" i="21"/>
  <c r="BF69" i="21" s="1"/>
  <c r="BL77" i="21"/>
  <c r="BF77" i="21" s="1"/>
  <c r="BJ21" i="21"/>
  <c r="BB66" i="21"/>
  <c r="BD66" i="21" s="1"/>
  <c r="BH66" i="21" s="1"/>
  <c r="BJ76" i="21"/>
  <c r="BL80" i="21"/>
  <c r="BF80" i="21" s="1"/>
  <c r="BL52" i="21"/>
  <c r="BF52" i="21" s="1"/>
  <c r="BJ63" i="21"/>
  <c r="BJ109" i="21"/>
  <c r="BL23" i="21"/>
  <c r="BF23" i="21" s="1"/>
  <c r="BL18" i="21"/>
  <c r="BF18" i="21" s="1"/>
  <c r="BK45" i="21"/>
  <c r="BE45" i="21" s="1"/>
  <c r="BL60" i="21"/>
  <c r="BF60" i="21" s="1"/>
  <c r="BL95" i="21"/>
  <c r="BF95" i="21" s="1"/>
  <c r="BK88" i="21"/>
  <c r="BE88" i="21" s="1"/>
  <c r="BK104" i="21"/>
  <c r="BE104" i="21" s="1"/>
  <c r="BK84" i="21"/>
  <c r="BE84" i="21" s="1"/>
  <c r="BK28" i="21"/>
  <c r="BE28" i="21" s="1"/>
  <c r="BK107" i="21"/>
  <c r="BE107" i="21" s="1"/>
  <c r="BK35" i="21"/>
  <c r="BE35" i="21" s="1"/>
  <c r="BK94" i="21"/>
  <c r="BE94" i="21" s="1"/>
  <c r="BK49" i="21"/>
  <c r="BE49" i="21" s="1"/>
  <c r="BK66" i="21"/>
  <c r="BE66" i="21" s="1"/>
  <c r="BJ55" i="21"/>
  <c r="BJ130" i="20"/>
  <c r="BJ136" i="20"/>
  <c r="BB47" i="21"/>
  <c r="BD47" i="21" s="1"/>
  <c r="BH47" i="21" s="1"/>
  <c r="BJ16" i="21"/>
  <c r="BB83" i="21"/>
  <c r="BD83" i="21" s="1"/>
  <c r="BH83" i="21" s="1"/>
  <c r="BB70" i="21"/>
  <c r="BD70" i="21" s="1"/>
  <c r="BH70" i="21" s="1"/>
  <c r="BJ70" i="21"/>
  <c r="BB63" i="21"/>
  <c r="BD63" i="21" s="1"/>
  <c r="BH63" i="21" s="1"/>
  <c r="BJ32" i="21"/>
  <c r="BJ17" i="21"/>
  <c r="BJ9" i="21"/>
  <c r="BJ83" i="21"/>
  <c r="BL87" i="21"/>
  <c r="BF87" i="21" s="1"/>
  <c r="BJ90" i="21"/>
  <c r="BB30" i="21"/>
  <c r="BD30" i="21" s="1"/>
  <c r="BH30" i="21" s="1"/>
  <c r="BB90" i="21"/>
  <c r="BD90" i="21" s="1"/>
  <c r="BH90" i="21" s="1"/>
  <c r="BB62" i="21"/>
  <c r="BD62" i="21" s="1"/>
  <c r="BH62" i="21" s="1"/>
  <c r="BK67" i="21"/>
  <c r="BE67" i="21" s="1"/>
  <c r="BB14" i="21"/>
  <c r="BD14" i="21" s="1"/>
  <c r="BH14" i="21" s="1"/>
  <c r="BB57" i="21"/>
  <c r="BD57" i="21" s="1"/>
  <c r="BH57" i="21" s="1"/>
  <c r="BI109" i="21"/>
  <c r="BJ57" i="21"/>
  <c r="BB44" i="21"/>
  <c r="BD44" i="21" s="1"/>
  <c r="BH44" i="21" s="1"/>
  <c r="BB106" i="21"/>
  <c r="BD106" i="21" s="1"/>
  <c r="BH106" i="21" s="1"/>
  <c r="BJ18" i="21"/>
  <c r="BI101" i="21"/>
  <c r="BJ58" i="21"/>
  <c r="BB15" i="21"/>
  <c r="BD15" i="21" s="1"/>
  <c r="BH15" i="21" s="1"/>
  <c r="BJ101" i="21"/>
  <c r="BJ34" i="21"/>
  <c r="BB9" i="21"/>
  <c r="BD9" i="21" s="1"/>
  <c r="BH9" i="21" s="1"/>
  <c r="BJ56" i="21"/>
  <c r="BJ11" i="21"/>
  <c r="BJ82" i="21"/>
  <c r="BJ81" i="21"/>
  <c r="BJ93" i="21"/>
  <c r="BJ15" i="21"/>
  <c r="BJ99" i="21"/>
  <c r="BJ72" i="21"/>
  <c r="BJ24" i="21"/>
  <c r="BK102" i="21"/>
  <c r="BE102" i="21" s="1"/>
  <c r="BL14" i="21"/>
  <c r="BF14" i="21" s="1"/>
  <c r="BL46" i="21"/>
  <c r="BF46" i="21" s="1"/>
  <c r="AV49" i="20"/>
  <c r="BL49" i="20" s="1"/>
  <c r="AN54" i="20"/>
  <c r="AR70" i="20"/>
  <c r="AN50" i="20"/>
  <c r="AR69" i="20"/>
  <c r="BJ118" i="20"/>
  <c r="BF137" i="20"/>
  <c r="BJ137" i="20"/>
  <c r="BF160" i="20"/>
  <c r="BJ160" i="20"/>
  <c r="BF135" i="20"/>
  <c r="BJ135" i="20"/>
  <c r="BF115" i="20"/>
  <c r="BJ115" i="20"/>
  <c r="BF199" i="20"/>
  <c r="BJ199" i="20"/>
  <c r="BF123" i="20"/>
  <c r="BJ123" i="20"/>
  <c r="BF149" i="20"/>
  <c r="BJ149" i="20"/>
  <c r="BF177" i="20"/>
  <c r="BJ177" i="20"/>
  <c r="BF186" i="20"/>
  <c r="BJ186" i="20"/>
  <c r="AE38" i="20"/>
  <c r="AR25" i="20"/>
  <c r="AR31" i="20"/>
  <c r="AI109" i="20"/>
  <c r="BF109" i="20" s="1"/>
  <c r="AI70" i="20"/>
  <c r="BF70" i="20" s="1"/>
  <c r="AR81" i="20"/>
  <c r="AI74" i="20"/>
  <c r="AE90" i="20"/>
  <c r="BE90" i="20" s="1"/>
  <c r="AI102" i="20"/>
  <c r="BF102" i="20" s="1"/>
  <c r="BK56" i="20"/>
  <c r="BF183" i="20"/>
  <c r="BJ183" i="20"/>
  <c r="AI94" i="20"/>
  <c r="BF94" i="20" s="1"/>
  <c r="AI92" i="20"/>
  <c r="BF92" i="20" s="1"/>
  <c r="AI27" i="20"/>
  <c r="BB27" i="20" s="1"/>
  <c r="BD27" i="20" s="1"/>
  <c r="BH27" i="20" s="1"/>
  <c r="AI81" i="20"/>
  <c r="BK95" i="20"/>
  <c r="BJ67" i="20"/>
  <c r="AE29" i="20"/>
  <c r="AR18" i="20"/>
  <c r="AN109" i="20"/>
  <c r="BE109" i="20" s="1"/>
  <c r="AR74" i="20"/>
  <c r="AE85" i="20"/>
  <c r="BE85" i="20" s="1"/>
  <c r="AI132" i="20"/>
  <c r="BF132" i="20" s="1"/>
  <c r="AI148" i="20"/>
  <c r="BF148" i="20" s="1"/>
  <c r="AI108" i="20"/>
  <c r="BF108" i="20" s="1"/>
  <c r="AI99" i="20"/>
  <c r="BF99" i="20" s="1"/>
  <c r="AI100" i="20"/>
  <c r="BF100" i="20" s="1"/>
  <c r="AI46" i="20"/>
  <c r="AI79" i="20"/>
  <c r="BF79" i="20" s="1"/>
  <c r="BB183" i="20"/>
  <c r="BD183" i="20" s="1"/>
  <c r="BH183" i="20" s="1"/>
  <c r="BJ204" i="20"/>
  <c r="AI76" i="20"/>
  <c r="BF76" i="20" s="1"/>
  <c r="AI60" i="20"/>
  <c r="BF60" i="20" s="1"/>
  <c r="AI82" i="20"/>
  <c r="BF82" i="20" s="1"/>
  <c r="AI91" i="20"/>
  <c r="BF91" i="20" s="1"/>
  <c r="BK12" i="21"/>
  <c r="BE12" i="21" s="1"/>
  <c r="BK32" i="21"/>
  <c r="BE32" i="21" s="1"/>
  <c r="BK17" i="21"/>
  <c r="BE17" i="21" s="1"/>
  <c r="BK99" i="21"/>
  <c r="BE99" i="21" s="1"/>
  <c r="BK34" i="21"/>
  <c r="BE34" i="21" s="1"/>
  <c r="BK72" i="21"/>
  <c r="BE72" i="21" s="1"/>
  <c r="BK10" i="21"/>
  <c r="BE10" i="21" s="1"/>
  <c r="BL26" i="21"/>
  <c r="BF26" i="21" s="1"/>
  <c r="BL12" i="21"/>
  <c r="BF12" i="21" s="1"/>
  <c r="BL64" i="21"/>
  <c r="BF64" i="21" s="1"/>
  <c r="BL107" i="21"/>
  <c r="BF107" i="21" s="1"/>
  <c r="BK16" i="21"/>
  <c r="BE16" i="21" s="1"/>
  <c r="BK19" i="21"/>
  <c r="BE19" i="21" s="1"/>
  <c r="BK13" i="21"/>
  <c r="BE13" i="21" s="1"/>
  <c r="BK33" i="21"/>
  <c r="BE33" i="21" s="1"/>
  <c r="BK103" i="21"/>
  <c r="BE103" i="21" s="1"/>
  <c r="BK71" i="21"/>
  <c r="BE71" i="21" s="1"/>
  <c r="BK50" i="21"/>
  <c r="BE50" i="21" s="1"/>
  <c r="BK31" i="21"/>
  <c r="BE31" i="21" s="1"/>
  <c r="BK51" i="21"/>
  <c r="BE51" i="21" s="1"/>
  <c r="BK27" i="21"/>
  <c r="BE27" i="21" s="1"/>
  <c r="BL29" i="21"/>
  <c r="BF29" i="21" s="1"/>
  <c r="BL16" i="21"/>
  <c r="BF16" i="21" s="1"/>
  <c r="BL28" i="21"/>
  <c r="BF28" i="21" s="1"/>
  <c r="BL91" i="21"/>
  <c r="BF91" i="21" s="1"/>
  <c r="BL61" i="21"/>
  <c r="BF61" i="21" s="1"/>
  <c r="BJ22" i="21"/>
  <c r="BL22" i="21"/>
  <c r="BF22" i="21" s="1"/>
  <c r="BB102" i="21"/>
  <c r="BD102" i="21" s="1"/>
  <c r="BH102" i="21" s="1"/>
  <c r="BB94" i="21"/>
  <c r="BD94" i="21" s="1"/>
  <c r="BH94" i="21" s="1"/>
  <c r="BJ20" i="21"/>
  <c r="BJ35" i="21"/>
  <c r="BB84" i="21"/>
  <c r="BD84" i="21" s="1"/>
  <c r="BH84" i="21" s="1"/>
  <c r="BB93" i="21"/>
  <c r="BD93" i="21" s="1"/>
  <c r="BH93" i="21" s="1"/>
  <c r="BJ28" i="21"/>
  <c r="BJ27" i="21"/>
  <c r="BB97" i="21"/>
  <c r="BD97" i="21" s="1"/>
  <c r="BH97" i="21" s="1"/>
  <c r="BB81" i="21"/>
  <c r="BD81" i="21" s="1"/>
  <c r="BH81" i="21" s="1"/>
  <c r="BB24" i="21"/>
  <c r="BD24" i="21" s="1"/>
  <c r="BH24" i="21" s="1"/>
  <c r="BB89" i="21"/>
  <c r="BD89" i="21" s="1"/>
  <c r="BH89" i="21" s="1"/>
  <c r="BB98" i="21"/>
  <c r="BD98" i="21" s="1"/>
  <c r="BH98" i="21" s="1"/>
  <c r="BB68" i="21"/>
  <c r="BD68" i="21" s="1"/>
  <c r="BH68" i="21" s="1"/>
  <c r="BB105" i="21"/>
  <c r="BD105" i="21" s="1"/>
  <c r="BH105" i="21" s="1"/>
  <c r="BB11" i="21"/>
  <c r="BD11" i="21" s="1"/>
  <c r="BH11" i="21" s="1"/>
  <c r="BJ59" i="21"/>
  <c r="BJ85" i="21"/>
  <c r="BJ68" i="21"/>
  <c r="BJ98" i="21"/>
  <c r="BB21" i="21"/>
  <c r="BD21" i="21" s="1"/>
  <c r="BH21" i="21" s="1"/>
  <c r="BJ25" i="21"/>
  <c r="BJ12" i="21"/>
  <c r="BJ89" i="21"/>
  <c r="BJ94" i="21"/>
  <c r="BJ71" i="21"/>
  <c r="BJ37" i="21"/>
  <c r="BJ30" i="21"/>
  <c r="AN23" i="21"/>
  <c r="BJ23" i="21" s="1"/>
  <c r="BJ26" i="21"/>
  <c r="BJ107" i="21"/>
  <c r="BJ105" i="21"/>
  <c r="BB46" i="21"/>
  <c r="BD46" i="21" s="1"/>
  <c r="BH46" i="21" s="1"/>
  <c r="BB49" i="21"/>
  <c r="BD49" i="21" s="1"/>
  <c r="BH49" i="21" s="1"/>
  <c r="BJ31" i="21"/>
  <c r="BJ13" i="21"/>
  <c r="BJ91" i="21"/>
  <c r="BB52" i="21"/>
  <c r="BD52" i="21" s="1"/>
  <c r="BH52" i="21" s="1"/>
  <c r="BJ29" i="21"/>
  <c r="BJ97" i="21"/>
  <c r="BB82" i="21"/>
  <c r="BD82" i="21" s="1"/>
  <c r="BH82" i="21" s="1"/>
  <c r="BB72" i="21"/>
  <c r="BD72" i="21" s="1"/>
  <c r="BH72" i="21" s="1"/>
  <c r="BJ41" i="21"/>
  <c r="BB41" i="21"/>
  <c r="BD41" i="21" s="1"/>
  <c r="BH41" i="21" s="1"/>
  <c r="BI43" i="21"/>
  <c r="BB43" i="21"/>
  <c r="BD43" i="21" s="1"/>
  <c r="BH43" i="21" s="1"/>
  <c r="BJ33" i="21"/>
  <c r="BJ19" i="21"/>
  <c r="BB50" i="21"/>
  <c r="BD50" i="21" s="1"/>
  <c r="BH50" i="21" s="1"/>
  <c r="BJ87" i="21"/>
  <c r="BB54" i="21"/>
  <c r="BD54" i="21" s="1"/>
  <c r="BH54" i="21" s="1"/>
  <c r="BB59" i="21"/>
  <c r="BD59" i="21" s="1"/>
  <c r="BB56" i="21"/>
  <c r="BD56" i="21" s="1"/>
  <c r="BH56" i="21" s="1"/>
  <c r="BJ40" i="21"/>
  <c r="BB40" i="21"/>
  <c r="BD40" i="21" s="1"/>
  <c r="BH40" i="21" s="1"/>
  <c r="BB48" i="21"/>
  <c r="BD48" i="21" s="1"/>
  <c r="BH48" i="21" s="1"/>
  <c r="BJ92" i="21"/>
  <c r="BJ108" i="21"/>
  <c r="BJ73" i="21"/>
  <c r="BJ77" i="21"/>
  <c r="BI75" i="21"/>
  <c r="BB75" i="21"/>
  <c r="BD75" i="21" s="1"/>
  <c r="BH75" i="21" s="1"/>
  <c r="BJ60" i="21"/>
  <c r="BI60" i="21"/>
  <c r="BB60" i="21"/>
  <c r="BD60" i="21" s="1"/>
  <c r="BH60" i="21" s="1"/>
  <c r="BI33" i="21"/>
  <c r="BB33" i="21"/>
  <c r="BD33" i="21" s="1"/>
  <c r="BH33" i="21" s="1"/>
  <c r="BJ104" i="21"/>
  <c r="BJ79" i="21"/>
  <c r="BJ80" i="21"/>
  <c r="BJ36" i="21"/>
  <c r="BI39" i="21"/>
  <c r="BB39" i="21"/>
  <c r="BD39" i="21" s="1"/>
  <c r="BH39" i="21" s="1"/>
  <c r="BI37" i="21"/>
  <c r="BB37" i="21"/>
  <c r="BD37" i="21" s="1"/>
  <c r="BH37" i="21" s="1"/>
  <c r="BJ95" i="21"/>
  <c r="BI78" i="21"/>
  <c r="BB78" i="21"/>
  <c r="BD78" i="21" s="1"/>
  <c r="BH78" i="21" s="1"/>
  <c r="BI26" i="21"/>
  <c r="BB26" i="21"/>
  <c r="BD26" i="21" s="1"/>
  <c r="BH26" i="21" s="1"/>
  <c r="BI28" i="21"/>
  <c r="BB28" i="21"/>
  <c r="BD28" i="21" s="1"/>
  <c r="BH28" i="21" s="1"/>
  <c r="BJ64" i="21"/>
  <c r="BI64" i="21"/>
  <c r="BB64" i="21"/>
  <c r="BD64" i="21" s="1"/>
  <c r="BH64" i="21" s="1"/>
  <c r="BI73" i="21"/>
  <c r="BB73" i="21"/>
  <c r="BD73" i="21" s="1"/>
  <c r="BH73" i="21" s="1"/>
  <c r="BI88" i="21"/>
  <c r="BB88" i="21"/>
  <c r="BD88" i="21" s="1"/>
  <c r="BH88" i="21" s="1"/>
  <c r="BI87" i="21"/>
  <c r="BB87" i="21"/>
  <c r="BD87" i="21" s="1"/>
  <c r="BH87" i="21" s="1"/>
  <c r="BB42" i="21"/>
  <c r="BD42" i="21" s="1"/>
  <c r="BH42" i="21" s="1"/>
  <c r="BI25" i="21"/>
  <c r="BB25" i="21"/>
  <c r="BD25" i="21" s="1"/>
  <c r="BH25" i="21" s="1"/>
  <c r="BJ75" i="21"/>
  <c r="BJ48" i="21"/>
  <c r="BJ96" i="21"/>
  <c r="BI79" i="21"/>
  <c r="BB79" i="21"/>
  <c r="BD79" i="21" s="1"/>
  <c r="BH79" i="21" s="1"/>
  <c r="BI77" i="21"/>
  <c r="BB77" i="21"/>
  <c r="BD77" i="21" s="1"/>
  <c r="BH77" i="21" s="1"/>
  <c r="BI19" i="21"/>
  <c r="BB19" i="21"/>
  <c r="BD19" i="21" s="1"/>
  <c r="BI95" i="21"/>
  <c r="BB95" i="21"/>
  <c r="BD95" i="21" s="1"/>
  <c r="BH95" i="21" s="1"/>
  <c r="BJ78" i="21"/>
  <c r="BJ38" i="21"/>
  <c r="BI34" i="21"/>
  <c r="BB34" i="21"/>
  <c r="BD34" i="21" s="1"/>
  <c r="BH34" i="21" s="1"/>
  <c r="BI10" i="21"/>
  <c r="BB10" i="21"/>
  <c r="BD10" i="21" s="1"/>
  <c r="BH10" i="21" s="1"/>
  <c r="BI108" i="21"/>
  <c r="BB108" i="21"/>
  <c r="BD108" i="21" s="1"/>
  <c r="BH108" i="21" s="1"/>
  <c r="BB36" i="21"/>
  <c r="BD36" i="21" s="1"/>
  <c r="BH36" i="21" s="1"/>
  <c r="BI17" i="21"/>
  <c r="BB17" i="21"/>
  <c r="BD17" i="21" s="1"/>
  <c r="BH17" i="21" s="1"/>
  <c r="BI18" i="21"/>
  <c r="BB18" i="21"/>
  <c r="BD18" i="21" s="1"/>
  <c r="BH18" i="21" s="1"/>
  <c r="BI20" i="21"/>
  <c r="BB20" i="21"/>
  <c r="BD20" i="21" s="1"/>
  <c r="BH20" i="21" s="1"/>
  <c r="BJ39" i="21"/>
  <c r="BI86" i="21"/>
  <c r="BB86" i="21"/>
  <c r="BD86" i="21" s="1"/>
  <c r="BH86" i="21" s="1"/>
  <c r="BJ69" i="21"/>
  <c r="BI69" i="21"/>
  <c r="BB69" i="21"/>
  <c r="BD69" i="21" s="1"/>
  <c r="BH69" i="21" s="1"/>
  <c r="BI16" i="21"/>
  <c r="BB16" i="21"/>
  <c r="BD16" i="21" s="1"/>
  <c r="BH16" i="21" s="1"/>
  <c r="BI96" i="21"/>
  <c r="BB96" i="21"/>
  <c r="BD96" i="21" s="1"/>
  <c r="BH96" i="21" s="1"/>
  <c r="BJ49" i="21"/>
  <c r="BI13" i="21"/>
  <c r="BB13" i="21"/>
  <c r="BD13" i="21" s="1"/>
  <c r="BH13" i="21" s="1"/>
  <c r="BI103" i="21"/>
  <c r="BB103" i="21"/>
  <c r="BD103" i="21" s="1"/>
  <c r="BH103" i="21" s="1"/>
  <c r="BI29" i="21"/>
  <c r="BB29" i="21"/>
  <c r="BD29" i="21" s="1"/>
  <c r="BH29" i="21" s="1"/>
  <c r="BB35" i="21"/>
  <c r="BD35" i="21" s="1"/>
  <c r="BH35" i="21" s="1"/>
  <c r="BI85" i="21"/>
  <c r="BB85" i="21"/>
  <c r="BD85" i="21" s="1"/>
  <c r="BH85" i="21" s="1"/>
  <c r="BI100" i="21"/>
  <c r="BB100" i="21"/>
  <c r="BD100" i="21" s="1"/>
  <c r="BH100" i="21" s="1"/>
  <c r="BI27" i="21"/>
  <c r="BB27" i="21"/>
  <c r="BD27" i="21" s="1"/>
  <c r="BH27" i="21" s="1"/>
  <c r="BJ61" i="21"/>
  <c r="BI61" i="21"/>
  <c r="BB61" i="21"/>
  <c r="BD61" i="21" s="1"/>
  <c r="BH61" i="21" s="1"/>
  <c r="BI91" i="21"/>
  <c r="BB91" i="21"/>
  <c r="BD91" i="21" s="1"/>
  <c r="BH91" i="21" s="1"/>
  <c r="BI107" i="21"/>
  <c r="BB107" i="21"/>
  <c r="BD107" i="21" s="1"/>
  <c r="BH107" i="21" s="1"/>
  <c r="BJ86" i="21"/>
  <c r="BI31" i="21"/>
  <c r="BB31" i="21"/>
  <c r="BD31" i="21" s="1"/>
  <c r="BH31" i="21" s="1"/>
  <c r="BI12" i="21"/>
  <c r="BB12" i="21"/>
  <c r="BD12" i="21" s="1"/>
  <c r="BH12" i="21" s="1"/>
  <c r="BI104" i="21"/>
  <c r="BB104" i="21"/>
  <c r="BD104" i="21" s="1"/>
  <c r="BH104" i="21" s="1"/>
  <c r="BI80" i="21"/>
  <c r="BB80" i="21"/>
  <c r="BD80" i="21" s="1"/>
  <c r="BH80" i="21" s="1"/>
  <c r="BJ54" i="21"/>
  <c r="BJ65" i="21"/>
  <c r="BI65" i="21"/>
  <c r="BB65" i="21"/>
  <c r="BD65" i="21" s="1"/>
  <c r="BH65" i="21" s="1"/>
  <c r="BJ52" i="21"/>
  <c r="BI23" i="21"/>
  <c r="BJ103" i="21"/>
  <c r="BB38" i="21"/>
  <c r="BD38" i="21" s="1"/>
  <c r="BH38" i="21" s="1"/>
  <c r="BJ50" i="21"/>
  <c r="BI32" i="21"/>
  <c r="BB32" i="21"/>
  <c r="BD32" i="21" s="1"/>
  <c r="BH32" i="21" s="1"/>
  <c r="BJ51" i="21"/>
  <c r="BI92" i="21"/>
  <c r="BB92" i="21"/>
  <c r="BD92" i="21" s="1"/>
  <c r="BH92" i="21" s="1"/>
  <c r="BJ100" i="21"/>
  <c r="BJ88" i="21"/>
  <c r="BJ46" i="21"/>
  <c r="BI99" i="21"/>
  <c r="BB99" i="21"/>
  <c r="BD99" i="21" s="1"/>
  <c r="BH99" i="21" s="1"/>
  <c r="BI71" i="21"/>
  <c r="BB71" i="21"/>
  <c r="BD71" i="21" s="1"/>
  <c r="BH71" i="21" s="1"/>
  <c r="BB51" i="21"/>
  <c r="BD51" i="21" s="1"/>
  <c r="BH51" i="21" s="1"/>
  <c r="BK202" i="20"/>
  <c r="BJ202" i="20"/>
  <c r="BI150" i="20"/>
  <c r="BB150" i="20"/>
  <c r="BD150" i="20" s="1"/>
  <c r="BH150" i="20" s="1"/>
  <c r="BK207" i="20"/>
  <c r="BK129" i="20"/>
  <c r="BJ129" i="20"/>
  <c r="BK113" i="20"/>
  <c r="BK169" i="20"/>
  <c r="BK112" i="20"/>
  <c r="BJ112" i="20"/>
  <c r="BJ163" i="20"/>
  <c r="BI163" i="20"/>
  <c r="BB163" i="20"/>
  <c r="BD163" i="20" s="1"/>
  <c r="BH163" i="20" s="1"/>
  <c r="BK194" i="20"/>
  <c r="BI202" i="20"/>
  <c r="BB202" i="20"/>
  <c r="BD202" i="20" s="1"/>
  <c r="BH202" i="20" s="1"/>
  <c r="BJ141" i="20"/>
  <c r="BI141" i="20"/>
  <c r="BB141" i="20"/>
  <c r="BD141" i="20" s="1"/>
  <c r="BH141" i="20" s="1"/>
  <c r="BK157" i="20"/>
  <c r="BK198" i="20"/>
  <c r="BJ187" i="20"/>
  <c r="BI176" i="20"/>
  <c r="BB176" i="20"/>
  <c r="BD176" i="20" s="1"/>
  <c r="BH176" i="20" s="1"/>
  <c r="BJ184" i="20"/>
  <c r="BI184" i="20"/>
  <c r="BB184" i="20"/>
  <c r="BD184" i="20" s="1"/>
  <c r="BH184" i="20" s="1"/>
  <c r="BK110" i="20"/>
  <c r="BJ125" i="20"/>
  <c r="BK125" i="20"/>
  <c r="BI125" i="20"/>
  <c r="BB125" i="20"/>
  <c r="BD125" i="20" s="1"/>
  <c r="BH125" i="20" s="1"/>
  <c r="BK133" i="20"/>
  <c r="BI133" i="20"/>
  <c r="BB133" i="20"/>
  <c r="BD133" i="20" s="1"/>
  <c r="BH133" i="20" s="1"/>
  <c r="BK119" i="20"/>
  <c r="BK209" i="20"/>
  <c r="BI177" i="20"/>
  <c r="BB177" i="20"/>
  <c r="BD177" i="20" s="1"/>
  <c r="BH177" i="20" s="1"/>
  <c r="BI186" i="20"/>
  <c r="BB186" i="20"/>
  <c r="BD186" i="20" s="1"/>
  <c r="BH186" i="20" s="1"/>
  <c r="BI132" i="20"/>
  <c r="BI198" i="20"/>
  <c r="BB198" i="20"/>
  <c r="BD198" i="20" s="1"/>
  <c r="BH198" i="20" s="1"/>
  <c r="BK162" i="20"/>
  <c r="BJ127" i="20"/>
  <c r="BI148" i="20"/>
  <c r="BK123" i="20"/>
  <c r="BK131" i="20"/>
  <c r="BI131" i="20"/>
  <c r="BB131" i="20"/>
  <c r="BD131" i="20" s="1"/>
  <c r="BH131" i="20" s="1"/>
  <c r="BJ205" i="20"/>
  <c r="BK168" i="20"/>
  <c r="BK135" i="20"/>
  <c r="BK175" i="20"/>
  <c r="BK114" i="20"/>
  <c r="BJ121" i="20"/>
  <c r="BI129" i="20"/>
  <c r="BB129" i="20"/>
  <c r="BD129" i="20" s="1"/>
  <c r="BH129" i="20" s="1"/>
  <c r="BI158" i="20"/>
  <c r="BB158" i="20"/>
  <c r="BD158" i="20" s="1"/>
  <c r="BH158" i="20" s="1"/>
  <c r="BI189" i="20"/>
  <c r="BB189" i="20"/>
  <c r="BD189" i="20" s="1"/>
  <c r="BH189" i="20" s="1"/>
  <c r="BK189" i="20"/>
  <c r="BI185" i="20"/>
  <c r="BB185" i="20"/>
  <c r="BD185" i="20" s="1"/>
  <c r="BH185" i="20" s="1"/>
  <c r="BJ182" i="20"/>
  <c r="BI208" i="20"/>
  <c r="BB208" i="20"/>
  <c r="BD208" i="20" s="1"/>
  <c r="BH208" i="20" s="1"/>
  <c r="BI161" i="20"/>
  <c r="BB161" i="20"/>
  <c r="BD161" i="20" s="1"/>
  <c r="BH161" i="20" s="1"/>
  <c r="BI134" i="20"/>
  <c r="BB134" i="20"/>
  <c r="BD134" i="20" s="1"/>
  <c r="BH134" i="20" s="1"/>
  <c r="BI199" i="20"/>
  <c r="BB199" i="20"/>
  <c r="BD199" i="20" s="1"/>
  <c r="BH199" i="20" s="1"/>
  <c r="BJ174" i="20"/>
  <c r="BI157" i="20"/>
  <c r="BB157" i="20"/>
  <c r="BD157" i="20" s="1"/>
  <c r="BH157" i="20" s="1"/>
  <c r="BK140" i="20"/>
  <c r="BI165" i="20"/>
  <c r="BB165" i="20"/>
  <c r="BD165" i="20" s="1"/>
  <c r="BH165" i="20" s="1"/>
  <c r="BJ110" i="20"/>
  <c r="BI110" i="20"/>
  <c r="BB110" i="20"/>
  <c r="BD110" i="20" s="1"/>
  <c r="BH110" i="20" s="1"/>
  <c r="BI126" i="20"/>
  <c r="BB126" i="20"/>
  <c r="BD126" i="20" s="1"/>
  <c r="BH126" i="20" s="1"/>
  <c r="BJ119" i="20"/>
  <c r="BJ209" i="20"/>
  <c r="BJ194" i="20"/>
  <c r="BJ201" i="20"/>
  <c r="BI201" i="20"/>
  <c r="BB201" i="20"/>
  <c r="BD201" i="20" s="1"/>
  <c r="BH201" i="20" s="1"/>
  <c r="BI123" i="20"/>
  <c r="BB123" i="20"/>
  <c r="BD123" i="20" s="1"/>
  <c r="BH123" i="20" s="1"/>
  <c r="BK147" i="20"/>
  <c r="BJ144" i="20"/>
  <c r="BI144" i="20"/>
  <c r="BB144" i="20"/>
  <c r="BD144" i="20" s="1"/>
  <c r="BH144" i="20" s="1"/>
  <c r="BK192" i="20"/>
  <c r="BK142" i="20"/>
  <c r="BJ153" i="20"/>
  <c r="BJ111" i="20"/>
  <c r="BK111" i="20"/>
  <c r="BI111" i="20"/>
  <c r="BB111" i="20"/>
  <c r="BD111" i="20" s="1"/>
  <c r="BH111" i="20" s="1"/>
  <c r="BI135" i="20"/>
  <c r="BB135" i="20"/>
  <c r="BD135" i="20" s="1"/>
  <c r="BH135" i="20" s="1"/>
  <c r="BI175" i="20"/>
  <c r="BB175" i="20"/>
  <c r="BD175" i="20" s="1"/>
  <c r="BH175" i="20" s="1"/>
  <c r="BJ114" i="20"/>
  <c r="BI114" i="20"/>
  <c r="BB114" i="20"/>
  <c r="BD114" i="20" s="1"/>
  <c r="BH114" i="20" s="1"/>
  <c r="BJ154" i="20"/>
  <c r="BJ170" i="20"/>
  <c r="BJ189" i="20"/>
  <c r="BJ164" i="20"/>
  <c r="BI164" i="20"/>
  <c r="BB164" i="20"/>
  <c r="BD164" i="20" s="1"/>
  <c r="BH164" i="20" s="1"/>
  <c r="BK200" i="20"/>
  <c r="BI174" i="20"/>
  <c r="BB174" i="20"/>
  <c r="BD174" i="20" s="1"/>
  <c r="BH174" i="20" s="1"/>
  <c r="BK174" i="20"/>
  <c r="BK141" i="20"/>
  <c r="BJ140" i="20"/>
  <c r="BI140" i="20"/>
  <c r="BB140" i="20"/>
  <c r="BD140" i="20" s="1"/>
  <c r="BH140" i="20" s="1"/>
  <c r="BJ113" i="20"/>
  <c r="BI113" i="20"/>
  <c r="BB113" i="20"/>
  <c r="BD113" i="20" s="1"/>
  <c r="BH113" i="20" s="1"/>
  <c r="BJ176" i="20"/>
  <c r="BK126" i="20"/>
  <c r="BK149" i="20"/>
  <c r="BI149" i="20"/>
  <c r="BB149" i="20"/>
  <c r="BD149" i="20" s="1"/>
  <c r="BH149" i="20" s="1"/>
  <c r="BJ200" i="20"/>
  <c r="BJ198" i="20"/>
  <c r="BK122" i="20"/>
  <c r="BI146" i="20"/>
  <c r="BB146" i="20"/>
  <c r="BD146" i="20" s="1"/>
  <c r="BH146" i="20" s="1"/>
  <c r="BJ178" i="20"/>
  <c r="BI178" i="20"/>
  <c r="BB178" i="20"/>
  <c r="BD178" i="20" s="1"/>
  <c r="BH178" i="20" s="1"/>
  <c r="BI136" i="20"/>
  <c r="BB136" i="20"/>
  <c r="BD136" i="20" s="1"/>
  <c r="BH136" i="20" s="1"/>
  <c r="BJ131" i="20"/>
  <c r="BJ147" i="20"/>
  <c r="BI147" i="20"/>
  <c r="BB147" i="20"/>
  <c r="BD147" i="20" s="1"/>
  <c r="BH147" i="20" s="1"/>
  <c r="BI197" i="20"/>
  <c r="BB197" i="20"/>
  <c r="BD197" i="20" s="1"/>
  <c r="BH197" i="20" s="1"/>
  <c r="BJ207" i="20"/>
  <c r="BI207" i="20"/>
  <c r="BB207" i="20"/>
  <c r="BD207" i="20" s="1"/>
  <c r="BH207" i="20" s="1"/>
  <c r="BI203" i="20"/>
  <c r="BB203" i="20"/>
  <c r="BD203" i="20" s="1"/>
  <c r="BH203" i="20" s="1"/>
  <c r="BI128" i="20"/>
  <c r="BB128" i="20"/>
  <c r="BD128" i="20" s="1"/>
  <c r="BH128" i="20" s="1"/>
  <c r="BK144" i="20"/>
  <c r="BI168" i="20"/>
  <c r="BB168" i="20"/>
  <c r="BD168" i="20" s="1"/>
  <c r="BH168" i="20" s="1"/>
  <c r="BJ192" i="20"/>
  <c r="BI192" i="20"/>
  <c r="BB192" i="20"/>
  <c r="BD192" i="20" s="1"/>
  <c r="BH192" i="20" s="1"/>
  <c r="BK195" i="20"/>
  <c r="BJ190" i="20"/>
  <c r="BI153" i="20"/>
  <c r="BB153" i="20"/>
  <c r="BD153" i="20" s="1"/>
  <c r="BH153" i="20" s="1"/>
  <c r="BK138" i="20"/>
  <c r="BI154" i="20"/>
  <c r="BB154" i="20"/>
  <c r="BD154" i="20" s="1"/>
  <c r="BH154" i="20" s="1"/>
  <c r="BI170" i="20"/>
  <c r="BB170" i="20"/>
  <c r="BD170" i="20" s="1"/>
  <c r="BH170" i="20" s="1"/>
  <c r="BJ145" i="20"/>
  <c r="BI112" i="20"/>
  <c r="BB112" i="20"/>
  <c r="BD112" i="20" s="1"/>
  <c r="BH112" i="20" s="1"/>
  <c r="BI142" i="20"/>
  <c r="BB142" i="20"/>
  <c r="BD142" i="20" s="1"/>
  <c r="BH142" i="20" s="1"/>
  <c r="BJ124" i="20"/>
  <c r="BK164" i="20"/>
  <c r="BI166" i="20"/>
  <c r="BB166" i="20"/>
  <c r="BD166" i="20" s="1"/>
  <c r="BH166" i="20" s="1"/>
  <c r="BI117" i="20"/>
  <c r="BB117" i="20"/>
  <c r="BD117" i="20" s="1"/>
  <c r="BH117" i="20" s="1"/>
  <c r="BI115" i="20"/>
  <c r="BB115" i="20"/>
  <c r="BD115" i="20" s="1"/>
  <c r="BH115" i="20" s="1"/>
  <c r="BI188" i="20"/>
  <c r="BB188" i="20"/>
  <c r="BD188" i="20" s="1"/>
  <c r="BH188" i="20" s="1"/>
  <c r="BK163" i="20"/>
  <c r="BK158" i="20"/>
  <c r="BJ157" i="20"/>
  <c r="BK187" i="20"/>
  <c r="BI187" i="20"/>
  <c r="BB187" i="20"/>
  <c r="BD187" i="20" s="1"/>
  <c r="BH187" i="20" s="1"/>
  <c r="BK184" i="20"/>
  <c r="BJ126" i="20"/>
  <c r="BJ133" i="20"/>
  <c r="BI119" i="20"/>
  <c r="BB119" i="20"/>
  <c r="BD119" i="20" s="1"/>
  <c r="BH119" i="20" s="1"/>
  <c r="BI209" i="20"/>
  <c r="BB209" i="20"/>
  <c r="BD209" i="20" s="1"/>
  <c r="BI200" i="20"/>
  <c r="BB200" i="20"/>
  <c r="BD200" i="20" s="1"/>
  <c r="BH200" i="20" s="1"/>
  <c r="BK177" i="20"/>
  <c r="BK186" i="20"/>
  <c r="BI194" i="20"/>
  <c r="BB194" i="20"/>
  <c r="BD194" i="20" s="1"/>
  <c r="BH194" i="20" s="1"/>
  <c r="BJ122" i="20"/>
  <c r="BI122" i="20"/>
  <c r="BB122" i="20"/>
  <c r="BD122" i="20" s="1"/>
  <c r="BH122" i="20" s="1"/>
  <c r="BI130" i="20"/>
  <c r="BB130" i="20"/>
  <c r="BD130" i="20" s="1"/>
  <c r="BH130" i="20" s="1"/>
  <c r="BI162" i="20"/>
  <c r="BB162" i="20"/>
  <c r="BD162" i="20" s="1"/>
  <c r="BH162" i="20" s="1"/>
  <c r="BI137" i="20"/>
  <c r="BB137" i="20"/>
  <c r="BD137" i="20" s="1"/>
  <c r="BH137" i="20" s="1"/>
  <c r="BK137" i="20"/>
  <c r="BI120" i="20"/>
  <c r="BB120" i="20"/>
  <c r="BD120" i="20" s="1"/>
  <c r="BH120" i="20" s="1"/>
  <c r="BK127" i="20"/>
  <c r="BI127" i="20"/>
  <c r="BB127" i="20"/>
  <c r="BD127" i="20" s="1"/>
  <c r="BH127" i="20" s="1"/>
  <c r="BJ197" i="20"/>
  <c r="BK197" i="20"/>
  <c r="BI205" i="20"/>
  <c r="BB205" i="20"/>
  <c r="BD205" i="20" s="1"/>
  <c r="BH205" i="20" s="1"/>
  <c r="BK205" i="20"/>
  <c r="BJ128" i="20"/>
  <c r="BK128" i="20"/>
  <c r="BJ168" i="20"/>
  <c r="BJ195" i="20"/>
  <c r="BI195" i="20"/>
  <c r="BB195" i="20"/>
  <c r="BD195" i="20" s="1"/>
  <c r="BH195" i="20" s="1"/>
  <c r="BJ169" i="20"/>
  <c r="BI169" i="20"/>
  <c r="BB169" i="20"/>
  <c r="BD169" i="20" s="1"/>
  <c r="BH169" i="20" s="1"/>
  <c r="BI190" i="20"/>
  <c r="BB190" i="20"/>
  <c r="BD190" i="20" s="1"/>
  <c r="BH190" i="20" s="1"/>
  <c r="BK190" i="20"/>
  <c r="BK153" i="20"/>
  <c r="BI160" i="20"/>
  <c r="BB160" i="20"/>
  <c r="BD160" i="20" s="1"/>
  <c r="BH160" i="20" s="1"/>
  <c r="BK160" i="20"/>
  <c r="BJ175" i="20"/>
  <c r="BK185" i="20"/>
  <c r="BJ138" i="20"/>
  <c r="BI138" i="20"/>
  <c r="BB138" i="20"/>
  <c r="BD138" i="20" s="1"/>
  <c r="BH138" i="20" s="1"/>
  <c r="BK154" i="20"/>
  <c r="BK170" i="20"/>
  <c r="BK121" i="20"/>
  <c r="BI121" i="20"/>
  <c r="BB121" i="20"/>
  <c r="BD121" i="20" s="1"/>
  <c r="BH121" i="20" s="1"/>
  <c r="BK145" i="20"/>
  <c r="BI145" i="20"/>
  <c r="BB145" i="20"/>
  <c r="BD145" i="20" s="1"/>
  <c r="BH145" i="20" s="1"/>
  <c r="BJ158" i="20"/>
  <c r="BI124" i="20"/>
  <c r="BB124" i="20"/>
  <c r="BD124" i="20" s="1"/>
  <c r="BH124" i="20" s="1"/>
  <c r="BK124" i="20"/>
  <c r="BJ180" i="20"/>
  <c r="BK180" i="20"/>
  <c r="BI180" i="20"/>
  <c r="BB180" i="20"/>
  <c r="BD180" i="20" s="1"/>
  <c r="BH180" i="20" s="1"/>
  <c r="BK182" i="20"/>
  <c r="BI182" i="20"/>
  <c r="BB182" i="20"/>
  <c r="BD182" i="20" s="1"/>
  <c r="BH182" i="20" s="1"/>
  <c r="BK117" i="20"/>
  <c r="BJ117" i="20"/>
  <c r="BK115" i="20"/>
  <c r="BK199" i="20"/>
  <c r="AV54" i="20"/>
  <c r="BL54" i="20" s="1"/>
  <c r="BJ22" i="20"/>
  <c r="R17" i="20"/>
  <c r="T17" i="20" s="1"/>
  <c r="BI17" i="20" s="1"/>
  <c r="AV30" i="20"/>
  <c r="BL30" i="20" s="1"/>
  <c r="BJ40" i="20"/>
  <c r="AG50" i="20"/>
  <c r="AI50" i="20" s="1"/>
  <c r="BF50" i="20" s="1"/>
  <c r="AV50" i="20"/>
  <c r="BL50" i="20" s="1"/>
  <c r="AS74" i="20"/>
  <c r="R74" i="20"/>
  <c r="T74" i="20" s="1"/>
  <c r="BI74" i="20" s="1"/>
  <c r="AS90" i="20"/>
  <c r="R90" i="20"/>
  <c r="T90" i="20" s="1"/>
  <c r="BI90" i="20" s="1"/>
  <c r="BJ20" i="20"/>
  <c r="BK71" i="20"/>
  <c r="AG65" i="20"/>
  <c r="AI65" i="20" s="1"/>
  <c r="AV65" i="20"/>
  <c r="BL65" i="20" s="1"/>
  <c r="AS69" i="20"/>
  <c r="R69" i="20"/>
  <c r="T69" i="20" s="1"/>
  <c r="BI69" i="20" s="1"/>
  <c r="AV66" i="20"/>
  <c r="BL66" i="20" s="1"/>
  <c r="BB71" i="20"/>
  <c r="BD71" i="20" s="1"/>
  <c r="BH71" i="20" s="1"/>
  <c r="AV77" i="20"/>
  <c r="BL77" i="20" s="1"/>
  <c r="AK73" i="20"/>
  <c r="AN73" i="20" s="1"/>
  <c r="AV73" i="20"/>
  <c r="BL73" i="20" s="1"/>
  <c r="AV69" i="20"/>
  <c r="BL69" i="20" s="1"/>
  <c r="R18" i="20"/>
  <c r="T18" i="20" s="1"/>
  <c r="BI18" i="20" s="1"/>
  <c r="R14" i="20"/>
  <c r="T14" i="20" s="1"/>
  <c r="BI14" i="20" s="1"/>
  <c r="BB40" i="20"/>
  <c r="BD40" i="20" s="1"/>
  <c r="BH40" i="20" s="1"/>
  <c r="R106" i="20"/>
  <c r="T106" i="20" s="1"/>
  <c r="BI106" i="20" s="1"/>
  <c r="BJ9" i="20"/>
  <c r="AS109" i="20"/>
  <c r="R109" i="20"/>
  <c r="T109" i="20" s="1"/>
  <c r="BJ103" i="20"/>
  <c r="BJ87" i="20"/>
  <c r="AV26" i="20"/>
  <c r="BL26" i="20" s="1"/>
  <c r="AG26" i="20"/>
  <c r="BJ95" i="20"/>
  <c r="BK51" i="20"/>
  <c r="BJ75" i="20"/>
  <c r="BJ68" i="20"/>
  <c r="BJ51" i="20"/>
  <c r="BJ84" i="20"/>
  <c r="AK33" i="20"/>
  <c r="AV33" i="20"/>
  <c r="BL33" i="20" s="1"/>
  <c r="AG25" i="20"/>
  <c r="AI25" i="20" s="1"/>
  <c r="AV25" i="20"/>
  <c r="BL25" i="20" s="1"/>
  <c r="BI40" i="20"/>
  <c r="BB84" i="20"/>
  <c r="BD84" i="20" s="1"/>
  <c r="BH84" i="20" s="1"/>
  <c r="BK9" i="20"/>
  <c r="BB55" i="20"/>
  <c r="BD55" i="20" s="1"/>
  <c r="BH55" i="20" s="1"/>
  <c r="BB103" i="20"/>
  <c r="BD103" i="20" s="1"/>
  <c r="BH103" i="20" s="1"/>
  <c r="BB95" i="20"/>
  <c r="BD95" i="20" s="1"/>
  <c r="BH95" i="20" s="1"/>
  <c r="BB68" i="20"/>
  <c r="BD68" i="20" s="1"/>
  <c r="BH68" i="20" s="1"/>
  <c r="BK68" i="20"/>
  <c r="BK103" i="20"/>
  <c r="BI95" i="20"/>
  <c r="BB87" i="20"/>
  <c r="BD87" i="20" s="1"/>
  <c r="BH87" i="20" s="1"/>
  <c r="BB75" i="20"/>
  <c r="BD75" i="20" s="1"/>
  <c r="BH75" i="20" s="1"/>
  <c r="AV14" i="20"/>
  <c r="BL14" i="20" s="1"/>
  <c r="BB67" i="20"/>
  <c r="BD67" i="20" s="1"/>
  <c r="BH67" i="20" s="1"/>
  <c r="R38" i="20"/>
  <c r="T38" i="20" s="1"/>
  <c r="BB51" i="20"/>
  <c r="BD51" i="20" s="1"/>
  <c r="BH51" i="20" s="1"/>
  <c r="AG14" i="20"/>
  <c r="AI14" i="20" s="1"/>
  <c r="BK67" i="20"/>
  <c r="BB9" i="20"/>
  <c r="BD9" i="20" s="1"/>
  <c r="BB22" i="20"/>
  <c r="BD22" i="20" s="1"/>
  <c r="BH22" i="20" s="1"/>
  <c r="BK24" i="20"/>
  <c r="BK11" i="20"/>
  <c r="BK10" i="20"/>
  <c r="BK12" i="20"/>
  <c r="BK20" i="20"/>
  <c r="N13" i="8"/>
  <c r="E43" i="1"/>
  <c r="Q3" i="17"/>
  <c r="K4" i="17"/>
  <c r="BB63" i="20" l="1"/>
  <c r="BD63" i="20" s="1"/>
  <c r="BH63" i="20" s="1"/>
  <c r="BE32" i="20"/>
  <c r="BE48" i="20"/>
  <c r="BE86" i="20"/>
  <c r="BF86" i="20"/>
  <c r="BF81" i="20"/>
  <c r="BB56" i="20"/>
  <c r="BD56" i="20" s="1"/>
  <c r="BH56" i="20" s="1"/>
  <c r="BF56" i="20"/>
  <c r="BJ59" i="20"/>
  <c r="BF59" i="20"/>
  <c r="BJ32" i="20"/>
  <c r="BB59" i="20"/>
  <c r="BD59" i="20" s="1"/>
  <c r="BH59" i="20" s="1"/>
  <c r="BF47" i="20"/>
  <c r="BE43" i="20"/>
  <c r="BE73" i="20"/>
  <c r="BJ35" i="20"/>
  <c r="BB35" i="20"/>
  <c r="BD35" i="20" s="1"/>
  <c r="BH35" i="20" s="1"/>
  <c r="BF35" i="20"/>
  <c r="BK35" i="20"/>
  <c r="BB32" i="20"/>
  <c r="BD32" i="20" s="1"/>
  <c r="BH32" i="20" s="1"/>
  <c r="BE23" i="20"/>
  <c r="BJ15" i="20"/>
  <c r="BF105" i="20"/>
  <c r="BJ105" i="20"/>
  <c r="BK47" i="20"/>
  <c r="BF37" i="20"/>
  <c r="BJ48" i="20"/>
  <c r="BJ43" i="20"/>
  <c r="BF43" i="20"/>
  <c r="BK48" i="20"/>
  <c r="BJ11" i="20"/>
  <c r="BK15" i="20"/>
  <c r="BJ24" i="20"/>
  <c r="BB24" i="20"/>
  <c r="BD24" i="20" s="1"/>
  <c r="BH24" i="20" s="1"/>
  <c r="BB11" i="20"/>
  <c r="BD11" i="20" s="1"/>
  <c r="BH11" i="20" s="1"/>
  <c r="BJ47" i="20"/>
  <c r="BB43" i="20"/>
  <c r="BD43" i="20" s="1"/>
  <c r="BH43" i="20" s="1"/>
  <c r="BB47" i="20"/>
  <c r="BD47" i="20" s="1"/>
  <c r="BH47" i="20" s="1"/>
  <c r="BE44" i="20"/>
  <c r="BF44" i="20"/>
  <c r="BF19" i="20"/>
  <c r="BB48" i="20"/>
  <c r="BD48" i="20" s="1"/>
  <c r="BH48" i="20" s="1"/>
  <c r="BF49" i="20"/>
  <c r="BB15" i="20"/>
  <c r="BD15" i="20" s="1"/>
  <c r="BH15" i="20" s="1"/>
  <c r="BE53" i="20"/>
  <c r="BE52" i="20"/>
  <c r="BF14" i="20"/>
  <c r="BF23" i="20"/>
  <c r="BI15" i="20"/>
  <c r="BE36" i="20"/>
  <c r="BF88" i="20"/>
  <c r="BF31" i="20"/>
  <c r="BK49" i="20"/>
  <c r="BK19" i="20"/>
  <c r="BJ16" i="20"/>
  <c r="BF89" i="20"/>
  <c r="BB16" i="20"/>
  <c r="BD16" i="20" s="1"/>
  <c r="BH16" i="20" s="1"/>
  <c r="BJ37" i="20"/>
  <c r="BF28" i="20"/>
  <c r="BE107" i="20"/>
  <c r="BB20" i="20"/>
  <c r="BD20" i="20" s="1"/>
  <c r="BH20" i="20" s="1"/>
  <c r="BK73" i="20"/>
  <c r="BB28" i="20"/>
  <c r="BD28" i="20" s="1"/>
  <c r="BH28" i="20" s="1"/>
  <c r="BF33" i="20"/>
  <c r="BK107" i="20"/>
  <c r="BK86" i="20"/>
  <c r="BE34" i="20"/>
  <c r="BF42" i="20"/>
  <c r="BJ28" i="20"/>
  <c r="BJ89" i="20"/>
  <c r="BJ77" i="20"/>
  <c r="BF18" i="20"/>
  <c r="BF77" i="20"/>
  <c r="BJ86" i="20"/>
  <c r="BE12" i="20"/>
  <c r="BJ78" i="20"/>
  <c r="BJ10" i="20"/>
  <c r="BB148" i="20"/>
  <c r="BD148" i="20" s="1"/>
  <c r="BH148" i="20" s="1"/>
  <c r="BF101" i="20"/>
  <c r="BK93" i="20"/>
  <c r="BJ93" i="20"/>
  <c r="BE105" i="20"/>
  <c r="BB104" i="20"/>
  <c r="BD104" i="20" s="1"/>
  <c r="BH104" i="20" s="1"/>
  <c r="BB86" i="20"/>
  <c r="BD86" i="20" s="1"/>
  <c r="BH86" i="20" s="1"/>
  <c r="BB62" i="20"/>
  <c r="BD62" i="20" s="1"/>
  <c r="BH62" i="20" s="1"/>
  <c r="BB19" i="20"/>
  <c r="BD19" i="20" s="1"/>
  <c r="BH19" i="20" s="1"/>
  <c r="BJ19" i="20"/>
  <c r="BB93" i="20"/>
  <c r="BD93" i="20" s="1"/>
  <c r="BH93" i="20" s="1"/>
  <c r="BF62" i="20"/>
  <c r="BJ62" i="20"/>
  <c r="BJ17" i="20"/>
  <c r="BJ52" i="20"/>
  <c r="BK98" i="20"/>
  <c r="BK148" i="20"/>
  <c r="BB101" i="20"/>
  <c r="BD101" i="20" s="1"/>
  <c r="BH101" i="20" s="1"/>
  <c r="BK44" i="20"/>
  <c r="BJ101" i="20"/>
  <c r="BE26" i="20"/>
  <c r="BJ107" i="20"/>
  <c r="BJ12" i="20"/>
  <c r="BJ36" i="20"/>
  <c r="BJ44" i="20"/>
  <c r="BE30" i="20"/>
  <c r="BB12" i="20"/>
  <c r="BD12" i="20" s="1"/>
  <c r="BH12" i="20" s="1"/>
  <c r="BB98" i="20"/>
  <c r="BD98" i="20" s="1"/>
  <c r="BH98" i="20" s="1"/>
  <c r="BK104" i="20"/>
  <c r="BB89" i="20"/>
  <c r="BD89" i="20" s="1"/>
  <c r="BH89" i="20" s="1"/>
  <c r="BJ23" i="20"/>
  <c r="BJ104" i="20"/>
  <c r="BJ98" i="20"/>
  <c r="BB105" i="20"/>
  <c r="BD105" i="20" s="1"/>
  <c r="BH105" i="20" s="1"/>
  <c r="BB36" i="20"/>
  <c r="BD36" i="20" s="1"/>
  <c r="BH36" i="20" s="1"/>
  <c r="BB52" i="20"/>
  <c r="BD52" i="20" s="1"/>
  <c r="BH52" i="20" s="1"/>
  <c r="BK78" i="20"/>
  <c r="BJ69" i="20"/>
  <c r="BE17" i="20"/>
  <c r="BB78" i="20"/>
  <c r="BD78" i="20" s="1"/>
  <c r="BH78" i="20" s="1"/>
  <c r="BJ49" i="20"/>
  <c r="BB44" i="20"/>
  <c r="BD44" i="20" s="1"/>
  <c r="BH44" i="20" s="1"/>
  <c r="BJ72" i="20"/>
  <c r="BB72" i="20"/>
  <c r="BD72" i="20" s="1"/>
  <c r="BH72" i="20" s="1"/>
  <c r="BK66" i="20"/>
  <c r="BB107" i="20"/>
  <c r="BD107" i="20" s="1"/>
  <c r="BH107" i="20" s="1"/>
  <c r="BJ88" i="20"/>
  <c r="BB23" i="20"/>
  <c r="BD23" i="20" s="1"/>
  <c r="BH23" i="20" s="1"/>
  <c r="BF65" i="20"/>
  <c r="BJ66" i="20"/>
  <c r="BF46" i="20"/>
  <c r="BF21" i="20"/>
  <c r="BK72" i="20"/>
  <c r="BB88" i="20"/>
  <c r="BD88" i="20" s="1"/>
  <c r="BH88" i="20" s="1"/>
  <c r="BE29" i="20"/>
  <c r="BF30" i="20"/>
  <c r="BF74" i="20"/>
  <c r="BF69" i="20"/>
  <c r="BF58" i="20"/>
  <c r="BF53" i="20"/>
  <c r="BK58" i="20"/>
  <c r="BJ13" i="20"/>
  <c r="BE54" i="20"/>
  <c r="BK38" i="20"/>
  <c r="BK74" i="20"/>
  <c r="BJ31" i="20"/>
  <c r="BB53" i="20"/>
  <c r="BD53" i="20" s="1"/>
  <c r="BH53" i="20" s="1"/>
  <c r="BJ30" i="20"/>
  <c r="BJ53" i="20"/>
  <c r="BJ92" i="20"/>
  <c r="BJ42" i="20"/>
  <c r="BE50" i="20"/>
  <c r="BB42" i="20"/>
  <c r="BD42" i="20" s="1"/>
  <c r="BH42" i="20" s="1"/>
  <c r="BJ58" i="20"/>
  <c r="BF41" i="20"/>
  <c r="BB49" i="20"/>
  <c r="BD49" i="20" s="1"/>
  <c r="BH49" i="20" s="1"/>
  <c r="BJ39" i="20"/>
  <c r="BB45" i="20"/>
  <c r="BD45" i="20" s="1"/>
  <c r="BH45" i="20" s="1"/>
  <c r="BJ41" i="20"/>
  <c r="BJ57" i="20"/>
  <c r="BE37" i="20"/>
  <c r="BK29" i="20"/>
  <c r="BB17" i="20"/>
  <c r="BD17" i="20" s="1"/>
  <c r="BH17" i="20" s="1"/>
  <c r="BB37" i="20"/>
  <c r="BD37" i="20" s="1"/>
  <c r="BH37" i="20" s="1"/>
  <c r="BB76" i="20"/>
  <c r="BD76" i="20" s="1"/>
  <c r="BH76" i="20" s="1"/>
  <c r="BB57" i="20"/>
  <c r="BD57" i="20" s="1"/>
  <c r="BH57" i="20" s="1"/>
  <c r="BJ46" i="20"/>
  <c r="BJ99" i="20"/>
  <c r="BJ45" i="20"/>
  <c r="BJ18" i="20"/>
  <c r="BJ27" i="20"/>
  <c r="BF27" i="20"/>
  <c r="BF25" i="20"/>
  <c r="BE38" i="20"/>
  <c r="BF39" i="20"/>
  <c r="BB30" i="20"/>
  <c r="BD30" i="20" s="1"/>
  <c r="BH30" i="20" s="1"/>
  <c r="BF45" i="20"/>
  <c r="BB31" i="20"/>
  <c r="BD31" i="20" s="1"/>
  <c r="BH31" i="20" s="1"/>
  <c r="BB60" i="20"/>
  <c r="BD60" i="20" s="1"/>
  <c r="BH60" i="20" s="1"/>
  <c r="BB99" i="20"/>
  <c r="BD99" i="20" s="1"/>
  <c r="BH99" i="20" s="1"/>
  <c r="BB92" i="20"/>
  <c r="BD92" i="20" s="1"/>
  <c r="BH92" i="20" s="1"/>
  <c r="BB91" i="20"/>
  <c r="BD91" i="20" s="1"/>
  <c r="BH91" i="20" s="1"/>
  <c r="BK27" i="20"/>
  <c r="BJ76" i="20"/>
  <c r="BJ91" i="20"/>
  <c r="BJ60" i="20"/>
  <c r="BK54" i="20"/>
  <c r="BB10" i="20"/>
  <c r="BD10" i="20" s="1"/>
  <c r="BH10" i="20" s="1"/>
  <c r="BF61" i="20"/>
  <c r="BJ61" i="20"/>
  <c r="BK61" i="20"/>
  <c r="BI10" i="20"/>
  <c r="BB13" i="20"/>
  <c r="BD13" i="20" s="1"/>
  <c r="BH13" i="20" s="1"/>
  <c r="BB100" i="20"/>
  <c r="BD100" i="20" s="1"/>
  <c r="BH100" i="20" s="1"/>
  <c r="BB41" i="20"/>
  <c r="BD41" i="20" s="1"/>
  <c r="BH41" i="20" s="1"/>
  <c r="BJ34" i="20"/>
  <c r="BK132" i="20"/>
  <c r="BJ74" i="20"/>
  <c r="BB46" i="20"/>
  <c r="BD46" i="20" s="1"/>
  <c r="BH46" i="20" s="1"/>
  <c r="BB97" i="20"/>
  <c r="BD97" i="20" s="1"/>
  <c r="BH97" i="20" s="1"/>
  <c r="BB39" i="20"/>
  <c r="BD39" i="20" s="1"/>
  <c r="BH39" i="20" s="1"/>
  <c r="BB58" i="20"/>
  <c r="BD58" i="20" s="1"/>
  <c r="BH58" i="20" s="1"/>
  <c r="BB82" i="20"/>
  <c r="BD82" i="20" s="1"/>
  <c r="BH82" i="20" s="1"/>
  <c r="H4" i="21"/>
  <c r="BB79" i="20"/>
  <c r="BD79" i="20" s="1"/>
  <c r="BH79" i="20" s="1"/>
  <c r="BB94" i="20"/>
  <c r="BD94" i="20" s="1"/>
  <c r="BH94" i="20" s="1"/>
  <c r="BB102" i="20"/>
  <c r="BD102" i="20" s="1"/>
  <c r="BH102" i="20" s="1"/>
  <c r="BB108" i="20"/>
  <c r="BD108" i="20" s="1"/>
  <c r="BH108" i="20" s="1"/>
  <c r="BK100" i="20"/>
  <c r="BK109" i="20"/>
  <c r="BJ97" i="20"/>
  <c r="BJ94" i="20"/>
  <c r="BJ82" i="20"/>
  <c r="BJ79" i="20"/>
  <c r="BJ108" i="20"/>
  <c r="BJ102" i="20"/>
  <c r="BJ106" i="20"/>
  <c r="BB81" i="20"/>
  <c r="BD81" i="20" s="1"/>
  <c r="BH81" i="20" s="1"/>
  <c r="BJ21" i="20"/>
  <c r="BB132" i="20"/>
  <c r="BD132" i="20" s="1"/>
  <c r="BH132" i="20" s="1"/>
  <c r="BF57" i="20"/>
  <c r="BJ90" i="20"/>
  <c r="BH9" i="20"/>
  <c r="B456" i="2" s="1"/>
  <c r="H2" i="20"/>
  <c r="BH209" i="20"/>
  <c r="B457" i="2" s="1"/>
  <c r="H4" i="20"/>
  <c r="BJ54" i="20"/>
  <c r="BK76" i="20"/>
  <c r="BB61" i="20"/>
  <c r="BD61" i="20" s="1"/>
  <c r="BH61" i="20" s="1"/>
  <c r="BK82" i="20"/>
  <c r="BK108" i="20"/>
  <c r="BK60" i="20"/>
  <c r="BK46" i="20"/>
  <c r="BJ148" i="20"/>
  <c r="BK81" i="20"/>
  <c r="BJ100" i="20"/>
  <c r="BK92" i="20"/>
  <c r="BK102" i="20"/>
  <c r="BK94" i="20"/>
  <c r="BK91" i="20"/>
  <c r="AI26" i="20"/>
  <c r="BK106" i="20"/>
  <c r="BK79" i="20"/>
  <c r="BJ132" i="20"/>
  <c r="BK97" i="20"/>
  <c r="BK99" i="20"/>
  <c r="AN33" i="20"/>
  <c r="BE33" i="20" s="1"/>
  <c r="BK23" i="21"/>
  <c r="BE23" i="21" s="1"/>
  <c r="BB23" i="21"/>
  <c r="BD23" i="21" s="1"/>
  <c r="BH23" i="21" s="1"/>
  <c r="BH19" i="21"/>
  <c r="H2" i="21"/>
  <c r="BH59" i="21"/>
  <c r="H3" i="21"/>
  <c r="BB54" i="20"/>
  <c r="BD54" i="20" s="1"/>
  <c r="BH54" i="20" s="1"/>
  <c r="BB34" i="20"/>
  <c r="BD34" i="20" s="1"/>
  <c r="BH34" i="20" s="1"/>
  <c r="BJ81" i="20"/>
  <c r="BB85" i="20"/>
  <c r="BD85" i="20" s="1"/>
  <c r="BH85" i="20" s="1"/>
  <c r="BB21" i="20"/>
  <c r="BD21" i="20" s="1"/>
  <c r="BH21" i="20" s="1"/>
  <c r="BB18" i="20"/>
  <c r="BD18" i="20" s="1"/>
  <c r="BH18" i="20" s="1"/>
  <c r="BB90" i="20"/>
  <c r="BD90" i="20" s="1"/>
  <c r="BH90" i="20" s="1"/>
  <c r="BK90" i="20"/>
  <c r="BB69" i="20"/>
  <c r="BD69" i="20" s="1"/>
  <c r="BH69" i="20" s="1"/>
  <c r="BI21" i="20"/>
  <c r="BJ38" i="20"/>
  <c r="BB65" i="20"/>
  <c r="BD65" i="20" s="1"/>
  <c r="BH65" i="20" s="1"/>
  <c r="BJ65" i="20"/>
  <c r="BK65" i="20"/>
  <c r="BK70" i="20"/>
  <c r="BK50" i="20"/>
  <c r="BJ50" i="20"/>
  <c r="BB74" i="20"/>
  <c r="BD74" i="20" s="1"/>
  <c r="BH74" i="20" s="1"/>
  <c r="BB70" i="20"/>
  <c r="BD70" i="20" s="1"/>
  <c r="BH70" i="20" s="1"/>
  <c r="BJ70" i="20"/>
  <c r="BJ109" i="20"/>
  <c r="BK85" i="20"/>
  <c r="BJ85" i="20"/>
  <c r="BB50" i="20"/>
  <c r="BD50" i="20" s="1"/>
  <c r="BH50" i="20" s="1"/>
  <c r="BB66" i="20"/>
  <c r="BD66" i="20" s="1"/>
  <c r="BH66" i="20" s="1"/>
  <c r="BB73" i="20"/>
  <c r="BD73" i="20" s="1"/>
  <c r="BH73" i="20" s="1"/>
  <c r="BJ73" i="20"/>
  <c r="BB77" i="20"/>
  <c r="BD77" i="20" s="1"/>
  <c r="BH77" i="20" s="1"/>
  <c r="BB106" i="20"/>
  <c r="BD106" i="20" s="1"/>
  <c r="BH106" i="20" s="1"/>
  <c r="BB29" i="20"/>
  <c r="BD29" i="20" s="1"/>
  <c r="BH29" i="20" s="1"/>
  <c r="BI109" i="20"/>
  <c r="BB109" i="20"/>
  <c r="BD109" i="20" s="1"/>
  <c r="BJ14" i="20"/>
  <c r="BK25" i="20"/>
  <c r="BJ25" i="20"/>
  <c r="BB25" i="20"/>
  <c r="BD25" i="20" s="1"/>
  <c r="BH25" i="20" s="1"/>
  <c r="BJ29" i="20"/>
  <c r="BB14" i="20"/>
  <c r="BD14" i="20" s="1"/>
  <c r="BH14" i="20" s="1"/>
  <c r="BB38" i="20"/>
  <c r="BD38" i="20" s="1"/>
  <c r="BH38" i="20" s="1"/>
  <c r="BI38" i="20"/>
  <c r="BK14" i="20"/>
  <c r="D607" i="17"/>
  <c r="D194" i="17"/>
  <c r="C598" i="17"/>
  <c r="D606" i="17"/>
  <c r="C174" i="17"/>
  <c r="D291" i="17"/>
  <c r="D60" i="17"/>
  <c r="C524" i="17"/>
  <c r="C420" i="17"/>
  <c r="C446" i="17"/>
  <c r="C228" i="17"/>
  <c r="D222" i="17"/>
  <c r="D562" i="17"/>
  <c r="C484" i="17"/>
  <c r="D418" i="17"/>
  <c r="D163" i="17"/>
  <c r="D472" i="17"/>
  <c r="D561" i="17"/>
  <c r="D381" i="17"/>
  <c r="C449" i="17"/>
  <c r="C123" i="17"/>
  <c r="C30" i="17"/>
  <c r="D594" i="17"/>
  <c r="C541" i="17"/>
  <c r="C516" i="17"/>
  <c r="C594" i="17"/>
  <c r="C546" i="17"/>
  <c r="C380" i="17"/>
  <c r="D227" i="17"/>
  <c r="D585" i="17"/>
  <c r="C535" i="17"/>
  <c r="C382" i="17"/>
  <c r="D215" i="17"/>
  <c r="D281" i="17"/>
  <c r="D509" i="17"/>
  <c r="D304" i="17"/>
  <c r="C513" i="17"/>
  <c r="D359" i="17"/>
  <c r="C251" i="17"/>
  <c r="D29" i="17"/>
  <c r="C77" i="17"/>
  <c r="D368" i="17"/>
  <c r="C610" i="17"/>
  <c r="D546" i="17"/>
  <c r="C570" i="17"/>
  <c r="D494" i="17"/>
  <c r="D430" i="17"/>
  <c r="C468" i="17"/>
  <c r="D559" i="17"/>
  <c r="D474" i="17"/>
  <c r="D575" i="17"/>
  <c r="C480" i="17"/>
  <c r="C404" i="17"/>
  <c r="C387" i="17"/>
  <c r="D259" i="17"/>
  <c r="D131" i="17"/>
  <c r="C571" i="17"/>
  <c r="D600" i="17"/>
  <c r="C590" i="17"/>
  <c r="D440" i="17"/>
  <c r="C414" i="17"/>
  <c r="C389" i="17"/>
  <c r="C343" i="17"/>
  <c r="D576" i="17"/>
  <c r="C345" i="17"/>
  <c r="C293" i="17"/>
  <c r="C471" i="17"/>
  <c r="D317" i="17"/>
  <c r="C164" i="17"/>
  <c r="C113" i="17"/>
  <c r="D92" i="17"/>
  <c r="D519" i="17"/>
  <c r="D391" i="17"/>
  <c r="D366" i="17"/>
  <c r="D314" i="17"/>
  <c r="C64" i="17"/>
  <c r="D158" i="17"/>
  <c r="D268" i="17"/>
  <c r="C13" i="17"/>
  <c r="C157" i="17"/>
  <c r="C240" i="17"/>
  <c r="D597" i="17"/>
  <c r="D598" i="17"/>
  <c r="D586" i="17"/>
  <c r="D554" i="17"/>
  <c r="D551" i="17"/>
  <c r="C586" i="17"/>
  <c r="C533" i="17"/>
  <c r="D502" i="17"/>
  <c r="D470" i="17"/>
  <c r="D438" i="17"/>
  <c r="C508" i="17"/>
  <c r="C476" i="17"/>
  <c r="C606" i="17"/>
  <c r="D591" i="17"/>
  <c r="C562" i="17"/>
  <c r="D490" i="17"/>
  <c r="D426" i="17"/>
  <c r="D566" i="17"/>
  <c r="D514" i="17"/>
  <c r="C496" i="17"/>
  <c r="C444" i="17"/>
  <c r="C412" i="17"/>
  <c r="C364" i="17"/>
  <c r="C403" i="17"/>
  <c r="C339" i="17"/>
  <c r="D275" i="17"/>
  <c r="D211" i="17"/>
  <c r="D147" i="17"/>
  <c r="C287" i="17"/>
  <c r="C587" i="17"/>
  <c r="D553" i="17"/>
  <c r="D534" i="17"/>
  <c r="D572" i="17"/>
  <c r="C534" i="17"/>
  <c r="C519" i="17"/>
  <c r="D456" i="17"/>
  <c r="C494" i="17"/>
  <c r="C430" i="17"/>
  <c r="C366" i="17"/>
  <c r="C405" i="17"/>
  <c r="D582" i="17"/>
  <c r="C407" i="17"/>
  <c r="D151" i="17"/>
  <c r="D538" i="17"/>
  <c r="D460" i="17"/>
  <c r="C409" i="17"/>
  <c r="D249" i="17"/>
  <c r="D121" i="17"/>
  <c r="C561" i="17"/>
  <c r="C503" i="17"/>
  <c r="D477" i="17"/>
  <c r="D349" i="17"/>
  <c r="D324" i="17"/>
  <c r="C196" i="17"/>
  <c r="D272" i="17"/>
  <c r="C145" i="17"/>
  <c r="C106" i="17"/>
  <c r="D76" i="17"/>
  <c r="C497" i="17"/>
  <c r="C433" i="17"/>
  <c r="D471" i="17"/>
  <c r="D407" i="17"/>
  <c r="D343" i="17"/>
  <c r="D382" i="17"/>
  <c r="C270" i="17"/>
  <c r="C142" i="17"/>
  <c r="C219" i="17"/>
  <c r="C32" i="17"/>
  <c r="D62" i="17"/>
  <c r="D190" i="17"/>
  <c r="D61" i="17"/>
  <c r="C91" i="17"/>
  <c r="D172" i="17"/>
  <c r="D79" i="17"/>
  <c r="C109" i="17"/>
  <c r="C125" i="17"/>
  <c r="C253" i="17"/>
  <c r="C176" i="17"/>
  <c r="D329" i="17"/>
  <c r="D544" i="17"/>
  <c r="C378" i="17"/>
  <c r="C208" i="17"/>
  <c r="D336" i="17"/>
  <c r="D361" i="17"/>
  <c r="D489" i="17"/>
  <c r="D573" i="17"/>
  <c r="D221" i="17"/>
  <c r="C506" i="17"/>
  <c r="D75" i="17"/>
  <c r="C585" i="17"/>
  <c r="C408" i="17"/>
  <c r="D599" i="17"/>
  <c r="D547" i="17"/>
  <c r="C442" i="17"/>
  <c r="C317" i="17"/>
  <c r="D189" i="17"/>
  <c r="C609" i="17"/>
  <c r="D527" i="17"/>
  <c r="C443" i="17"/>
  <c r="D473" i="17"/>
  <c r="D409" i="17"/>
  <c r="D345" i="17"/>
  <c r="D384" i="17"/>
  <c r="D320" i="17"/>
  <c r="C256" i="17"/>
  <c r="C192" i="17"/>
  <c r="C128" i="17"/>
  <c r="C269" i="17"/>
  <c r="C205" i="17"/>
  <c r="C141" i="17"/>
  <c r="C46" i="17"/>
  <c r="C110" i="17"/>
  <c r="C61" i="17"/>
  <c r="D95" i="17"/>
  <c r="D31" i="17"/>
  <c r="D156" i="17"/>
  <c r="D220" i="17"/>
  <c r="C107" i="17"/>
  <c r="C43" i="17"/>
  <c r="D77" i="17"/>
  <c r="D13" i="17"/>
  <c r="D174" i="17"/>
  <c r="D238" i="17"/>
  <c r="D78" i="17"/>
  <c r="D14" i="17"/>
  <c r="C48" i="17"/>
  <c r="C139" i="17"/>
  <c r="C203" i="17"/>
  <c r="C267" i="17"/>
  <c r="C126" i="17"/>
  <c r="C190" i="17"/>
  <c r="C254" i="17"/>
  <c r="D318" i="17"/>
  <c r="D374" i="17"/>
  <c r="D406" i="17"/>
  <c r="D335" i="17"/>
  <c r="D367" i="17"/>
  <c r="D399" i="17"/>
  <c r="D431" i="17"/>
  <c r="D463" i="17"/>
  <c r="D495" i="17"/>
  <c r="C425" i="17"/>
  <c r="C457" i="17"/>
  <c r="C489" i="17"/>
  <c r="D520" i="17"/>
  <c r="D84" i="17"/>
  <c r="D52" i="17"/>
  <c r="D20" i="17"/>
  <c r="C58" i="17"/>
  <c r="C129" i="17"/>
  <c r="C193" i="17"/>
  <c r="C257" i="17"/>
  <c r="C116" i="17"/>
  <c r="C180" i="17"/>
  <c r="C244" i="17"/>
  <c r="C308" i="17"/>
  <c r="D372" i="17"/>
  <c r="D333" i="17"/>
  <c r="D397" i="17"/>
  <c r="D461" i="17"/>
  <c r="C423" i="17"/>
  <c r="C487" i="17"/>
  <c r="C568" i="17"/>
  <c r="C545" i="17"/>
  <c r="D609" i="17"/>
  <c r="C309" i="17"/>
  <c r="D169" i="17"/>
  <c r="D233" i="17"/>
  <c r="D297" i="17"/>
  <c r="C377" i="17"/>
  <c r="C402" i="17"/>
  <c r="D428" i="17"/>
  <c r="C566" i="17"/>
  <c r="C608" i="17"/>
  <c r="C559" i="17"/>
  <c r="D610" i="17"/>
  <c r="D536" i="17"/>
  <c r="D446" i="17"/>
  <c r="D47" i="17"/>
  <c r="D603" i="17"/>
  <c r="D423" i="17"/>
  <c r="D510" i="17"/>
  <c r="C316" i="17"/>
  <c r="C318" i="17"/>
  <c r="C177" i="17"/>
  <c r="C59" i="17"/>
  <c r="D567" i="17"/>
  <c r="D602" i="17"/>
  <c r="C452" i="17"/>
  <c r="C303" i="17"/>
  <c r="C510" i="17"/>
  <c r="C523" i="17"/>
  <c r="D356" i="17"/>
  <c r="D487" i="17"/>
  <c r="D30" i="17"/>
  <c r="C221" i="17"/>
  <c r="D578" i="17"/>
  <c r="C525" i="17"/>
  <c r="C500" i="17"/>
  <c r="C537" i="17"/>
  <c r="D482" i="17"/>
  <c r="C348" i="17"/>
  <c r="D195" i="17"/>
  <c r="D533" i="17"/>
  <c r="D504" i="17"/>
  <c r="C350" i="17"/>
  <c r="C291" i="17"/>
  <c r="D217" i="17"/>
  <c r="D445" i="17"/>
  <c r="C241" i="17"/>
  <c r="C481" i="17"/>
  <c r="D327" i="17"/>
  <c r="C187" i="17"/>
  <c r="D93" i="17"/>
  <c r="C94" i="17"/>
  <c r="D393" i="17"/>
  <c r="C602" i="17"/>
  <c r="D583" i="17"/>
  <c r="C554" i="17"/>
  <c r="D486" i="17"/>
  <c r="D422" i="17"/>
  <c r="C460" i="17"/>
  <c r="C536" i="17"/>
  <c r="D458" i="17"/>
  <c r="C528" i="17"/>
  <c r="C464" i="17"/>
  <c r="C396" i="17"/>
  <c r="C371" i="17"/>
  <c r="D243" i="17"/>
  <c r="D115" i="17"/>
  <c r="C555" i="17"/>
  <c r="C604" i="17"/>
  <c r="C558" i="17"/>
  <c r="D424" i="17"/>
  <c r="C398" i="17"/>
  <c r="C373" i="17"/>
  <c r="D279" i="17"/>
  <c r="C538" i="17"/>
  <c r="D313" i="17"/>
  <c r="C605" i="17"/>
  <c r="C439" i="17"/>
  <c r="D388" i="17"/>
  <c r="C132" i="17"/>
  <c r="C42" i="17"/>
  <c r="D528" i="17"/>
  <c r="D503" i="17"/>
  <c r="D375" i="17"/>
  <c r="D334" i="17"/>
  <c r="D282" i="17"/>
  <c r="C96" i="17"/>
  <c r="D126" i="17"/>
  <c r="D236" i="17"/>
  <c r="C45" i="17"/>
  <c r="C189" i="17"/>
  <c r="C304" i="17"/>
  <c r="D157" i="17"/>
  <c r="C272" i="17"/>
  <c r="D425" i="17"/>
  <c r="C297" i="17"/>
  <c r="D577" i="17"/>
  <c r="C275" i="17"/>
  <c r="C548" i="17"/>
  <c r="C417" i="17"/>
  <c r="D125" i="17"/>
  <c r="C507" i="17"/>
  <c r="D441" i="17"/>
  <c r="D416" i="17"/>
  <c r="C288" i="17"/>
  <c r="C160" i="17"/>
  <c r="C237" i="17"/>
  <c r="C14" i="17"/>
  <c r="C93" i="17"/>
  <c r="D63" i="17"/>
  <c r="D188" i="17"/>
  <c r="C75" i="17"/>
  <c r="D45" i="17"/>
  <c r="D206" i="17"/>
  <c r="D46" i="17"/>
  <c r="C16" i="17"/>
  <c r="C235" i="17"/>
  <c r="C158" i="17"/>
  <c r="C286" i="17"/>
  <c r="D390" i="17"/>
  <c r="D351" i="17"/>
  <c r="D415" i="17"/>
  <c r="D479" i="17"/>
  <c r="C441" i="17"/>
  <c r="C505" i="17"/>
  <c r="D68" i="17"/>
  <c r="C90" i="17"/>
  <c r="C161" i="17"/>
  <c r="D288" i="17"/>
  <c r="C212" i="17"/>
  <c r="D340" i="17"/>
  <c r="D365" i="17"/>
  <c r="D493" i="17"/>
  <c r="C520" i="17"/>
  <c r="C577" i="17"/>
  <c r="D137" i="17"/>
  <c r="D265" i="17"/>
  <c r="C338" i="17"/>
  <c r="D492" i="17"/>
  <c r="D521" i="17"/>
  <c r="D119" i="17"/>
  <c r="D247" i="17"/>
  <c r="C375" i="17"/>
  <c r="C400" i="17"/>
  <c r="C544" i="17"/>
  <c r="C365" i="17"/>
  <c r="C397" i="17"/>
  <c r="C326" i="17"/>
  <c r="C358" i="17"/>
  <c r="C390" i="17"/>
  <c r="C422" i="17"/>
  <c r="C454" i="17"/>
  <c r="C486" i="17"/>
  <c r="C518" i="17"/>
  <c r="D448" i="17"/>
  <c r="D480" i="17"/>
  <c r="D512" i="17"/>
  <c r="C543" i="17"/>
  <c r="C526" i="17"/>
  <c r="D571" i="17"/>
  <c r="D564" i="17"/>
  <c r="C596" i="17"/>
  <c r="D608" i="17"/>
  <c r="C572" i="17"/>
  <c r="D541" i="17"/>
  <c r="C547" i="17"/>
  <c r="C579" i="17"/>
  <c r="D611" i="17"/>
  <c r="C279" i="17"/>
  <c r="C311" i="17"/>
  <c r="D139" i="17"/>
  <c r="D171" i="17"/>
  <c r="D203" i="17"/>
  <c r="D235" i="17"/>
  <c r="D267" i="17"/>
  <c r="D299" i="17"/>
  <c r="C331" i="17"/>
  <c r="C363" i="17"/>
  <c r="C395" i="17"/>
  <c r="C324" i="17"/>
  <c r="C356" i="17"/>
  <c r="C388" i="17"/>
  <c r="D127" i="17"/>
  <c r="D348" i="17"/>
  <c r="D342" i="17"/>
  <c r="C310" i="17"/>
  <c r="C278" i="17"/>
  <c r="C246" i="17"/>
  <c r="C214" i="17"/>
  <c r="C182" i="17"/>
  <c r="C150" i="17"/>
  <c r="C118" i="17"/>
  <c r="D290" i="17"/>
  <c r="C259" i="17"/>
  <c r="C227" i="17"/>
  <c r="C195" i="17"/>
  <c r="C163" i="17"/>
  <c r="C131" i="17"/>
  <c r="C24" i="17"/>
  <c r="C56" i="17"/>
  <c r="C88" i="17"/>
  <c r="D22" i="17"/>
  <c r="D54" i="17"/>
  <c r="D86" i="17"/>
  <c r="D262" i="17"/>
  <c r="D230" i="17"/>
  <c r="D198" i="17"/>
  <c r="D166" i="17"/>
  <c r="D134" i="17"/>
  <c r="D21" i="17"/>
  <c r="D53" i="17"/>
  <c r="D85" i="17"/>
  <c r="C19" i="17"/>
  <c r="C51" i="17"/>
  <c r="C83" i="17"/>
  <c r="D104" i="17"/>
  <c r="D244" i="17"/>
  <c r="D212" i="17"/>
  <c r="D180" i="17"/>
  <c r="D148" i="17"/>
  <c r="D116" i="17"/>
  <c r="D39" i="17"/>
  <c r="D71" i="17"/>
  <c r="D103" i="17"/>
  <c r="C37" i="17"/>
  <c r="C69" i="17"/>
  <c r="C101" i="17"/>
  <c r="C102" i="17"/>
  <c r="C70" i="17"/>
  <c r="C38" i="17"/>
  <c r="C117" i="17"/>
  <c r="C149" i="17"/>
  <c r="C181" i="17"/>
  <c r="C213" i="17"/>
  <c r="C245" i="17"/>
  <c r="D276" i="17"/>
  <c r="D308" i="17"/>
  <c r="C136" i="17"/>
  <c r="C168" i="17"/>
  <c r="C200" i="17"/>
  <c r="C232" i="17"/>
  <c r="C264" i="17"/>
  <c r="C296" i="17"/>
  <c r="D328" i="17"/>
  <c r="D360" i="17"/>
  <c r="D392" i="17"/>
  <c r="D321" i="17"/>
  <c r="D353" i="17"/>
  <c r="D385" i="17"/>
  <c r="D417" i="17"/>
  <c r="D449" i="17"/>
  <c r="D481" i="17"/>
  <c r="D513" i="17"/>
  <c r="C459" i="17"/>
  <c r="D522" i="17"/>
  <c r="D543" i="17"/>
  <c r="C581" i="17"/>
  <c r="C281" i="17"/>
  <c r="D141" i="17"/>
  <c r="D205" i="17"/>
  <c r="D269" i="17"/>
  <c r="C333" i="17"/>
  <c r="C346" i="17"/>
  <c r="C474" i="17"/>
  <c r="D500" i="17"/>
  <c r="D552" i="17"/>
  <c r="D529" i="17"/>
  <c r="C611" i="17"/>
  <c r="C319" i="17"/>
  <c r="C488" i="17"/>
  <c r="C482" i="17"/>
  <c r="D501" i="17"/>
  <c r="C151" i="17"/>
  <c r="D331" i="17"/>
  <c r="D159" i="17"/>
  <c r="D287" i="17"/>
  <c r="C415" i="17"/>
  <c r="C440" i="17"/>
  <c r="C504" i="17"/>
  <c r="D560" i="17"/>
  <c r="C450" i="17"/>
  <c r="D526" i="17"/>
  <c r="C156" i="17"/>
  <c r="C202" i="17"/>
  <c r="D507" i="17"/>
  <c r="D199" i="17"/>
  <c r="D508" i="17"/>
  <c r="D295" i="17"/>
  <c r="C337" i="17"/>
  <c r="C285" i="17"/>
  <c r="C463" i="17"/>
  <c r="D412" i="17"/>
  <c r="C233" i="17"/>
  <c r="D483" i="17"/>
  <c r="D278" i="17"/>
  <c r="D136" i="17"/>
  <c r="D302" i="17"/>
  <c r="D225" i="17"/>
  <c r="D427" i="17"/>
  <c r="D296" i="17"/>
  <c r="C82" i="17"/>
  <c r="C445" i="17"/>
  <c r="D394" i="17"/>
  <c r="C138" i="17"/>
  <c r="C68" i="17"/>
  <c r="D264" i="17"/>
  <c r="C613" i="17"/>
  <c r="D354" i="17"/>
  <c r="D256" i="17"/>
  <c r="C127" i="17"/>
  <c r="C23" i="17"/>
  <c r="D96" i="17"/>
  <c r="D515" i="17"/>
  <c r="D387" i="17"/>
  <c r="D362" i="17"/>
  <c r="C234" i="17"/>
  <c r="D310" i="17"/>
  <c r="C183" i="17"/>
  <c r="D34" i="17"/>
  <c r="D33" i="17"/>
  <c r="D200" i="17"/>
  <c r="C81" i="17"/>
  <c r="C447" i="17"/>
  <c r="D532" i="17"/>
  <c r="C226" i="17"/>
  <c r="D106" i="17"/>
  <c r="D128" i="17"/>
  <c r="C485" i="17"/>
  <c r="D226" i="17"/>
  <c r="D312" i="17"/>
  <c r="C514" i="17"/>
  <c r="D389" i="17"/>
  <c r="C100" i="17"/>
  <c r="D250" i="17"/>
  <c r="D122" i="17"/>
  <c r="C31" i="17"/>
  <c r="D232" i="17"/>
  <c r="D19" i="17"/>
  <c r="C49" i="17"/>
  <c r="C539" i="17"/>
  <c r="D531" i="17"/>
  <c r="C268" i="17"/>
  <c r="D40" i="17"/>
  <c r="D443" i="17"/>
  <c r="C290" i="17"/>
  <c r="C239" i="17"/>
  <c r="D42" i="17"/>
  <c r="D41" i="17"/>
  <c r="D192" i="17"/>
  <c r="C89" i="17"/>
  <c r="D581" i="17"/>
  <c r="D24" i="17"/>
  <c r="C306" i="17"/>
  <c r="D26" i="17"/>
  <c r="D208" i="17"/>
  <c r="D517" i="17"/>
  <c r="C210" i="17"/>
  <c r="D112" i="17"/>
  <c r="C223" i="17"/>
  <c r="C28" i="17"/>
  <c r="C453" i="17"/>
  <c r="C87" i="17"/>
  <c r="D161" i="17"/>
  <c r="D58" i="17"/>
  <c r="D56" i="17"/>
  <c r="C41" i="17"/>
  <c r="D130" i="17"/>
  <c r="D286" i="17"/>
  <c r="D491" i="17"/>
  <c r="D364" i="17"/>
  <c r="C307" i="17"/>
  <c r="D144" i="17"/>
  <c r="D89" i="17"/>
  <c r="D90" i="17"/>
  <c r="C191" i="17"/>
  <c r="C242" i="17"/>
  <c r="D395" i="17"/>
  <c r="D88" i="17"/>
  <c r="C172" i="17"/>
  <c r="C479" i="17"/>
  <c r="C361" i="17"/>
  <c r="C623" i="17"/>
  <c r="D91" i="17"/>
  <c r="D160" i="17"/>
  <c r="C103" i="17"/>
  <c r="D73" i="17"/>
  <c r="D178" i="17"/>
  <c r="D74" i="17"/>
  <c r="C44" i="17"/>
  <c r="C207" i="17"/>
  <c r="C130" i="17"/>
  <c r="C258" i="17"/>
  <c r="D386" i="17"/>
  <c r="D411" i="17"/>
  <c r="C437" i="17"/>
  <c r="D72" i="17"/>
  <c r="C153" i="17"/>
  <c r="C204" i="17"/>
  <c r="D357" i="17"/>
  <c r="C511" i="17"/>
  <c r="D129" i="17"/>
  <c r="C386" i="17"/>
  <c r="C384" i="17"/>
  <c r="C65" i="17"/>
  <c r="D99" i="17"/>
  <c r="D35" i="17"/>
  <c r="D152" i="17"/>
  <c r="D216" i="17"/>
  <c r="D100" i="17"/>
  <c r="C47" i="17"/>
  <c r="D81" i="17"/>
  <c r="D17" i="17"/>
  <c r="D170" i="17"/>
  <c r="D234" i="17"/>
  <c r="D82" i="17"/>
  <c r="D18" i="17"/>
  <c r="C52" i="17"/>
  <c r="C135" i="17"/>
  <c r="C199" i="17"/>
  <c r="C263" i="17"/>
  <c r="C122" i="17"/>
  <c r="C186" i="17"/>
  <c r="C250" i="17"/>
  <c r="C314" i="17"/>
  <c r="D378" i="17"/>
  <c r="D339" i="17"/>
  <c r="D403" i="17"/>
  <c r="D467" i="17"/>
  <c r="C429" i="17"/>
  <c r="C493" i="17"/>
  <c r="D80" i="17"/>
  <c r="D16" i="17"/>
  <c r="C137" i="17"/>
  <c r="C265" i="17"/>
  <c r="C188" i="17"/>
  <c r="D316" i="17"/>
  <c r="D341" i="17"/>
  <c r="D469" i="17"/>
  <c r="C495" i="17"/>
  <c r="C553" i="17"/>
  <c r="D113" i="17"/>
  <c r="D241" i="17"/>
  <c r="C322" i="17"/>
  <c r="C564" i="17"/>
  <c r="C320" i="17"/>
  <c r="C418" i="17"/>
  <c r="C522" i="17"/>
  <c r="C575" i="17"/>
  <c r="D263" i="17"/>
  <c r="C416" i="17"/>
  <c r="C578" i="17"/>
  <c r="C456" i="17"/>
  <c r="C392" i="17"/>
  <c r="C328" i="17"/>
  <c r="C367" i="17"/>
  <c r="D303" i="17"/>
  <c r="D239" i="17"/>
  <c r="D175" i="17"/>
  <c r="D111" i="17"/>
  <c r="C632" i="17"/>
  <c r="C551" i="17"/>
  <c r="C580" i="17"/>
  <c r="C600" i="17"/>
  <c r="D579" i="17"/>
  <c r="C550" i="17"/>
  <c r="D484" i="17"/>
  <c r="D420" i="17"/>
  <c r="C458" i="17"/>
  <c r="C394" i="17"/>
  <c r="C330" i="17"/>
  <c r="C369" i="17"/>
  <c r="C325" i="17"/>
  <c r="D293" i="17"/>
  <c r="D261" i="17"/>
  <c r="D229" i="17"/>
  <c r="D197" i="17"/>
  <c r="D165" i="17"/>
  <c r="D133" i="17"/>
  <c r="C305" i="17"/>
  <c r="C273" i="17"/>
  <c r="D605" i="17"/>
  <c r="C573" i="17"/>
  <c r="D589" i="17"/>
  <c r="D535" i="17"/>
  <c r="C560" i="17"/>
  <c r="C515" i="17"/>
  <c r="C483" i="17"/>
  <c r="C451" i="17"/>
  <c r="D231" i="17"/>
  <c r="D555" i="17"/>
  <c r="C368" i="17"/>
  <c r="D558" i="17"/>
  <c r="C370" i="17"/>
  <c r="C144" i="17"/>
  <c r="D506" i="17"/>
  <c r="C556" i="17"/>
  <c r="D153" i="17"/>
  <c r="D398" i="17"/>
  <c r="C419" i="17"/>
  <c r="D478" i="17"/>
  <c r="D442" i="17"/>
  <c r="C355" i="17"/>
  <c r="D588" i="17"/>
  <c r="C357" i="17"/>
  <c r="C593" i="17"/>
  <c r="C74" i="17"/>
  <c r="C302" i="17"/>
  <c r="D204" i="17"/>
  <c r="D285" i="17"/>
  <c r="C540" i="17"/>
  <c r="D462" i="17"/>
  <c r="D590" i="17"/>
  <c r="C512" i="17"/>
  <c r="C436" i="17"/>
  <c r="C323" i="17"/>
  <c r="C271" i="17"/>
  <c r="D556" i="17"/>
  <c r="C478" i="17"/>
  <c r="D466" i="17"/>
  <c r="C498" i="17"/>
  <c r="D565" i="17"/>
  <c r="C292" i="17"/>
  <c r="D28" i="17"/>
  <c r="D455" i="17"/>
  <c r="C238" i="17"/>
  <c r="D140" i="17"/>
  <c r="C531" i="17"/>
  <c r="C532" i="17"/>
  <c r="D454" i="17"/>
  <c r="D574" i="17"/>
  <c r="A622" i="17"/>
  <c r="C428" i="17"/>
  <c r="D307" i="17"/>
  <c r="C599" i="17"/>
  <c r="D587" i="17"/>
  <c r="C462" i="17"/>
  <c r="C432" i="17"/>
  <c r="C434" i="17"/>
  <c r="D523" i="17"/>
  <c r="C260" i="17"/>
  <c r="D44" i="17"/>
  <c r="D439" i="17"/>
  <c r="C206" i="17"/>
  <c r="D254" i="17"/>
  <c r="D15" i="17"/>
  <c r="C112" i="17"/>
  <c r="C383" i="17"/>
  <c r="C475" i="17"/>
  <c r="D355" i="17"/>
  <c r="D468" i="17"/>
  <c r="C565" i="17"/>
  <c r="D377" i="17"/>
  <c r="C224" i="17"/>
  <c r="C173" i="17"/>
  <c r="C29" i="17"/>
  <c r="D252" i="17"/>
  <c r="D142" i="17"/>
  <c r="C80" i="17"/>
  <c r="D298" i="17"/>
  <c r="D350" i="17"/>
  <c r="D383" i="17"/>
  <c r="D511" i="17"/>
  <c r="D540" i="17"/>
  <c r="C26" i="17"/>
  <c r="C148" i="17"/>
  <c r="D404" i="17"/>
  <c r="C455" i="17"/>
  <c r="C277" i="17"/>
  <c r="C329" i="17"/>
  <c r="D595" i="17"/>
  <c r="D183" i="17"/>
  <c r="C336" i="17"/>
  <c r="C349" i="17"/>
  <c r="C413" i="17"/>
  <c r="C374" i="17"/>
  <c r="C438" i="17"/>
  <c r="C502" i="17"/>
  <c r="D464" i="17"/>
  <c r="C527" i="17"/>
  <c r="C542" i="17"/>
  <c r="D580" i="17"/>
  <c r="D542" i="17"/>
  <c r="D569" i="17"/>
  <c r="C595" i="17"/>
  <c r="C295" i="17"/>
  <c r="D155" i="17"/>
  <c r="D219" i="17"/>
  <c r="D283" i="17"/>
  <c r="C347" i="17"/>
  <c r="C411" i="17"/>
  <c r="C372" i="17"/>
  <c r="D550" i="17"/>
  <c r="D326" i="17"/>
  <c r="C262" i="17"/>
  <c r="C198" i="17"/>
  <c r="C134" i="17"/>
  <c r="D274" i="17"/>
  <c r="C211" i="17"/>
  <c r="C147" i="17"/>
  <c r="C40" i="17"/>
  <c r="C104" i="17"/>
  <c r="D70" i="17"/>
  <c r="D246" i="17"/>
  <c r="D182" i="17"/>
  <c r="D118" i="17"/>
  <c r="D69" i="17"/>
  <c r="C35" i="17"/>
  <c r="C99" i="17"/>
  <c r="D228" i="17"/>
  <c r="D164" i="17"/>
  <c r="D23" i="17"/>
  <c r="D87" i="17"/>
  <c r="C53" i="17"/>
  <c r="C626" i="17"/>
  <c r="C54" i="17"/>
  <c r="C133" i="17"/>
  <c r="C197" i="17"/>
  <c r="C261" i="17"/>
  <c r="C120" i="17"/>
  <c r="C184" i="17"/>
  <c r="C248" i="17"/>
  <c r="C312" i="17"/>
  <c r="D376" i="17"/>
  <c r="D337" i="17"/>
  <c r="D401" i="17"/>
  <c r="D465" i="17"/>
  <c r="C427" i="17"/>
  <c r="C576" i="17"/>
  <c r="D613" i="17"/>
  <c r="D173" i="17"/>
  <c r="D301" i="17"/>
  <c r="C410" i="17"/>
  <c r="C582" i="17"/>
  <c r="C567" i="17"/>
  <c r="C344" i="17"/>
  <c r="D273" i="17"/>
  <c r="D146" i="17"/>
  <c r="D223" i="17"/>
  <c r="C376" i="17"/>
  <c r="C327" i="17"/>
  <c r="D145" i="17"/>
  <c r="C509" i="17"/>
  <c r="D363" i="17"/>
  <c r="C354" i="17"/>
  <c r="D209" i="17"/>
  <c r="D437" i="17"/>
  <c r="D32" i="17"/>
  <c r="D98" i="17"/>
  <c r="C25" i="17"/>
  <c r="C220" i="17"/>
  <c r="D64" i="17"/>
  <c r="C266" i="17"/>
  <c r="D154" i="17"/>
  <c r="C34" i="17"/>
  <c r="C249" i="17"/>
  <c r="C185" i="17"/>
  <c r="D451" i="17"/>
  <c r="C298" i="17"/>
  <c r="C247" i="17"/>
  <c r="D218" i="17"/>
  <c r="D51" i="17"/>
  <c r="C140" i="17"/>
  <c r="C175" i="17"/>
  <c r="D453" i="17"/>
  <c r="D43" i="17"/>
  <c r="D57" i="17"/>
  <c r="D66" i="17"/>
  <c r="D65" i="17"/>
  <c r="D168" i="17"/>
  <c r="D626" i="17"/>
  <c r="D421" i="17"/>
  <c r="C469" i="17"/>
  <c r="C162" i="17"/>
  <c r="D210" i="17"/>
  <c r="D59" i="17"/>
  <c r="C300" i="17"/>
  <c r="C255" i="17"/>
  <c r="C73" i="17"/>
  <c r="D258" i="17"/>
  <c r="C105" i="17"/>
  <c r="C146" i="17"/>
  <c r="D176" i="17"/>
  <c r="C552" i="17"/>
  <c r="C92" i="17"/>
  <c r="C66" i="17"/>
  <c r="D107" i="17"/>
  <c r="D162" i="17"/>
  <c r="C114" i="17"/>
  <c r="C421" i="17"/>
  <c r="D325" i="17"/>
  <c r="C359" i="17"/>
  <c r="D27" i="17"/>
  <c r="C39" i="17"/>
  <c r="D242" i="17"/>
  <c r="C143" i="17"/>
  <c r="C194" i="17"/>
  <c r="D347" i="17"/>
  <c r="C501" i="17"/>
  <c r="D280" i="17"/>
  <c r="D485" i="17"/>
  <c r="D257" i="17"/>
  <c r="C97" i="17"/>
  <c r="D67" i="17"/>
  <c r="D184" i="17"/>
  <c r="C79" i="17"/>
  <c r="D49" i="17"/>
  <c r="D202" i="17"/>
  <c r="D50" i="17"/>
  <c r="C20" i="17"/>
  <c r="C231" i="17"/>
  <c r="C154" i="17"/>
  <c r="C282" i="17"/>
  <c r="D410" i="17"/>
  <c r="D435" i="17"/>
  <c r="C461" i="17"/>
  <c r="D48" i="17"/>
  <c r="C201" i="17"/>
  <c r="C252" i="17"/>
  <c r="D405" i="17"/>
  <c r="C584" i="17"/>
  <c r="D177" i="17"/>
  <c r="D476" i="17"/>
  <c r="C393" i="17"/>
  <c r="D604" i="17"/>
  <c r="C391" i="17"/>
  <c r="D434" i="17"/>
  <c r="C360" i="17"/>
  <c r="C335" i="17"/>
  <c r="D207" i="17"/>
  <c r="C283" i="17"/>
  <c r="D545" i="17"/>
  <c r="D568" i="17"/>
  <c r="D516" i="17"/>
  <c r="C490" i="17"/>
  <c r="C362" i="17"/>
  <c r="C341" i="17"/>
  <c r="D277" i="17"/>
  <c r="D213" i="17"/>
  <c r="D149" i="17"/>
  <c r="C289" i="17"/>
  <c r="C589" i="17"/>
  <c r="D557" i="17"/>
  <c r="D530" i="17"/>
  <c r="C467" i="17"/>
  <c r="D94" i="17"/>
  <c r="D284" i="17"/>
  <c r="D570" i="17"/>
  <c r="D518" i="17"/>
  <c r="C492" i="17"/>
  <c r="C521" i="17"/>
  <c r="D450" i="17"/>
  <c r="C332" i="17"/>
  <c r="D179" i="17"/>
  <c r="C588" i="17"/>
  <c r="D488" i="17"/>
  <c r="C334" i="17"/>
  <c r="C591" i="17"/>
  <c r="D185" i="17"/>
  <c r="D413" i="17"/>
  <c r="C209" i="17"/>
  <c r="C465" i="17"/>
  <c r="D414" i="17"/>
  <c r="C155" i="17"/>
  <c r="C27" i="17"/>
  <c r="C62" i="17"/>
  <c r="D457" i="17"/>
  <c r="D400" i="17"/>
  <c r="C353" i="17"/>
  <c r="D255" i="17"/>
  <c r="D253" i="17"/>
  <c r="D505" i="17"/>
  <c r="D352" i="17"/>
  <c r="D300" i="17"/>
  <c r="C78" i="17"/>
  <c r="D124" i="17"/>
  <c r="D109" i="17"/>
  <c r="D110" i="17"/>
  <c r="C171" i="17"/>
  <c r="C222" i="17"/>
  <c r="D319" i="17"/>
  <c r="D447" i="17"/>
  <c r="C473" i="17"/>
  <c r="D36" i="17"/>
  <c r="C225" i="17"/>
  <c r="C276" i="17"/>
  <c r="D429" i="17"/>
  <c r="D539" i="17"/>
  <c r="D201" i="17"/>
  <c r="C466" i="17"/>
  <c r="C603" i="17"/>
  <c r="D311" i="17"/>
  <c r="C472" i="17"/>
  <c r="C381" i="17"/>
  <c r="C342" i="17"/>
  <c r="C406" i="17"/>
  <c r="C470" i="17"/>
  <c r="D432" i="17"/>
  <c r="D496" i="17"/>
  <c r="C574" i="17"/>
  <c r="D548" i="17"/>
  <c r="C612" i="17"/>
  <c r="D525" i="17"/>
  <c r="C563" i="17"/>
  <c r="C607" i="17"/>
  <c r="D123" i="17"/>
  <c r="D187" i="17"/>
  <c r="D251" i="17"/>
  <c r="C315" i="17"/>
  <c r="C379" i="17"/>
  <c r="C340" i="17"/>
  <c r="D584" i="17"/>
  <c r="D358" i="17"/>
  <c r="C294" i="17"/>
  <c r="C230" i="17"/>
  <c r="C166" i="17"/>
  <c r="D306" i="17"/>
  <c r="C243" i="17"/>
  <c r="C179" i="17"/>
  <c r="C115" i="17"/>
  <c r="C72" i="17"/>
  <c r="D38" i="17"/>
  <c r="D102" i="17"/>
  <c r="D214" i="17"/>
  <c r="D150" i="17"/>
  <c r="D37" i="17"/>
  <c r="D101" i="17"/>
  <c r="C67" i="17"/>
  <c r="D260" i="17"/>
  <c r="D196" i="17"/>
  <c r="D132" i="17"/>
  <c r="D55" i="17"/>
  <c r="C21" i="17"/>
  <c r="C85" i="17"/>
  <c r="C86" i="17"/>
  <c r="C22" i="17"/>
  <c r="C165" i="17"/>
  <c r="C229" i="17"/>
  <c r="D292" i="17"/>
  <c r="C152" i="17"/>
  <c r="C216" i="17"/>
  <c r="C280" i="17"/>
  <c r="D344" i="17"/>
  <c r="D408" i="17"/>
  <c r="D369" i="17"/>
  <c r="D433" i="17"/>
  <c r="D497" i="17"/>
  <c r="C491" i="17"/>
  <c r="C549" i="17"/>
  <c r="C313" i="17"/>
  <c r="D237" i="17"/>
  <c r="C385" i="17"/>
  <c r="D436" i="17"/>
  <c r="D596" i="17"/>
  <c r="D191" i="17"/>
  <c r="C352" i="17"/>
  <c r="C18" i="17"/>
  <c r="C299" i="17"/>
  <c r="C351" i="17"/>
  <c r="D498" i="17"/>
  <c r="C448" i="17"/>
  <c r="D373" i="17"/>
  <c r="D97" i="17"/>
  <c r="D537" i="17"/>
  <c r="D563" i="17"/>
  <c r="D549" i="17"/>
  <c r="C284" i="17"/>
  <c r="D330" i="17"/>
  <c r="D396" i="17"/>
  <c r="C55" i="17"/>
  <c r="C169" i="17"/>
  <c r="D419" i="17"/>
  <c r="C215" i="17"/>
  <c r="C17" i="17"/>
  <c r="C76" i="17"/>
  <c r="D289" i="17"/>
  <c r="C477" i="17"/>
  <c r="D323" i="17"/>
  <c r="C170" i="17"/>
  <c r="C119" i="17"/>
  <c r="C63" i="17"/>
  <c r="C321" i="17"/>
  <c r="D379" i="17"/>
  <c r="D105" i="17"/>
  <c r="C178" i="17"/>
  <c r="C159" i="17"/>
  <c r="C36" i="17"/>
  <c r="D186" i="17"/>
  <c r="C95" i="17"/>
  <c r="D83" i="17"/>
  <c r="D193" i="17"/>
  <c r="C217" i="17"/>
  <c r="D315" i="17"/>
  <c r="C111" i="17"/>
  <c r="C71" i="17"/>
  <c r="D592" i="17"/>
  <c r="D459" i="17"/>
  <c r="D25" i="17"/>
  <c r="C517" i="17"/>
  <c r="C236" i="17"/>
  <c r="C529" i="17"/>
  <c r="D402" i="17"/>
  <c r="C274" i="17"/>
  <c r="D240" i="17"/>
  <c r="D338" i="17"/>
  <c r="D601" i="17"/>
  <c r="D108" i="17"/>
  <c r="C60" i="17"/>
  <c r="D370" i="17"/>
  <c r="C121" i="17"/>
  <c r="C301" i="17"/>
  <c r="C57" i="17"/>
  <c r="D224" i="17"/>
  <c r="D114" i="17"/>
  <c r="C108" i="17"/>
  <c r="D270" i="17"/>
  <c r="D322" i="17"/>
  <c r="D475" i="17"/>
  <c r="C98" i="17"/>
  <c r="D332" i="17"/>
  <c r="C569" i="17"/>
  <c r="D593" i="17"/>
  <c r="C33" i="17"/>
  <c r="D120" i="17"/>
  <c r="D248" i="17"/>
  <c r="C15" i="17"/>
  <c r="D138" i="17"/>
  <c r="D266" i="17"/>
  <c r="C84" i="17"/>
  <c r="C167" i="17"/>
  <c r="D294" i="17"/>
  <c r="C218" i="17"/>
  <c r="D346" i="17"/>
  <c r="D371" i="17"/>
  <c r="D499" i="17"/>
  <c r="D524" i="17"/>
  <c r="C50" i="17"/>
  <c r="C124" i="17"/>
  <c r="D380" i="17"/>
  <c r="C431" i="17"/>
  <c r="C597" i="17"/>
  <c r="D305" i="17"/>
  <c r="D167" i="17"/>
  <c r="D444" i="17"/>
  <c r="D135" i="17"/>
  <c r="D623" i="17"/>
  <c r="C424" i="17"/>
  <c r="C399" i="17"/>
  <c r="D271" i="17"/>
  <c r="D143" i="17"/>
  <c r="C583" i="17"/>
  <c r="D612" i="17"/>
  <c r="C530" i="17"/>
  <c r="D452" i="17"/>
  <c r="C426" i="17"/>
  <c r="C401" i="17"/>
  <c r="D309" i="17"/>
  <c r="D245" i="17"/>
  <c r="D181" i="17"/>
  <c r="D117" i="17"/>
  <c r="C601" i="17"/>
  <c r="C557" i="17"/>
  <c r="C592" i="17"/>
  <c r="C499" i="17"/>
  <c r="C435" i="17"/>
  <c r="O13" i="8"/>
  <c r="B462" i="2" s="1"/>
  <c r="BJ26" i="20" l="1"/>
  <c r="BF26" i="20"/>
  <c r="BB26" i="20"/>
  <c r="BD26" i="20" s="1"/>
  <c r="BH26" i="20" s="1"/>
  <c r="BK26" i="20"/>
  <c r="BH109" i="20"/>
  <c r="B458" i="2" s="1"/>
  <c r="H3" i="20"/>
  <c r="BB33" i="20"/>
  <c r="BD33" i="20" s="1"/>
  <c r="BH33" i="20" s="1"/>
  <c r="BJ33" i="20"/>
  <c r="G622" i="17"/>
  <c r="H622" i="17"/>
  <c r="F622" i="17"/>
  <c r="E622" i="17"/>
  <c r="D622" i="17"/>
  <c r="C622" i="17"/>
  <c r="G4" i="8"/>
  <c r="O14" i="8" s="1"/>
  <c r="E31" i="1" s="1"/>
  <c r="B140" i="2" l="1"/>
  <c r="O6" i="8"/>
  <c r="B463" i="2" s="1"/>
  <c r="B461" i="2" l="1"/>
  <c r="A461" i="2" l="1"/>
  <c r="D71" i="16"/>
  <c r="E70" i="1" l="1"/>
  <c r="D65" i="16"/>
  <c r="C637" i="17" l="1"/>
  <c r="A628" i="17"/>
  <c r="O622" i="17"/>
  <c r="P623" i="17"/>
  <c r="P622" i="17"/>
  <c r="AB622" i="17" s="1"/>
  <c r="O626" i="17"/>
  <c r="AA626" i="17" s="1"/>
  <c r="O623" i="17"/>
  <c r="AA623" i="17" s="1"/>
  <c r="P626" i="17"/>
  <c r="AB626" i="17" s="1"/>
  <c r="N4" i="17"/>
  <c r="P573" i="17" s="1"/>
  <c r="AB573" i="17" s="1"/>
  <c r="B78" i="1"/>
  <c r="N7" i="8"/>
  <c r="O7" i="8" s="1"/>
  <c r="G628" i="17" l="1"/>
  <c r="H628" i="17"/>
  <c r="AA622" i="17"/>
  <c r="E632" i="17" s="1"/>
  <c r="AB623" i="17"/>
  <c r="D628" i="17"/>
  <c r="F628" i="17"/>
  <c r="P628" i="17"/>
  <c r="C628" i="17"/>
  <c r="E628" i="17"/>
  <c r="O628" i="17"/>
  <c r="E636" i="17"/>
  <c r="N27" i="8"/>
  <c r="O27" i="8"/>
  <c r="C78" i="1" s="1"/>
  <c r="D78" i="1" s="1"/>
  <c r="O74" i="17"/>
  <c r="AA74" i="17" s="1"/>
  <c r="O121" i="17"/>
  <c r="AA121" i="17" s="1"/>
  <c r="O106" i="17"/>
  <c r="AA106" i="17" s="1"/>
  <c r="O90" i="17"/>
  <c r="AA90" i="17" s="1"/>
  <c r="O17" i="17"/>
  <c r="AA17" i="17" s="1"/>
  <c r="O81" i="17"/>
  <c r="AA81" i="17" s="1"/>
  <c r="O101" i="17"/>
  <c r="AA101" i="17" s="1"/>
  <c r="O58" i="17"/>
  <c r="AA58" i="17" s="1"/>
  <c r="O42" i="17"/>
  <c r="AA42" i="17" s="1"/>
  <c r="O26" i="17"/>
  <c r="AA26" i="17" s="1"/>
  <c r="O49" i="17"/>
  <c r="AA49" i="17" s="1"/>
  <c r="O69" i="17"/>
  <c r="AA69" i="17" s="1"/>
  <c r="O236" i="17"/>
  <c r="AA236" i="17" s="1"/>
  <c r="O300" i="17"/>
  <c r="AA300" i="17" s="1"/>
  <c r="O217" i="17"/>
  <c r="AA217" i="17" s="1"/>
  <c r="O281" i="17"/>
  <c r="AA281" i="17" s="1"/>
  <c r="O140" i="17"/>
  <c r="AA140" i="17" s="1"/>
  <c r="O70" i="17"/>
  <c r="AA70" i="17" s="1"/>
  <c r="O41" i="17"/>
  <c r="AA41" i="17" s="1"/>
  <c r="O105" i="17"/>
  <c r="AA105" i="17" s="1"/>
  <c r="O45" i="17"/>
  <c r="AA45" i="17" s="1"/>
  <c r="O77" i="17"/>
  <c r="AA77" i="17" s="1"/>
  <c r="O173" i="17"/>
  <c r="AA173" i="17" s="1"/>
  <c r="O237" i="17"/>
  <c r="AA237" i="17" s="1"/>
  <c r="O301" i="17"/>
  <c r="AA301" i="17" s="1"/>
  <c r="O160" i="17"/>
  <c r="AA160" i="17" s="1"/>
  <c r="O338" i="17"/>
  <c r="AA338" i="17" s="1"/>
  <c r="O370" i="17"/>
  <c r="AA370" i="17" s="1"/>
  <c r="O402" i="17"/>
  <c r="AA402" i="17" s="1"/>
  <c r="O172" i="17"/>
  <c r="AA172" i="17" s="1"/>
  <c r="O204" i="17"/>
  <c r="AA204" i="17" s="1"/>
  <c r="O153" i="17"/>
  <c r="AA153" i="17" s="1"/>
  <c r="O38" i="17"/>
  <c r="AA38" i="17" s="1"/>
  <c r="O73" i="17"/>
  <c r="AA73" i="17" s="1"/>
  <c r="O141" i="17"/>
  <c r="AA141" i="17" s="1"/>
  <c r="O269" i="17"/>
  <c r="AA269" i="17" s="1"/>
  <c r="O319" i="17"/>
  <c r="AA319" i="17" s="1"/>
  <c r="O383" i="17"/>
  <c r="AA383" i="17" s="1"/>
  <c r="O180" i="17"/>
  <c r="AA180" i="17" s="1"/>
  <c r="O244" i="17"/>
  <c r="AA244" i="17" s="1"/>
  <c r="O308" i="17"/>
  <c r="AA308" i="17" s="1"/>
  <c r="O339" i="17"/>
  <c r="AA339" i="17" s="1"/>
  <c r="O403" i="17"/>
  <c r="AA403" i="17" s="1"/>
  <c r="O366" i="17"/>
  <c r="AA366" i="17" s="1"/>
  <c r="O169" i="17"/>
  <c r="AA169" i="17" s="1"/>
  <c r="O233" i="17"/>
  <c r="AA233" i="17" s="1"/>
  <c r="O132" i="17"/>
  <c r="AA132" i="17" s="1"/>
  <c r="O62" i="17"/>
  <c r="AA62" i="17" s="1"/>
  <c r="O232" i="17"/>
  <c r="AA232" i="17" s="1"/>
  <c r="O296" i="17"/>
  <c r="AA296" i="17" s="1"/>
  <c r="O322" i="17"/>
  <c r="AA322" i="17" s="1"/>
  <c r="O386" i="17"/>
  <c r="AA386" i="17" s="1"/>
  <c r="O438" i="17"/>
  <c r="AA438" i="17" s="1"/>
  <c r="O65" i="17"/>
  <c r="AA65" i="17" s="1"/>
  <c r="O85" i="17"/>
  <c r="AA85" i="17" s="1"/>
  <c r="O117" i="17"/>
  <c r="AA117" i="17" s="1"/>
  <c r="O149" i="17"/>
  <c r="AA149" i="17" s="1"/>
  <c r="O181" i="17"/>
  <c r="AA181" i="17" s="1"/>
  <c r="O213" i="17"/>
  <c r="AA213" i="17" s="1"/>
  <c r="O245" i="17"/>
  <c r="AA245" i="17" s="1"/>
  <c r="O277" i="17"/>
  <c r="AA277" i="17" s="1"/>
  <c r="O309" i="17"/>
  <c r="AA309" i="17" s="1"/>
  <c r="O136" i="17"/>
  <c r="AA136" i="17" s="1"/>
  <c r="O168" i="17"/>
  <c r="AA168" i="17" s="1"/>
  <c r="O184" i="17"/>
  <c r="AA184" i="17" s="1"/>
  <c r="O248" i="17"/>
  <c r="AA248" i="17" s="1"/>
  <c r="O312" i="17"/>
  <c r="AA312" i="17" s="1"/>
  <c r="O327" i="17"/>
  <c r="AA327" i="17" s="1"/>
  <c r="O359" i="17"/>
  <c r="AA359" i="17" s="1"/>
  <c r="O391" i="17"/>
  <c r="AA391" i="17" s="1"/>
  <c r="O407" i="17"/>
  <c r="AA407" i="17" s="1"/>
  <c r="O378" i="17"/>
  <c r="AA378" i="17" s="1"/>
  <c r="O188" i="17"/>
  <c r="AA188" i="17" s="1"/>
  <c r="O252" i="17"/>
  <c r="AA252" i="17" s="1"/>
  <c r="O331" i="17"/>
  <c r="AA331" i="17" s="1"/>
  <c r="O363" i="17"/>
  <c r="AA363" i="17" s="1"/>
  <c r="O395" i="17"/>
  <c r="AA395" i="17" s="1"/>
  <c r="O411" i="17"/>
  <c r="AA411" i="17" s="1"/>
  <c r="O326" i="17"/>
  <c r="AA326" i="17" s="1"/>
  <c r="O358" i="17"/>
  <c r="AA358" i="17" s="1"/>
  <c r="O390" i="17"/>
  <c r="AA390" i="17" s="1"/>
  <c r="O454" i="17"/>
  <c r="AA454" i="17" s="1"/>
  <c r="O249" i="17"/>
  <c r="AA249" i="17" s="1"/>
  <c r="O297" i="17"/>
  <c r="AA297" i="17" s="1"/>
  <c r="O22" i="17"/>
  <c r="AA22" i="17" s="1"/>
  <c r="O86" i="17"/>
  <c r="AA86" i="17" s="1"/>
  <c r="O192" i="17"/>
  <c r="AA192" i="17" s="1"/>
  <c r="O256" i="17"/>
  <c r="AA256" i="17" s="1"/>
  <c r="O415" i="17"/>
  <c r="AA415" i="17" s="1"/>
  <c r="O462" i="17"/>
  <c r="AA462" i="17" s="1"/>
  <c r="O57" i="17"/>
  <c r="AA57" i="17" s="1"/>
  <c r="O289" i="17"/>
  <c r="AA289" i="17" s="1"/>
  <c r="O14" i="17"/>
  <c r="AA14" i="17" s="1"/>
  <c r="O78" i="17"/>
  <c r="AA78" i="17" s="1"/>
  <c r="O93" i="17"/>
  <c r="AA93" i="17" s="1"/>
  <c r="O125" i="17"/>
  <c r="AA125" i="17" s="1"/>
  <c r="O189" i="17"/>
  <c r="AA189" i="17" s="1"/>
  <c r="O253" i="17"/>
  <c r="AA253" i="17" s="1"/>
  <c r="O112" i="17"/>
  <c r="AA112" i="17" s="1"/>
  <c r="O176" i="17"/>
  <c r="AA176" i="17" s="1"/>
  <c r="O208" i="17"/>
  <c r="AA208" i="17" s="1"/>
  <c r="O272" i="17"/>
  <c r="AA272" i="17" s="1"/>
  <c r="O367" i="17"/>
  <c r="AA367" i="17" s="1"/>
  <c r="O330" i="17"/>
  <c r="AA330" i="17" s="1"/>
  <c r="O394" i="17"/>
  <c r="AA394" i="17" s="1"/>
  <c r="O228" i="17"/>
  <c r="AA228" i="17" s="1"/>
  <c r="O292" i="17"/>
  <c r="AA292" i="17" s="1"/>
  <c r="O323" i="17"/>
  <c r="AA323" i="17" s="1"/>
  <c r="O387" i="17"/>
  <c r="AA387" i="17" s="1"/>
  <c r="O350" i="17"/>
  <c r="AA350" i="17" s="1"/>
  <c r="O414" i="17"/>
  <c r="AA414" i="17" s="1"/>
  <c r="O446" i="17"/>
  <c r="AA446" i="17" s="1"/>
  <c r="O423" i="17"/>
  <c r="AA423" i="17" s="1"/>
  <c r="O487" i="17"/>
  <c r="AA487" i="17" s="1"/>
  <c r="O519" i="17"/>
  <c r="AA519" i="17" s="1"/>
  <c r="O528" i="17"/>
  <c r="AA528" i="17" s="1"/>
  <c r="O560" i="17"/>
  <c r="AA560" i="17" s="1"/>
  <c r="O606" i="17"/>
  <c r="AA606" i="17" s="1"/>
  <c r="P17" i="17"/>
  <c r="AB17" i="17" s="1"/>
  <c r="P81" i="17"/>
  <c r="AB81" i="17" s="1"/>
  <c r="P16" i="17"/>
  <c r="AB16" i="17" s="1"/>
  <c r="P80" i="17"/>
  <c r="AB80" i="17" s="1"/>
  <c r="O32" i="17"/>
  <c r="AA32" i="17" s="1"/>
  <c r="O96" i="17"/>
  <c r="AA96" i="17" s="1"/>
  <c r="O31" i="17"/>
  <c r="AA31" i="17" s="1"/>
  <c r="O95" i="17"/>
  <c r="AA95" i="17" s="1"/>
  <c r="O127" i="17"/>
  <c r="AA127" i="17" s="1"/>
  <c r="O191" i="17"/>
  <c r="AA191" i="17" s="1"/>
  <c r="O255" i="17"/>
  <c r="AA255" i="17" s="1"/>
  <c r="O114" i="17"/>
  <c r="AA114" i="17" s="1"/>
  <c r="O178" i="17"/>
  <c r="AA178" i="17" s="1"/>
  <c r="O210" i="17"/>
  <c r="AA210" i="17" s="1"/>
  <c r="O274" i="17"/>
  <c r="AA274" i="17" s="1"/>
  <c r="O369" i="17"/>
  <c r="AA369" i="17" s="1"/>
  <c r="O332" i="17"/>
  <c r="AA332" i="17" s="1"/>
  <c r="O396" i="17"/>
  <c r="AA396" i="17" s="1"/>
  <c r="O428" i="17"/>
  <c r="AA428" i="17" s="1"/>
  <c r="O492" i="17"/>
  <c r="AA492" i="17" s="1"/>
  <c r="O453" i="17"/>
  <c r="AA453" i="17" s="1"/>
  <c r="O517" i="17"/>
  <c r="AA517" i="17" s="1"/>
  <c r="O558" i="17"/>
  <c r="AA558" i="17" s="1"/>
  <c r="O571" i="17"/>
  <c r="AA571" i="17" s="1"/>
  <c r="O268" i="17"/>
  <c r="AA268" i="17" s="1"/>
  <c r="O313" i="17"/>
  <c r="AA313" i="17" s="1"/>
  <c r="O102" i="17"/>
  <c r="AA102" i="17" s="1"/>
  <c r="O109" i="17"/>
  <c r="AA109" i="17" s="1"/>
  <c r="O205" i="17"/>
  <c r="AA205" i="17" s="1"/>
  <c r="O128" i="17"/>
  <c r="AA128" i="17" s="1"/>
  <c r="O351" i="17"/>
  <c r="AA351" i="17" s="1"/>
  <c r="O212" i="17"/>
  <c r="AA212" i="17" s="1"/>
  <c r="O276" i="17"/>
  <c r="AA276" i="17" s="1"/>
  <c r="O371" i="17"/>
  <c r="AA371" i="17" s="1"/>
  <c r="O334" i="17"/>
  <c r="AA334" i="17" s="1"/>
  <c r="O398" i="17"/>
  <c r="AA398" i="17" s="1"/>
  <c r="O137" i="17"/>
  <c r="AA137" i="17" s="1"/>
  <c r="O201" i="17"/>
  <c r="AA201" i="17" s="1"/>
  <c r="O265" i="17"/>
  <c r="AA265" i="17" s="1"/>
  <c r="O305" i="17"/>
  <c r="AA305" i="17" s="1"/>
  <c r="O30" i="17"/>
  <c r="AA30" i="17" s="1"/>
  <c r="O94" i="17"/>
  <c r="AA94" i="17" s="1"/>
  <c r="O200" i="17"/>
  <c r="AA200" i="17" s="1"/>
  <c r="O264" i="17"/>
  <c r="AA264" i="17" s="1"/>
  <c r="O354" i="17"/>
  <c r="AA354" i="17" s="1"/>
  <c r="O156" i="17"/>
  <c r="AA156" i="17" s="1"/>
  <c r="O470" i="17"/>
  <c r="AA470" i="17" s="1"/>
  <c r="O33" i="17"/>
  <c r="AA33" i="17" s="1"/>
  <c r="O97" i="17"/>
  <c r="AA97" i="17" s="1"/>
  <c r="O29" i="17"/>
  <c r="AA29" i="17" s="1"/>
  <c r="O53" i="17"/>
  <c r="AA53" i="17" s="1"/>
  <c r="O133" i="17"/>
  <c r="AA133" i="17" s="1"/>
  <c r="O165" i="17"/>
  <c r="AA165" i="17" s="1"/>
  <c r="O197" i="17"/>
  <c r="AA197" i="17" s="1"/>
  <c r="O229" i="17"/>
  <c r="AA229" i="17" s="1"/>
  <c r="O261" i="17"/>
  <c r="AA261" i="17" s="1"/>
  <c r="O293" i="17"/>
  <c r="AA293" i="17" s="1"/>
  <c r="O120" i="17"/>
  <c r="AA120" i="17" s="1"/>
  <c r="O152" i="17"/>
  <c r="AA152" i="17" s="1"/>
  <c r="O216" i="17"/>
  <c r="AA216" i="17" s="1"/>
  <c r="O280" i="17"/>
  <c r="AA280" i="17" s="1"/>
  <c r="O343" i="17"/>
  <c r="AA343" i="17" s="1"/>
  <c r="O375" i="17"/>
  <c r="AA375" i="17" s="1"/>
  <c r="O346" i="17"/>
  <c r="AA346" i="17" s="1"/>
  <c r="O148" i="17"/>
  <c r="AA148" i="17" s="1"/>
  <c r="O220" i="17"/>
  <c r="AA220" i="17" s="1"/>
  <c r="O284" i="17"/>
  <c r="AA284" i="17" s="1"/>
  <c r="O315" i="17"/>
  <c r="AA315" i="17" s="1"/>
  <c r="O347" i="17"/>
  <c r="AA347" i="17" s="1"/>
  <c r="O379" i="17"/>
  <c r="AA379" i="17" s="1"/>
  <c r="O342" i="17"/>
  <c r="AA342" i="17" s="1"/>
  <c r="O374" i="17"/>
  <c r="AA374" i="17" s="1"/>
  <c r="O406" i="17"/>
  <c r="AA406" i="17" s="1"/>
  <c r="O422" i="17"/>
  <c r="AA422" i="17" s="1"/>
  <c r="O185" i="17"/>
  <c r="AA185" i="17" s="1"/>
  <c r="O124" i="17"/>
  <c r="AA124" i="17" s="1"/>
  <c r="O54" i="17"/>
  <c r="AA54" i="17" s="1"/>
  <c r="O224" i="17"/>
  <c r="AA224" i="17" s="1"/>
  <c r="O288" i="17"/>
  <c r="AA288" i="17" s="1"/>
  <c r="O430" i="17"/>
  <c r="AA430" i="17" s="1"/>
  <c r="O25" i="17"/>
  <c r="AA25" i="17" s="1"/>
  <c r="O89" i="17"/>
  <c r="AA89" i="17" s="1"/>
  <c r="O116" i="17"/>
  <c r="AA116" i="17" s="1"/>
  <c r="O46" i="17"/>
  <c r="AA46" i="17" s="1"/>
  <c r="O61" i="17"/>
  <c r="AA61" i="17" s="1"/>
  <c r="O157" i="17"/>
  <c r="AA157" i="17" s="1"/>
  <c r="O221" i="17"/>
  <c r="AA221" i="17" s="1"/>
  <c r="O285" i="17"/>
  <c r="AA285" i="17" s="1"/>
  <c r="O144" i="17"/>
  <c r="AA144" i="17" s="1"/>
  <c r="O240" i="17"/>
  <c r="AA240" i="17" s="1"/>
  <c r="O304" i="17"/>
  <c r="AA304" i="17" s="1"/>
  <c r="O335" i="17"/>
  <c r="AA335" i="17" s="1"/>
  <c r="O399" i="17"/>
  <c r="AA399" i="17" s="1"/>
  <c r="O362" i="17"/>
  <c r="AA362" i="17" s="1"/>
  <c r="O164" i="17"/>
  <c r="AA164" i="17" s="1"/>
  <c r="O196" i="17"/>
  <c r="AA196" i="17" s="1"/>
  <c r="O260" i="17"/>
  <c r="AA260" i="17" s="1"/>
  <c r="O355" i="17"/>
  <c r="AA355" i="17" s="1"/>
  <c r="O318" i="17"/>
  <c r="AA318" i="17" s="1"/>
  <c r="O382" i="17"/>
  <c r="AA382" i="17" s="1"/>
  <c r="O478" i="17"/>
  <c r="AA478" i="17" s="1"/>
  <c r="O494" i="17"/>
  <c r="AA494" i="17" s="1"/>
  <c r="O455" i="17"/>
  <c r="AA455" i="17" s="1"/>
  <c r="O592" i="17"/>
  <c r="AA592" i="17" s="1"/>
  <c r="O573" i="17"/>
  <c r="AA573" i="17" s="1"/>
  <c r="P49" i="17"/>
  <c r="AB49" i="17" s="1"/>
  <c r="P48" i="17"/>
  <c r="AB48" i="17" s="1"/>
  <c r="O64" i="17"/>
  <c r="AA64" i="17" s="1"/>
  <c r="O63" i="17"/>
  <c r="AA63" i="17" s="1"/>
  <c r="O159" i="17"/>
  <c r="AA159" i="17" s="1"/>
  <c r="O223" i="17"/>
  <c r="AA223" i="17" s="1"/>
  <c r="O287" i="17"/>
  <c r="AA287" i="17" s="1"/>
  <c r="O146" i="17"/>
  <c r="AA146" i="17" s="1"/>
  <c r="O242" i="17"/>
  <c r="AA242" i="17" s="1"/>
  <c r="O306" i="17"/>
  <c r="AA306" i="17" s="1"/>
  <c r="O337" i="17"/>
  <c r="AA337" i="17" s="1"/>
  <c r="O401" i="17"/>
  <c r="AA401" i="17" s="1"/>
  <c r="O364" i="17"/>
  <c r="AA364" i="17" s="1"/>
  <c r="O460" i="17"/>
  <c r="AA460" i="17" s="1"/>
  <c r="O421" i="17"/>
  <c r="AA421" i="17" s="1"/>
  <c r="O485" i="17"/>
  <c r="AA485" i="17" s="1"/>
  <c r="O526" i="17"/>
  <c r="AA526" i="17" s="1"/>
  <c r="O590" i="17"/>
  <c r="AA590" i="17" s="1"/>
  <c r="O604" i="17"/>
  <c r="AA604" i="17" s="1"/>
  <c r="P15" i="17"/>
  <c r="AB15" i="17" s="1"/>
  <c r="P79" i="17"/>
  <c r="AB79" i="17" s="1"/>
  <c r="P14" i="17"/>
  <c r="AB14" i="17" s="1"/>
  <c r="P78" i="17"/>
  <c r="AB78" i="17" s="1"/>
  <c r="O450" i="17"/>
  <c r="AA450" i="17" s="1"/>
  <c r="O514" i="17"/>
  <c r="AA514" i="17" s="1"/>
  <c r="O475" i="17"/>
  <c r="AA475" i="17" s="1"/>
  <c r="O76" i="17"/>
  <c r="AA76" i="17" s="1"/>
  <c r="O43" i="17"/>
  <c r="AA43" i="17" s="1"/>
  <c r="O75" i="17"/>
  <c r="AA75" i="17" s="1"/>
  <c r="O107" i="17"/>
  <c r="AA107" i="17" s="1"/>
  <c r="O139" i="17"/>
  <c r="AA139" i="17" s="1"/>
  <c r="O203" i="17"/>
  <c r="AA203" i="17" s="1"/>
  <c r="O267" i="17"/>
  <c r="AA267" i="17" s="1"/>
  <c r="O158" i="17"/>
  <c r="AA158" i="17" s="1"/>
  <c r="O440" i="17"/>
  <c r="AA440" i="17" s="1"/>
  <c r="O472" i="17"/>
  <c r="AA472" i="17" s="1"/>
  <c r="O504" i="17"/>
  <c r="AA504" i="17" s="1"/>
  <c r="O433" i="17"/>
  <c r="AA433" i="17" s="1"/>
  <c r="O465" i="17"/>
  <c r="AA465" i="17" s="1"/>
  <c r="O497" i="17"/>
  <c r="AA497" i="17" s="1"/>
  <c r="O597" i="17"/>
  <c r="AA597" i="17" s="1"/>
  <c r="P59" i="17"/>
  <c r="AB59" i="17" s="1"/>
  <c r="O431" i="17"/>
  <c r="AA431" i="17" s="1"/>
  <c r="O495" i="17"/>
  <c r="AA495" i="17" s="1"/>
  <c r="O527" i="17"/>
  <c r="AA527" i="17" s="1"/>
  <c r="O536" i="17"/>
  <c r="AA536" i="17" s="1"/>
  <c r="O568" i="17"/>
  <c r="AA568" i="17" s="1"/>
  <c r="O549" i="17"/>
  <c r="AA549" i="17" s="1"/>
  <c r="O595" i="17"/>
  <c r="AA595" i="17" s="1"/>
  <c r="P25" i="17"/>
  <c r="AB25" i="17" s="1"/>
  <c r="P89" i="17"/>
  <c r="AB89" i="17" s="1"/>
  <c r="P24" i="17"/>
  <c r="AB24" i="17" s="1"/>
  <c r="P88" i="17"/>
  <c r="AB88" i="17" s="1"/>
  <c r="O40" i="17"/>
  <c r="AA40" i="17" s="1"/>
  <c r="O104" i="17"/>
  <c r="AA104" i="17" s="1"/>
  <c r="O39" i="17"/>
  <c r="AA39" i="17" s="1"/>
  <c r="O103" i="17"/>
  <c r="AA103" i="17" s="1"/>
  <c r="O135" i="17"/>
  <c r="AA135" i="17" s="1"/>
  <c r="O199" i="17"/>
  <c r="AA199" i="17" s="1"/>
  <c r="O263" i="17"/>
  <c r="AA263" i="17" s="1"/>
  <c r="O122" i="17"/>
  <c r="AA122" i="17" s="1"/>
  <c r="O218" i="17"/>
  <c r="AA218" i="17" s="1"/>
  <c r="O282" i="17"/>
  <c r="AA282" i="17" s="1"/>
  <c r="O314" i="17"/>
  <c r="AA314" i="17" s="1"/>
  <c r="O377" i="17"/>
  <c r="AA377" i="17" s="1"/>
  <c r="O409" i="17"/>
  <c r="AA409" i="17" s="1"/>
  <c r="O340" i="17"/>
  <c r="AA340" i="17" s="1"/>
  <c r="O404" i="17"/>
  <c r="AA404" i="17" s="1"/>
  <c r="O436" i="17"/>
  <c r="AA436" i="17" s="1"/>
  <c r="O500" i="17"/>
  <c r="AA500" i="17" s="1"/>
  <c r="O461" i="17"/>
  <c r="AA461" i="17" s="1"/>
  <c r="O566" i="17"/>
  <c r="AA566" i="17" s="1"/>
  <c r="O579" i="17"/>
  <c r="AA579" i="17" s="1"/>
  <c r="P55" i="17"/>
  <c r="AB55" i="17" s="1"/>
  <c r="P54" i="17"/>
  <c r="AB54" i="17" s="1"/>
  <c r="O426" i="17"/>
  <c r="AA426" i="17" s="1"/>
  <c r="O490" i="17"/>
  <c r="AA490" i="17" s="1"/>
  <c r="O451" i="17"/>
  <c r="AA451" i="17" s="1"/>
  <c r="O588" i="17"/>
  <c r="AA588" i="17" s="1"/>
  <c r="P45" i="17"/>
  <c r="AB45" i="17" s="1"/>
  <c r="P109" i="17"/>
  <c r="AB109" i="17" s="1"/>
  <c r="O50" i="17"/>
  <c r="AA50" i="17" s="1"/>
  <c r="O177" i="17"/>
  <c r="AA177" i="17" s="1"/>
  <c r="O37" i="17"/>
  <c r="AA37" i="17" s="1"/>
  <c r="O84" i="17"/>
  <c r="AA84" i="17" s="1"/>
  <c r="O147" i="17"/>
  <c r="AA147" i="17" s="1"/>
  <c r="O211" i="17"/>
  <c r="AA211" i="17" s="1"/>
  <c r="O275" i="17"/>
  <c r="AA275" i="17" s="1"/>
  <c r="O134" i="17"/>
  <c r="AA134" i="17" s="1"/>
  <c r="O230" i="17"/>
  <c r="AA230" i="17" s="1"/>
  <c r="O294" i="17"/>
  <c r="AA294" i="17" s="1"/>
  <c r="P35" i="17"/>
  <c r="AB35" i="17" s="1"/>
  <c r="P99" i="17"/>
  <c r="AB99" i="17" s="1"/>
  <c r="P34" i="17"/>
  <c r="AB34" i="17" s="1"/>
  <c r="P100" i="17"/>
  <c r="AB100" i="17" s="1"/>
  <c r="O507" i="17"/>
  <c r="AA507" i="17" s="1"/>
  <c r="O561" i="17"/>
  <c r="AA561" i="17" s="1"/>
  <c r="P36" i="17"/>
  <c r="AB36" i="17" s="1"/>
  <c r="O52" i="17"/>
  <c r="AA52" i="17" s="1"/>
  <c r="O27" i="17"/>
  <c r="AA27" i="17" s="1"/>
  <c r="O91" i="17"/>
  <c r="AA91" i="17" s="1"/>
  <c r="O333" i="17"/>
  <c r="AA333" i="17" s="1"/>
  <c r="O397" i="17"/>
  <c r="AA397" i="17" s="1"/>
  <c r="O360" i="17"/>
  <c r="AA360" i="17" s="1"/>
  <c r="O456" i="17"/>
  <c r="AA456" i="17" s="1"/>
  <c r="O481" i="17"/>
  <c r="AA481" i="17" s="1"/>
  <c r="O522" i="17"/>
  <c r="AA522" i="17" s="1"/>
  <c r="O586" i="17"/>
  <c r="AA586" i="17" s="1"/>
  <c r="O600" i="17"/>
  <c r="AA600" i="17" s="1"/>
  <c r="O439" i="17"/>
  <c r="AA439" i="17" s="1"/>
  <c r="O503" i="17"/>
  <c r="AA503" i="17" s="1"/>
  <c r="O535" i="17"/>
  <c r="AA535" i="17" s="1"/>
  <c r="O576" i="17"/>
  <c r="AA576" i="17" s="1"/>
  <c r="O557" i="17"/>
  <c r="AA557" i="17" s="1"/>
  <c r="P33" i="17"/>
  <c r="AB33" i="17" s="1"/>
  <c r="P97" i="17"/>
  <c r="AB97" i="17" s="1"/>
  <c r="P32" i="17"/>
  <c r="AB32" i="17" s="1"/>
  <c r="O48" i="17"/>
  <c r="AA48" i="17" s="1"/>
  <c r="O47" i="17"/>
  <c r="AA47" i="17" s="1"/>
  <c r="O143" i="17"/>
  <c r="AA143" i="17" s="1"/>
  <c r="O207" i="17"/>
  <c r="AA207" i="17" s="1"/>
  <c r="O271" i="17"/>
  <c r="AA271" i="17" s="1"/>
  <c r="O130" i="17"/>
  <c r="AA130" i="17" s="1"/>
  <c r="O226" i="17"/>
  <c r="AA226" i="17" s="1"/>
  <c r="O290" i="17"/>
  <c r="AA290" i="17" s="1"/>
  <c r="O321" i="17"/>
  <c r="AA321" i="17" s="1"/>
  <c r="O385" i="17"/>
  <c r="AA385" i="17" s="1"/>
  <c r="O348" i="17"/>
  <c r="AA348" i="17" s="1"/>
  <c r="O412" i="17"/>
  <c r="AA412" i="17" s="1"/>
  <c r="O444" i="17"/>
  <c r="AA444" i="17" s="1"/>
  <c r="O508" i="17"/>
  <c r="AA508" i="17" s="1"/>
  <c r="O469" i="17"/>
  <c r="AA469" i="17" s="1"/>
  <c r="O574" i="17"/>
  <c r="AA574" i="17" s="1"/>
  <c r="O587" i="17"/>
  <c r="AA587" i="17" s="1"/>
  <c r="O601" i="17"/>
  <c r="AA601" i="17" s="1"/>
  <c r="P63" i="17"/>
  <c r="AB63" i="17" s="1"/>
  <c r="P62" i="17"/>
  <c r="AB62" i="17" s="1"/>
  <c r="O434" i="17"/>
  <c r="AA434" i="17" s="1"/>
  <c r="O498" i="17"/>
  <c r="AA498" i="17" s="1"/>
  <c r="O459" i="17"/>
  <c r="AA459" i="17" s="1"/>
  <c r="O564" i="17"/>
  <c r="AA564" i="17" s="1"/>
  <c r="P47" i="17"/>
  <c r="AB47" i="17" s="1"/>
  <c r="P46" i="17"/>
  <c r="AB46" i="17" s="1"/>
  <c r="O418" i="17"/>
  <c r="AA418" i="17" s="1"/>
  <c r="O482" i="17"/>
  <c r="AA482" i="17" s="1"/>
  <c r="O443" i="17"/>
  <c r="AA443" i="17" s="1"/>
  <c r="O532" i="17"/>
  <c r="AA532" i="17" s="1"/>
  <c r="O36" i="17"/>
  <c r="AA36" i="17" s="1"/>
  <c r="O108" i="17"/>
  <c r="AA108" i="17" s="1"/>
  <c r="O171" i="17"/>
  <c r="AA171" i="17" s="1"/>
  <c r="O235" i="17"/>
  <c r="AA235" i="17" s="1"/>
  <c r="O299" i="17"/>
  <c r="AA299" i="17" s="1"/>
  <c r="O126" i="17"/>
  <c r="AA126" i="17" s="1"/>
  <c r="O538" i="17"/>
  <c r="AA538" i="17" s="1"/>
  <c r="O570" i="17"/>
  <c r="AA570" i="17" s="1"/>
  <c r="O551" i="17"/>
  <c r="AA551" i="17" s="1"/>
  <c r="O583" i="17"/>
  <c r="AA583" i="17" s="1"/>
  <c r="P27" i="17"/>
  <c r="AB27" i="17" s="1"/>
  <c r="P91" i="17"/>
  <c r="AB91" i="17" s="1"/>
  <c r="O502" i="17"/>
  <c r="AA502" i="17" s="1"/>
  <c r="O463" i="17"/>
  <c r="AA463" i="17" s="1"/>
  <c r="O581" i="17"/>
  <c r="AA581" i="17" s="1"/>
  <c r="P57" i="17"/>
  <c r="AB57" i="17" s="1"/>
  <c r="P56" i="17"/>
  <c r="AB56" i="17" s="1"/>
  <c r="O72" i="17"/>
  <c r="AA72" i="17" s="1"/>
  <c r="O71" i="17"/>
  <c r="AA71" i="17" s="1"/>
  <c r="O167" i="17"/>
  <c r="AA167" i="17" s="1"/>
  <c r="O231" i="17"/>
  <c r="AA231" i="17" s="1"/>
  <c r="O295" i="17"/>
  <c r="AA295" i="17" s="1"/>
  <c r="O154" i="17"/>
  <c r="AA154" i="17" s="1"/>
  <c r="O186" i="17"/>
  <c r="AA186" i="17" s="1"/>
  <c r="O250" i="17"/>
  <c r="AA250" i="17" s="1"/>
  <c r="O345" i="17"/>
  <c r="AA345" i="17" s="1"/>
  <c r="O372" i="17"/>
  <c r="AA372" i="17" s="1"/>
  <c r="O468" i="17"/>
  <c r="AA468" i="17" s="1"/>
  <c r="O429" i="17"/>
  <c r="AA429" i="17" s="1"/>
  <c r="O493" i="17"/>
  <c r="AA493" i="17" s="1"/>
  <c r="O525" i="17"/>
  <c r="AA525" i="17" s="1"/>
  <c r="O534" i="17"/>
  <c r="AA534" i="17" s="1"/>
  <c r="O547" i="17"/>
  <c r="AA547" i="17" s="1"/>
  <c r="O612" i="17"/>
  <c r="AA612" i="17" s="1"/>
  <c r="P23" i="17"/>
  <c r="AB23" i="17" s="1"/>
  <c r="P87" i="17"/>
  <c r="AB87" i="17" s="1"/>
  <c r="P22" i="17"/>
  <c r="AB22" i="17" s="1"/>
  <c r="P86" i="17"/>
  <c r="AB86" i="17" s="1"/>
  <c r="O458" i="17"/>
  <c r="AA458" i="17" s="1"/>
  <c r="O419" i="17"/>
  <c r="AA419" i="17" s="1"/>
  <c r="O524" i="17"/>
  <c r="AA524" i="17" s="1"/>
  <c r="O556" i="17"/>
  <c r="AA556" i="17" s="1"/>
  <c r="P13" i="17"/>
  <c r="AB13" i="17" s="1"/>
  <c r="P77" i="17"/>
  <c r="AB77" i="17" s="1"/>
  <c r="O113" i="17"/>
  <c r="AA113" i="17" s="1"/>
  <c r="O241" i="17"/>
  <c r="AA241" i="17" s="1"/>
  <c r="O115" i="17"/>
  <c r="AA115" i="17" s="1"/>
  <c r="O179" i="17"/>
  <c r="AA179" i="17" s="1"/>
  <c r="O243" i="17"/>
  <c r="AA243" i="17" s="1"/>
  <c r="O307" i="17"/>
  <c r="AA307" i="17" s="1"/>
  <c r="O166" i="17"/>
  <c r="AA166" i="17" s="1"/>
  <c r="O198" i="17"/>
  <c r="AA198" i="17" s="1"/>
  <c r="O262" i="17"/>
  <c r="AA262" i="17" s="1"/>
  <c r="O605" i="17"/>
  <c r="AA605" i="17" s="1"/>
  <c r="P67" i="17"/>
  <c r="AB67" i="17" s="1"/>
  <c r="P66" i="17"/>
  <c r="AB66" i="17" s="1"/>
  <c r="P132" i="17"/>
  <c r="AB132" i="17" s="1"/>
  <c r="O593" i="17"/>
  <c r="AA593" i="17" s="1"/>
  <c r="P68" i="17"/>
  <c r="AB68" i="17" s="1"/>
  <c r="O20" i="17"/>
  <c r="AA20" i="17" s="1"/>
  <c r="O59" i="17"/>
  <c r="AA59" i="17" s="1"/>
  <c r="O365" i="17"/>
  <c r="AA365" i="17" s="1"/>
  <c r="O328" i="17"/>
  <c r="AA328" i="17" s="1"/>
  <c r="O392" i="17"/>
  <c r="AA392" i="17" s="1"/>
  <c r="O424" i="17"/>
  <c r="AA424" i="17" s="1"/>
  <c r="O488" i="17"/>
  <c r="AA488" i="17" s="1"/>
  <c r="O417" i="17"/>
  <c r="AA417" i="17" s="1"/>
  <c r="O449" i="17"/>
  <c r="AA449" i="17" s="1"/>
  <c r="O513" i="17"/>
  <c r="AA513" i="17" s="1"/>
  <c r="O554" i="17"/>
  <c r="AA554" i="17" s="1"/>
  <c r="O567" i="17"/>
  <c r="AA567" i="17" s="1"/>
  <c r="O510" i="17"/>
  <c r="AA510" i="17" s="1"/>
  <c r="O471" i="17"/>
  <c r="AA471" i="17" s="1"/>
  <c r="O544" i="17"/>
  <c r="AA544" i="17" s="1"/>
  <c r="O589" i="17"/>
  <c r="AA589" i="17" s="1"/>
  <c r="O603" i="17"/>
  <c r="AA603" i="17" s="1"/>
  <c r="P65" i="17"/>
  <c r="AB65" i="17" s="1"/>
  <c r="P64" i="17"/>
  <c r="AB64" i="17" s="1"/>
  <c r="O16" i="17"/>
  <c r="AA16" i="17" s="1"/>
  <c r="O80" i="17"/>
  <c r="AA80" i="17" s="1"/>
  <c r="O15" i="17"/>
  <c r="AA15" i="17" s="1"/>
  <c r="O79" i="17"/>
  <c r="AA79" i="17" s="1"/>
  <c r="O111" i="17"/>
  <c r="AA111" i="17" s="1"/>
  <c r="O175" i="17"/>
  <c r="AA175" i="17" s="1"/>
  <c r="O239" i="17"/>
  <c r="AA239" i="17" s="1"/>
  <c r="O303" i="17"/>
  <c r="AA303" i="17" s="1"/>
  <c r="O162" i="17"/>
  <c r="AA162" i="17" s="1"/>
  <c r="O194" i="17"/>
  <c r="AA194" i="17" s="1"/>
  <c r="O258" i="17"/>
  <c r="AA258" i="17" s="1"/>
  <c r="O353" i="17"/>
  <c r="AA353" i="17" s="1"/>
  <c r="O316" i="17"/>
  <c r="AA316" i="17" s="1"/>
  <c r="O380" i="17"/>
  <c r="AA380" i="17" s="1"/>
  <c r="O476" i="17"/>
  <c r="AA476" i="17" s="1"/>
  <c r="O437" i="17"/>
  <c r="AA437" i="17" s="1"/>
  <c r="O501" i="17"/>
  <c r="AA501" i="17" s="1"/>
  <c r="O533" i="17"/>
  <c r="AA533" i="17" s="1"/>
  <c r="O542" i="17"/>
  <c r="AA542" i="17" s="1"/>
  <c r="O555" i="17"/>
  <c r="AA555" i="17" s="1"/>
  <c r="P31" i="17"/>
  <c r="AB31" i="17" s="1"/>
  <c r="P95" i="17"/>
  <c r="AB95" i="17" s="1"/>
  <c r="P30" i="17"/>
  <c r="AB30" i="17" s="1"/>
  <c r="P96" i="17"/>
  <c r="AB96" i="17" s="1"/>
  <c r="O466" i="17"/>
  <c r="AA466" i="17" s="1"/>
  <c r="O427" i="17"/>
  <c r="AA427" i="17" s="1"/>
  <c r="O491" i="17"/>
  <c r="AA491" i="17" s="1"/>
  <c r="O523" i="17"/>
  <c r="AA523" i="17" s="1"/>
  <c r="O539" i="17"/>
  <c r="AA539" i="17" s="1"/>
  <c r="O548" i="17"/>
  <c r="AA548" i="17" s="1"/>
  <c r="O580" i="17"/>
  <c r="AA580" i="17" s="1"/>
  <c r="O545" i="17"/>
  <c r="AA545" i="17" s="1"/>
  <c r="O610" i="17"/>
  <c r="AA610" i="17" s="1"/>
  <c r="O607" i="17"/>
  <c r="AA607" i="17" s="1"/>
  <c r="P37" i="17"/>
  <c r="AB37" i="17" s="1"/>
  <c r="P69" i="17"/>
  <c r="AB69" i="17" s="1"/>
  <c r="P101" i="17"/>
  <c r="AB101" i="17" s="1"/>
  <c r="P20" i="17"/>
  <c r="AB20" i="17" s="1"/>
  <c r="P84" i="17"/>
  <c r="AB84" i="17" s="1"/>
  <c r="O34" i="17"/>
  <c r="AA34" i="17" s="1"/>
  <c r="O98" i="17"/>
  <c r="AA98" i="17" s="1"/>
  <c r="O161" i="17"/>
  <c r="AA161" i="17" s="1"/>
  <c r="O225" i="17"/>
  <c r="AA225" i="17" s="1"/>
  <c r="O21" i="17"/>
  <c r="AA21" i="17" s="1"/>
  <c r="O60" i="17"/>
  <c r="AA60" i="17" s="1"/>
  <c r="O19" i="17"/>
  <c r="AA19" i="17" s="1"/>
  <c r="O83" i="17"/>
  <c r="AA83" i="17" s="1"/>
  <c r="O155" i="17"/>
  <c r="AA155" i="17" s="1"/>
  <c r="O219" i="17"/>
  <c r="AA219" i="17" s="1"/>
  <c r="O283" i="17"/>
  <c r="AA283" i="17" s="1"/>
  <c r="O110" i="17"/>
  <c r="AA110" i="17" s="1"/>
  <c r="O142" i="17"/>
  <c r="AA142" i="17" s="1"/>
  <c r="O206" i="17"/>
  <c r="AA206" i="17" s="1"/>
  <c r="O238" i="17"/>
  <c r="AA238" i="17" s="1"/>
  <c r="O270" i="17"/>
  <c r="AA270" i="17" s="1"/>
  <c r="O302" i="17"/>
  <c r="AA302" i="17" s="1"/>
  <c r="O317" i="17"/>
  <c r="AA317" i="17" s="1"/>
  <c r="O381" i="17"/>
  <c r="AA381" i="17" s="1"/>
  <c r="O413" i="17"/>
  <c r="AA413" i="17" s="1"/>
  <c r="O344" i="17"/>
  <c r="AA344" i="17" s="1"/>
  <c r="O408" i="17"/>
  <c r="AA408" i="17" s="1"/>
  <c r="O480" i="17"/>
  <c r="AA480" i="17" s="1"/>
  <c r="O441" i="17"/>
  <c r="AA441" i="17" s="1"/>
  <c r="O505" i="17"/>
  <c r="AA505" i="17" s="1"/>
  <c r="O546" i="17"/>
  <c r="AA546" i="17" s="1"/>
  <c r="O559" i="17"/>
  <c r="AA559" i="17" s="1"/>
  <c r="O613" i="17"/>
  <c r="AA613" i="17" s="1"/>
  <c r="P75" i="17"/>
  <c r="AB75" i="17" s="1"/>
  <c r="P42" i="17"/>
  <c r="AB42" i="17" s="1"/>
  <c r="P74" i="17"/>
  <c r="AB74" i="17" s="1"/>
  <c r="P108" i="17"/>
  <c r="AB108" i="17" s="1"/>
  <c r="O483" i="17"/>
  <c r="AA483" i="17" s="1"/>
  <c r="O602" i="17"/>
  <c r="AA602" i="17" s="1"/>
  <c r="P76" i="17"/>
  <c r="AB76" i="17" s="1"/>
  <c r="O325" i="17"/>
  <c r="AA325" i="17" s="1"/>
  <c r="O389" i="17"/>
  <c r="AA389" i="17" s="1"/>
  <c r="O352" i="17"/>
  <c r="AA352" i="17" s="1"/>
  <c r="O416" i="17"/>
  <c r="AA416" i="17" s="1"/>
  <c r="O479" i="17"/>
  <c r="AA479" i="17" s="1"/>
  <c r="O543" i="17"/>
  <c r="AA543" i="17" s="1"/>
  <c r="O552" i="17"/>
  <c r="AA552" i="17" s="1"/>
  <c r="O598" i="17"/>
  <c r="AA598" i="17" s="1"/>
  <c r="O611" i="17"/>
  <c r="AA611" i="17" s="1"/>
  <c r="P73" i="17"/>
  <c r="AB73" i="17" s="1"/>
  <c r="P72" i="17"/>
  <c r="AB72" i="17" s="1"/>
  <c r="O24" i="17"/>
  <c r="AA24" i="17" s="1"/>
  <c r="O88" i="17"/>
  <c r="AA88" i="17" s="1"/>
  <c r="O23" i="17"/>
  <c r="AA23" i="17" s="1"/>
  <c r="O87" i="17"/>
  <c r="AA87" i="17" s="1"/>
  <c r="O119" i="17"/>
  <c r="AA119" i="17" s="1"/>
  <c r="O183" i="17"/>
  <c r="AA183" i="17" s="1"/>
  <c r="O247" i="17"/>
  <c r="AA247" i="17" s="1"/>
  <c r="O311" i="17"/>
  <c r="AA311" i="17" s="1"/>
  <c r="O170" i="17"/>
  <c r="AA170" i="17" s="1"/>
  <c r="O202" i="17"/>
  <c r="AA202" i="17" s="1"/>
  <c r="O266" i="17"/>
  <c r="AA266" i="17" s="1"/>
  <c r="O361" i="17"/>
  <c r="AA361" i="17" s="1"/>
  <c r="O324" i="17"/>
  <c r="AA324" i="17" s="1"/>
  <c r="O388" i="17"/>
  <c r="AA388" i="17" s="1"/>
  <c r="O420" i="17"/>
  <c r="AA420" i="17" s="1"/>
  <c r="O484" i="17"/>
  <c r="AA484" i="17" s="1"/>
  <c r="O445" i="17"/>
  <c r="AA445" i="17" s="1"/>
  <c r="O509" i="17"/>
  <c r="AA509" i="17" s="1"/>
  <c r="O550" i="17"/>
  <c r="AA550" i="17" s="1"/>
  <c r="O563" i="17"/>
  <c r="AA563" i="17" s="1"/>
  <c r="P39" i="17"/>
  <c r="AB39" i="17" s="1"/>
  <c r="P103" i="17"/>
  <c r="AB103" i="17" s="1"/>
  <c r="P38" i="17"/>
  <c r="AB38" i="17" s="1"/>
  <c r="O474" i="17"/>
  <c r="AA474" i="17" s="1"/>
  <c r="O435" i="17"/>
  <c r="AA435" i="17" s="1"/>
  <c r="O499" i="17"/>
  <c r="AA499" i="17" s="1"/>
  <c r="O531" i="17"/>
  <c r="AA531" i="17" s="1"/>
  <c r="O540" i="17"/>
  <c r="AA540" i="17" s="1"/>
  <c r="O572" i="17"/>
  <c r="AA572" i="17" s="1"/>
  <c r="O553" i="17"/>
  <c r="AA553" i="17" s="1"/>
  <c r="P29" i="17"/>
  <c r="AB29" i="17" s="1"/>
  <c r="P93" i="17"/>
  <c r="AB93" i="17" s="1"/>
  <c r="P28" i="17"/>
  <c r="AB28" i="17" s="1"/>
  <c r="P92" i="17"/>
  <c r="AB92" i="17" s="1"/>
  <c r="O44" i="17"/>
  <c r="AA44" i="17" s="1"/>
  <c r="O82" i="17"/>
  <c r="AA82" i="17" s="1"/>
  <c r="O209" i="17"/>
  <c r="AA209" i="17" s="1"/>
  <c r="O100" i="17"/>
  <c r="AA100" i="17" s="1"/>
  <c r="O35" i="17"/>
  <c r="AA35" i="17" s="1"/>
  <c r="O99" i="17"/>
  <c r="AA99" i="17" s="1"/>
  <c r="O131" i="17"/>
  <c r="AA131" i="17" s="1"/>
  <c r="O195" i="17"/>
  <c r="AA195" i="17" s="1"/>
  <c r="O259" i="17"/>
  <c r="AA259" i="17" s="1"/>
  <c r="O118" i="17"/>
  <c r="AA118" i="17" s="1"/>
  <c r="O214" i="17"/>
  <c r="AA214" i="17" s="1"/>
  <c r="O278" i="17"/>
  <c r="AA278" i="17" s="1"/>
  <c r="O373" i="17"/>
  <c r="AA373" i="17" s="1"/>
  <c r="O336" i="17"/>
  <c r="AA336" i="17" s="1"/>
  <c r="O400" i="17"/>
  <c r="AA400" i="17" s="1"/>
  <c r="O432" i="17"/>
  <c r="AA432" i="17" s="1"/>
  <c r="O496" i="17"/>
  <c r="AA496" i="17" s="1"/>
  <c r="O457" i="17"/>
  <c r="AA457" i="17" s="1"/>
  <c r="O562" i="17"/>
  <c r="AA562" i="17" s="1"/>
  <c r="O575" i="17"/>
  <c r="AA575" i="17" s="1"/>
  <c r="P51" i="17"/>
  <c r="AB51" i="17" s="1"/>
  <c r="P50" i="17"/>
  <c r="AB50" i="17" s="1"/>
  <c r="P116" i="17"/>
  <c r="AB116" i="17" s="1"/>
  <c r="P180" i="17"/>
  <c r="AB180" i="17" s="1"/>
  <c r="P160" i="17"/>
  <c r="AB160" i="17" s="1"/>
  <c r="P224" i="17"/>
  <c r="AB224" i="17" s="1"/>
  <c r="P288" i="17"/>
  <c r="AB288" i="17" s="1"/>
  <c r="P147" i="17"/>
  <c r="AB147" i="17" s="1"/>
  <c r="P211" i="17"/>
  <c r="AB211" i="17" s="1"/>
  <c r="P275" i="17"/>
  <c r="AB275" i="17" s="1"/>
  <c r="P372" i="17"/>
  <c r="AB372" i="17" s="1"/>
  <c r="P365" i="17"/>
  <c r="AB365" i="17" s="1"/>
  <c r="P461" i="17"/>
  <c r="AB461" i="17" s="1"/>
  <c r="P424" i="17"/>
  <c r="AB424" i="17" s="1"/>
  <c r="P488" i="17"/>
  <c r="AB488" i="17" s="1"/>
  <c r="P583" i="17"/>
  <c r="AB583" i="17" s="1"/>
  <c r="P541" i="17"/>
  <c r="AB541" i="17" s="1"/>
  <c r="P603" i="17"/>
  <c r="AB603" i="17" s="1"/>
  <c r="P94" i="17"/>
  <c r="AB94" i="17" s="1"/>
  <c r="P158" i="17"/>
  <c r="AB158" i="17" s="1"/>
  <c r="P222" i="17"/>
  <c r="AB222" i="17" s="1"/>
  <c r="P286" i="17"/>
  <c r="AB286" i="17" s="1"/>
  <c r="P145" i="17"/>
  <c r="AB145" i="17" s="1"/>
  <c r="P209" i="17"/>
  <c r="AB209" i="17" s="1"/>
  <c r="P273" i="17"/>
  <c r="AB273" i="17" s="1"/>
  <c r="P370" i="17"/>
  <c r="AB370" i="17" s="1"/>
  <c r="P363" i="17"/>
  <c r="AB363" i="17" s="1"/>
  <c r="P459" i="17"/>
  <c r="AB459" i="17" s="1"/>
  <c r="P422" i="17"/>
  <c r="AB422" i="17" s="1"/>
  <c r="P486" i="17"/>
  <c r="AB486" i="17" s="1"/>
  <c r="P549" i="17"/>
  <c r="AB549" i="17" s="1"/>
  <c r="P539" i="17"/>
  <c r="AB539" i="17" s="1"/>
  <c r="P601" i="17"/>
  <c r="AB601" i="17" s="1"/>
  <c r="O518" i="17"/>
  <c r="AA518" i="17" s="1"/>
  <c r="O577" i="17"/>
  <c r="AA577" i="17" s="1"/>
  <c r="P21" i="17"/>
  <c r="AB21" i="17" s="1"/>
  <c r="P53" i="17"/>
  <c r="AB53" i="17" s="1"/>
  <c r="P85" i="17"/>
  <c r="AB85" i="17" s="1"/>
  <c r="P52" i="17"/>
  <c r="AB52" i="17" s="1"/>
  <c r="O28" i="17"/>
  <c r="AA28" i="17" s="1"/>
  <c r="O66" i="17"/>
  <c r="AA66" i="17" s="1"/>
  <c r="O129" i="17"/>
  <c r="AA129" i="17" s="1"/>
  <c r="O193" i="17"/>
  <c r="AA193" i="17" s="1"/>
  <c r="O257" i="17"/>
  <c r="AA257" i="17" s="1"/>
  <c r="O92" i="17"/>
  <c r="AA92" i="17" s="1"/>
  <c r="O51" i="17"/>
  <c r="AA51" i="17" s="1"/>
  <c r="O123" i="17"/>
  <c r="AA123" i="17" s="1"/>
  <c r="O187" i="17"/>
  <c r="AA187" i="17" s="1"/>
  <c r="O251" i="17"/>
  <c r="AA251" i="17" s="1"/>
  <c r="O174" i="17"/>
  <c r="AA174" i="17" s="1"/>
  <c r="O190" i="17"/>
  <c r="AA190" i="17" s="1"/>
  <c r="O222" i="17"/>
  <c r="AA222" i="17" s="1"/>
  <c r="O254" i="17"/>
  <c r="AA254" i="17" s="1"/>
  <c r="O286" i="17"/>
  <c r="AA286" i="17" s="1"/>
  <c r="O349" i="17"/>
  <c r="AA349" i="17" s="1"/>
  <c r="O376" i="17"/>
  <c r="AA376" i="17" s="1"/>
  <c r="O448" i="17"/>
  <c r="AA448" i="17" s="1"/>
  <c r="O512" i="17"/>
  <c r="AA512" i="17" s="1"/>
  <c r="O473" i="17"/>
  <c r="AA473" i="17" s="1"/>
  <c r="O529" i="17"/>
  <c r="AA529" i="17" s="1"/>
  <c r="O578" i="17"/>
  <c r="AA578" i="17" s="1"/>
  <c r="O591" i="17"/>
  <c r="AA591" i="17" s="1"/>
  <c r="P43" i="17"/>
  <c r="AB43" i="17" s="1"/>
  <c r="P107" i="17"/>
  <c r="AB107" i="17" s="1"/>
  <c r="P26" i="17"/>
  <c r="AB26" i="17" s="1"/>
  <c r="P58" i="17"/>
  <c r="AB58" i="17" s="1"/>
  <c r="P90" i="17"/>
  <c r="AB90" i="17" s="1"/>
  <c r="P124" i="17"/>
  <c r="AB124" i="17" s="1"/>
  <c r="O515" i="17"/>
  <c r="AA515" i="17" s="1"/>
  <c r="O569" i="17"/>
  <c r="AA569" i="17" s="1"/>
  <c r="P44" i="17"/>
  <c r="AB44" i="17" s="1"/>
  <c r="O357" i="17"/>
  <c r="AA357" i="17" s="1"/>
  <c r="O320" i="17"/>
  <c r="AA320" i="17" s="1"/>
  <c r="O384" i="17"/>
  <c r="AA384" i="17" s="1"/>
  <c r="O537" i="17"/>
  <c r="AA537" i="17" s="1"/>
  <c r="O486" i="17"/>
  <c r="AA486" i="17" s="1"/>
  <c r="O520" i="17"/>
  <c r="AA520" i="17" s="1"/>
  <c r="O447" i="17"/>
  <c r="AA447" i="17" s="1"/>
  <c r="O511" i="17"/>
  <c r="AA511" i="17" s="1"/>
  <c r="O584" i="17"/>
  <c r="AA584" i="17" s="1"/>
  <c r="O565" i="17"/>
  <c r="AA565" i="17" s="1"/>
  <c r="P41" i="17"/>
  <c r="AB41" i="17" s="1"/>
  <c r="P105" i="17"/>
  <c r="AB105" i="17" s="1"/>
  <c r="P40" i="17"/>
  <c r="AB40" i="17" s="1"/>
  <c r="O56" i="17"/>
  <c r="AA56" i="17" s="1"/>
  <c r="O55" i="17"/>
  <c r="AA55" i="17" s="1"/>
  <c r="O151" i="17"/>
  <c r="AA151" i="17" s="1"/>
  <c r="O215" i="17"/>
  <c r="AA215" i="17" s="1"/>
  <c r="O279" i="17"/>
  <c r="AA279" i="17" s="1"/>
  <c r="O138" i="17"/>
  <c r="AA138" i="17" s="1"/>
  <c r="O234" i="17"/>
  <c r="AA234" i="17" s="1"/>
  <c r="O298" i="17"/>
  <c r="AA298" i="17" s="1"/>
  <c r="O329" i="17"/>
  <c r="AA329" i="17" s="1"/>
  <c r="O393" i="17"/>
  <c r="AA393" i="17" s="1"/>
  <c r="O356" i="17"/>
  <c r="AA356" i="17" s="1"/>
  <c r="O452" i="17"/>
  <c r="AA452" i="17" s="1"/>
  <c r="O516" i="17"/>
  <c r="AA516" i="17" s="1"/>
  <c r="O477" i="17"/>
  <c r="AA477" i="17" s="1"/>
  <c r="O541" i="17"/>
  <c r="AA541" i="17" s="1"/>
  <c r="O582" i="17"/>
  <c r="AA582" i="17" s="1"/>
  <c r="O596" i="17"/>
  <c r="AA596" i="17" s="1"/>
  <c r="O609" i="17"/>
  <c r="AA609" i="17" s="1"/>
  <c r="P71" i="17"/>
  <c r="AB71" i="17" s="1"/>
  <c r="P70" i="17"/>
  <c r="AB70" i="17" s="1"/>
  <c r="O410" i="17"/>
  <c r="AA410" i="17" s="1"/>
  <c r="O442" i="17"/>
  <c r="AA442" i="17" s="1"/>
  <c r="O506" i="17"/>
  <c r="AA506" i="17" s="1"/>
  <c r="O467" i="17"/>
  <c r="AA467" i="17" s="1"/>
  <c r="O585" i="17"/>
  <c r="AA585" i="17" s="1"/>
  <c r="O599" i="17"/>
  <c r="AA599" i="17" s="1"/>
  <c r="P61" i="17"/>
  <c r="AB61" i="17" s="1"/>
  <c r="P60" i="17"/>
  <c r="AB60" i="17" s="1"/>
  <c r="O18" i="17"/>
  <c r="AA18" i="17" s="1"/>
  <c r="O145" i="17"/>
  <c r="AA145" i="17" s="1"/>
  <c r="O273" i="17"/>
  <c r="AA273" i="17" s="1"/>
  <c r="O68" i="17"/>
  <c r="AA68" i="17" s="1"/>
  <c r="O67" i="17"/>
  <c r="AA67" i="17" s="1"/>
  <c r="O163" i="17"/>
  <c r="AA163" i="17" s="1"/>
  <c r="O227" i="17"/>
  <c r="AA227" i="17" s="1"/>
  <c r="O291" i="17"/>
  <c r="AA291" i="17" s="1"/>
  <c r="O150" i="17"/>
  <c r="AA150" i="17" s="1"/>
  <c r="O182" i="17"/>
  <c r="AA182" i="17" s="1"/>
  <c r="O246" i="17"/>
  <c r="AA246" i="17" s="1"/>
  <c r="O310" i="17"/>
  <c r="AA310" i="17" s="1"/>
  <c r="O341" i="17"/>
  <c r="AA341" i="17" s="1"/>
  <c r="O405" i="17"/>
  <c r="AA405" i="17" s="1"/>
  <c r="O368" i="17"/>
  <c r="AA368" i="17" s="1"/>
  <c r="O464" i="17"/>
  <c r="AA464" i="17" s="1"/>
  <c r="O425" i="17"/>
  <c r="AA425" i="17" s="1"/>
  <c r="O489" i="17"/>
  <c r="AA489" i="17" s="1"/>
  <c r="O521" i="17"/>
  <c r="AA521" i="17" s="1"/>
  <c r="O530" i="17"/>
  <c r="AA530" i="17" s="1"/>
  <c r="O594" i="17"/>
  <c r="AA594" i="17" s="1"/>
  <c r="O608" i="17"/>
  <c r="AA608" i="17" s="1"/>
  <c r="P19" i="17"/>
  <c r="AB19" i="17" s="1"/>
  <c r="P83" i="17"/>
  <c r="AB83" i="17" s="1"/>
  <c r="P18" i="17"/>
  <c r="AB18" i="17" s="1"/>
  <c r="P82" i="17"/>
  <c r="AB82" i="17" s="1"/>
  <c r="P148" i="17"/>
  <c r="AB148" i="17" s="1"/>
  <c r="P128" i="17"/>
  <c r="AB128" i="17" s="1"/>
  <c r="P192" i="17"/>
  <c r="AB192" i="17" s="1"/>
  <c r="P256" i="17"/>
  <c r="AB256" i="17" s="1"/>
  <c r="P115" i="17"/>
  <c r="AB115" i="17" s="1"/>
  <c r="P179" i="17"/>
  <c r="AB179" i="17" s="1"/>
  <c r="P243" i="17"/>
  <c r="AB243" i="17" s="1"/>
  <c r="P307" i="17"/>
  <c r="AB307" i="17" s="1"/>
  <c r="P340" i="17"/>
  <c r="AB340" i="17" s="1"/>
  <c r="P404" i="17"/>
  <c r="AB404" i="17" s="1"/>
  <c r="P333" i="17"/>
  <c r="AB333" i="17" s="1"/>
  <c r="P397" i="17"/>
  <c r="AB397" i="17" s="1"/>
  <c r="P429" i="17"/>
  <c r="AB429" i="17" s="1"/>
  <c r="P493" i="17"/>
  <c r="AB493" i="17" s="1"/>
  <c r="P456" i="17"/>
  <c r="AB456" i="17" s="1"/>
  <c r="P518" i="17"/>
  <c r="AB518" i="17" s="1"/>
  <c r="P551" i="17"/>
  <c r="AB551" i="17" s="1"/>
  <c r="P572" i="17"/>
  <c r="AB572" i="17" s="1"/>
  <c r="P126" i="17"/>
  <c r="AB126" i="17" s="1"/>
  <c r="P190" i="17"/>
  <c r="AB190" i="17" s="1"/>
  <c r="P254" i="17"/>
  <c r="AB254" i="17" s="1"/>
  <c r="P113" i="17"/>
  <c r="AB113" i="17" s="1"/>
  <c r="P177" i="17"/>
  <c r="AB177" i="17" s="1"/>
  <c r="P241" i="17"/>
  <c r="AB241" i="17" s="1"/>
  <c r="P305" i="17"/>
  <c r="AB305" i="17" s="1"/>
  <c r="P338" i="17"/>
  <c r="AB338" i="17" s="1"/>
  <c r="P402" i="17"/>
  <c r="AB402" i="17" s="1"/>
  <c r="P331" i="17"/>
  <c r="AB331" i="17" s="1"/>
  <c r="P395" i="17"/>
  <c r="AB395" i="17" s="1"/>
  <c r="P427" i="17"/>
  <c r="AB427" i="17" s="1"/>
  <c r="P491" i="17"/>
  <c r="AB491" i="17" s="1"/>
  <c r="P454" i="17"/>
  <c r="AB454" i="17" s="1"/>
  <c r="P519" i="17"/>
  <c r="AB519" i="17" s="1"/>
  <c r="P581" i="17"/>
  <c r="AB581" i="17" s="1"/>
  <c r="P570" i="17"/>
  <c r="AB570" i="17" s="1"/>
  <c r="P212" i="17"/>
  <c r="AB212" i="17" s="1"/>
  <c r="P172" i="17"/>
  <c r="AB172" i="17" s="1"/>
  <c r="P152" i="17"/>
  <c r="AB152" i="17" s="1"/>
  <c r="P216" i="17"/>
  <c r="AB216" i="17" s="1"/>
  <c r="P280" i="17"/>
  <c r="AB280" i="17" s="1"/>
  <c r="P139" i="17"/>
  <c r="AB139" i="17" s="1"/>
  <c r="P203" i="17"/>
  <c r="AB203" i="17" s="1"/>
  <c r="P267" i="17"/>
  <c r="AB267" i="17" s="1"/>
  <c r="P364" i="17"/>
  <c r="AB364" i="17" s="1"/>
  <c r="P357" i="17"/>
  <c r="AB357" i="17" s="1"/>
  <c r="P453" i="17"/>
  <c r="AB453" i="17" s="1"/>
  <c r="P517" i="17"/>
  <c r="AB517" i="17" s="1"/>
  <c r="P480" i="17"/>
  <c r="AB480" i="17" s="1"/>
  <c r="P542" i="17"/>
  <c r="AB542" i="17" s="1"/>
  <c r="P575" i="17"/>
  <c r="AB575" i="17" s="1"/>
  <c r="P533" i="17"/>
  <c r="AB533" i="17" s="1"/>
  <c r="P595" i="17"/>
  <c r="AB595" i="17" s="1"/>
  <c r="P608" i="17"/>
  <c r="AB608" i="17" s="1"/>
  <c r="P150" i="17"/>
  <c r="AB150" i="17" s="1"/>
  <c r="P214" i="17"/>
  <c r="AB214" i="17" s="1"/>
  <c r="P278" i="17"/>
  <c r="AB278" i="17" s="1"/>
  <c r="P137" i="17"/>
  <c r="AB137" i="17" s="1"/>
  <c r="P201" i="17"/>
  <c r="AB201" i="17" s="1"/>
  <c r="P265" i="17"/>
  <c r="AB265" i="17" s="1"/>
  <c r="P362" i="17"/>
  <c r="AB362" i="17" s="1"/>
  <c r="P355" i="17"/>
  <c r="AB355" i="17" s="1"/>
  <c r="P451" i="17"/>
  <c r="AB451" i="17" s="1"/>
  <c r="P515" i="17"/>
  <c r="AB515" i="17" s="1"/>
  <c r="P478" i="17"/>
  <c r="AB478" i="17" s="1"/>
  <c r="P540" i="17"/>
  <c r="AB540" i="17" s="1"/>
  <c r="P531" i="17"/>
  <c r="AB531" i="17" s="1"/>
  <c r="P594" i="17"/>
  <c r="AB594" i="17" s="1"/>
  <c r="P606" i="17"/>
  <c r="AB606" i="17" s="1"/>
  <c r="P252" i="17"/>
  <c r="AB252" i="17" s="1"/>
  <c r="P164" i="17"/>
  <c r="AB164" i="17" s="1"/>
  <c r="P144" i="17"/>
  <c r="AB144" i="17" s="1"/>
  <c r="P208" i="17"/>
  <c r="AB208" i="17" s="1"/>
  <c r="P272" i="17"/>
  <c r="AB272" i="17" s="1"/>
  <c r="P131" i="17"/>
  <c r="AB131" i="17" s="1"/>
  <c r="P195" i="17"/>
  <c r="AB195" i="17" s="1"/>
  <c r="P259" i="17"/>
  <c r="AB259" i="17" s="1"/>
  <c r="P356" i="17"/>
  <c r="AB356" i="17" s="1"/>
  <c r="P349" i="17"/>
  <c r="AB349" i="17" s="1"/>
  <c r="P413" i="17"/>
  <c r="AB413" i="17" s="1"/>
  <c r="P445" i="17"/>
  <c r="AB445" i="17" s="1"/>
  <c r="P509" i="17"/>
  <c r="AB509" i="17" s="1"/>
  <c r="P472" i="17"/>
  <c r="AB472" i="17" s="1"/>
  <c r="P534" i="17"/>
  <c r="AB534" i="17" s="1"/>
  <c r="P567" i="17"/>
  <c r="AB567" i="17" s="1"/>
  <c r="P525" i="17"/>
  <c r="AB525" i="17" s="1"/>
  <c r="P588" i="17"/>
  <c r="AB588" i="17" s="1"/>
  <c r="P600" i="17"/>
  <c r="AB600" i="17" s="1"/>
  <c r="P142" i="17"/>
  <c r="AB142" i="17" s="1"/>
  <c r="P206" i="17"/>
  <c r="AB206" i="17" s="1"/>
  <c r="P270" i="17"/>
  <c r="AB270" i="17" s="1"/>
  <c r="P129" i="17"/>
  <c r="AB129" i="17" s="1"/>
  <c r="P193" i="17"/>
  <c r="AB193" i="17" s="1"/>
  <c r="P257" i="17"/>
  <c r="AB257" i="17" s="1"/>
  <c r="P354" i="17"/>
  <c r="AB354" i="17" s="1"/>
  <c r="P347" i="17"/>
  <c r="AB347" i="17" s="1"/>
  <c r="P411" i="17"/>
  <c r="AB411" i="17" s="1"/>
  <c r="P443" i="17"/>
  <c r="AB443" i="17" s="1"/>
  <c r="P507" i="17"/>
  <c r="AB507" i="17" s="1"/>
  <c r="P470" i="17"/>
  <c r="AB470" i="17" s="1"/>
  <c r="P532" i="17"/>
  <c r="AB532" i="17" s="1"/>
  <c r="P523" i="17"/>
  <c r="AB523" i="17" s="1"/>
  <c r="P586" i="17"/>
  <c r="AB586" i="17" s="1"/>
  <c r="P598" i="17"/>
  <c r="AB598" i="17" s="1"/>
  <c r="P228" i="17"/>
  <c r="AB228" i="17" s="1"/>
  <c r="P104" i="17"/>
  <c r="AB104" i="17" s="1"/>
  <c r="P168" i="17"/>
  <c r="AB168" i="17" s="1"/>
  <c r="P232" i="17"/>
  <c r="AB232" i="17" s="1"/>
  <c r="P296" i="17"/>
  <c r="AB296" i="17" s="1"/>
  <c r="P155" i="17"/>
  <c r="AB155" i="17" s="1"/>
  <c r="P219" i="17"/>
  <c r="AB219" i="17" s="1"/>
  <c r="P283" i="17"/>
  <c r="AB283" i="17" s="1"/>
  <c r="P316" i="17"/>
  <c r="AB316" i="17" s="1"/>
  <c r="P380" i="17"/>
  <c r="AB380" i="17" s="1"/>
  <c r="P373" i="17"/>
  <c r="AB373" i="17" s="1"/>
  <c r="P469" i="17"/>
  <c r="AB469" i="17" s="1"/>
  <c r="P432" i="17"/>
  <c r="AB432" i="17" s="1"/>
  <c r="P496" i="17"/>
  <c r="AB496" i="17" s="1"/>
  <c r="P591" i="17"/>
  <c r="AB591" i="17" s="1"/>
  <c r="P548" i="17"/>
  <c r="AB548" i="17" s="1"/>
  <c r="P611" i="17"/>
  <c r="AB611" i="17" s="1"/>
  <c r="P102" i="17"/>
  <c r="AB102" i="17" s="1"/>
  <c r="P166" i="17"/>
  <c r="AB166" i="17" s="1"/>
  <c r="P230" i="17"/>
  <c r="AB230" i="17" s="1"/>
  <c r="P294" i="17"/>
  <c r="AB294" i="17" s="1"/>
  <c r="P153" i="17"/>
  <c r="AB153" i="17" s="1"/>
  <c r="P217" i="17"/>
  <c r="AB217" i="17" s="1"/>
  <c r="P281" i="17"/>
  <c r="AB281" i="17" s="1"/>
  <c r="P378" i="17"/>
  <c r="AB378" i="17" s="1"/>
  <c r="P371" i="17"/>
  <c r="AB371" i="17" s="1"/>
  <c r="P467" i="17"/>
  <c r="AB467" i="17" s="1"/>
  <c r="P430" i="17"/>
  <c r="AB430" i="17" s="1"/>
  <c r="P494" i="17"/>
  <c r="AB494" i="17" s="1"/>
  <c r="P557" i="17"/>
  <c r="AB557" i="17" s="1"/>
  <c r="P546" i="17"/>
  <c r="AB546" i="17" s="1"/>
  <c r="P609" i="17"/>
  <c r="AB609" i="17" s="1"/>
  <c r="P188" i="17"/>
  <c r="AB188" i="17" s="1"/>
  <c r="P268" i="17"/>
  <c r="AB268" i="17" s="1"/>
  <c r="P127" i="17"/>
  <c r="AB127" i="17" s="1"/>
  <c r="P191" i="17"/>
  <c r="AB191" i="17" s="1"/>
  <c r="P255" i="17"/>
  <c r="AB255" i="17" s="1"/>
  <c r="P352" i="17"/>
  <c r="AB352" i="17" s="1"/>
  <c r="P416" i="17"/>
  <c r="AB416" i="17" s="1"/>
  <c r="P345" i="17"/>
  <c r="AB345" i="17" s="1"/>
  <c r="P409" i="17"/>
  <c r="AB409" i="17" s="1"/>
  <c r="P441" i="17"/>
  <c r="AB441" i="17" s="1"/>
  <c r="P505" i="17"/>
  <c r="AB505" i="17" s="1"/>
  <c r="P436" i="17"/>
  <c r="AB436" i="17" s="1"/>
  <c r="P500" i="17"/>
  <c r="AB500" i="17" s="1"/>
  <c r="P552" i="17"/>
  <c r="AB552" i="17" s="1"/>
  <c r="P106" i="17"/>
  <c r="AB106" i="17" s="1"/>
  <c r="P170" i="17"/>
  <c r="AB170" i="17" s="1"/>
  <c r="P234" i="17"/>
  <c r="AB234" i="17" s="1"/>
  <c r="P298" i="17"/>
  <c r="AB298" i="17" s="1"/>
  <c r="P157" i="17"/>
  <c r="AB157" i="17" s="1"/>
  <c r="P221" i="17"/>
  <c r="AB221" i="17" s="1"/>
  <c r="P285" i="17"/>
  <c r="AB285" i="17" s="1"/>
  <c r="P318" i="17"/>
  <c r="AB318" i="17" s="1"/>
  <c r="P382" i="17"/>
  <c r="AB382" i="17" s="1"/>
  <c r="P375" i="17"/>
  <c r="AB375" i="17" s="1"/>
  <c r="P471" i="17"/>
  <c r="AB471" i="17" s="1"/>
  <c r="P434" i="17"/>
  <c r="AB434" i="17" s="1"/>
  <c r="P498" i="17"/>
  <c r="AB498" i="17" s="1"/>
  <c r="P561" i="17"/>
  <c r="AB561" i="17" s="1"/>
  <c r="P550" i="17"/>
  <c r="AB550" i="17" s="1"/>
  <c r="P613" i="17"/>
  <c r="AB613" i="17" s="1"/>
  <c r="P207" i="17"/>
  <c r="AB207" i="17" s="1"/>
  <c r="P368" i="17"/>
  <c r="AB368" i="17" s="1"/>
  <c r="P457" i="17"/>
  <c r="AB457" i="17" s="1"/>
  <c r="P516" i="17"/>
  <c r="AB516" i="17" s="1"/>
  <c r="P547" i="17"/>
  <c r="AB547" i="17" s="1"/>
  <c r="P122" i="17"/>
  <c r="AB122" i="17" s="1"/>
  <c r="P186" i="17"/>
  <c r="AB186" i="17" s="1"/>
  <c r="P250" i="17"/>
  <c r="AB250" i="17" s="1"/>
  <c r="P314" i="17"/>
  <c r="AB314" i="17" s="1"/>
  <c r="P173" i="17"/>
  <c r="AB173" i="17" s="1"/>
  <c r="P237" i="17"/>
  <c r="AB237" i="17" s="1"/>
  <c r="P301" i="17"/>
  <c r="AB301" i="17" s="1"/>
  <c r="P334" i="17"/>
  <c r="AB334" i="17" s="1"/>
  <c r="P359" i="17"/>
  <c r="AB359" i="17" s="1"/>
  <c r="P487" i="17"/>
  <c r="AB487" i="17" s="1"/>
  <c r="P514" i="17"/>
  <c r="AB514" i="17" s="1"/>
  <c r="P566" i="17"/>
  <c r="AB566" i="17" s="1"/>
  <c r="P610" i="17"/>
  <c r="AB610" i="17" s="1"/>
  <c r="P244" i="17"/>
  <c r="AB244" i="17" s="1"/>
  <c r="P140" i="17"/>
  <c r="AB140" i="17" s="1"/>
  <c r="P120" i="17"/>
  <c r="AB120" i="17" s="1"/>
  <c r="P184" i="17"/>
  <c r="AB184" i="17" s="1"/>
  <c r="P248" i="17"/>
  <c r="AB248" i="17" s="1"/>
  <c r="P312" i="17"/>
  <c r="AB312" i="17" s="1"/>
  <c r="P171" i="17"/>
  <c r="AB171" i="17" s="1"/>
  <c r="P235" i="17"/>
  <c r="AB235" i="17" s="1"/>
  <c r="P299" i="17"/>
  <c r="AB299" i="17" s="1"/>
  <c r="P332" i="17"/>
  <c r="AB332" i="17" s="1"/>
  <c r="P396" i="17"/>
  <c r="AB396" i="17" s="1"/>
  <c r="P325" i="17"/>
  <c r="AB325" i="17" s="1"/>
  <c r="P389" i="17"/>
  <c r="AB389" i="17" s="1"/>
  <c r="P421" i="17"/>
  <c r="AB421" i="17" s="1"/>
  <c r="P485" i="17"/>
  <c r="AB485" i="17" s="1"/>
  <c r="P448" i="17"/>
  <c r="AB448" i="17" s="1"/>
  <c r="P512" i="17"/>
  <c r="AB512" i="17" s="1"/>
  <c r="P564" i="17"/>
  <c r="AB564" i="17" s="1"/>
  <c r="P118" i="17"/>
  <c r="AB118" i="17" s="1"/>
  <c r="P182" i="17"/>
  <c r="AB182" i="17" s="1"/>
  <c r="P246" i="17"/>
  <c r="AB246" i="17" s="1"/>
  <c r="P310" i="17"/>
  <c r="AB310" i="17" s="1"/>
  <c r="P169" i="17"/>
  <c r="AB169" i="17" s="1"/>
  <c r="P233" i="17"/>
  <c r="AB233" i="17" s="1"/>
  <c r="P297" i="17"/>
  <c r="AB297" i="17" s="1"/>
  <c r="P330" i="17"/>
  <c r="AB330" i="17" s="1"/>
  <c r="P394" i="17"/>
  <c r="AB394" i="17" s="1"/>
  <c r="P323" i="17"/>
  <c r="AB323" i="17" s="1"/>
  <c r="P387" i="17"/>
  <c r="AB387" i="17" s="1"/>
  <c r="P419" i="17"/>
  <c r="AB419" i="17" s="1"/>
  <c r="P483" i="17"/>
  <c r="AB483" i="17" s="1"/>
  <c r="P446" i="17"/>
  <c r="AB446" i="17" s="1"/>
  <c r="P510" i="17"/>
  <c r="AB510" i="17" s="1"/>
  <c r="P562" i="17"/>
  <c r="AB562" i="17" s="1"/>
  <c r="P204" i="17"/>
  <c r="AB204" i="17" s="1"/>
  <c r="P284" i="17"/>
  <c r="AB284" i="17" s="1"/>
  <c r="P112" i="17"/>
  <c r="AB112" i="17" s="1"/>
  <c r="P176" i="17"/>
  <c r="AB176" i="17" s="1"/>
  <c r="P240" i="17"/>
  <c r="AB240" i="17" s="1"/>
  <c r="P304" i="17"/>
  <c r="AB304" i="17" s="1"/>
  <c r="P163" i="17"/>
  <c r="AB163" i="17" s="1"/>
  <c r="P227" i="17"/>
  <c r="AB227" i="17" s="1"/>
  <c r="P291" i="17"/>
  <c r="AB291" i="17" s="1"/>
  <c r="P324" i="17"/>
  <c r="AB324" i="17" s="1"/>
  <c r="P388" i="17"/>
  <c r="AB388" i="17" s="1"/>
  <c r="P317" i="17"/>
  <c r="AB317" i="17" s="1"/>
  <c r="P381" i="17"/>
  <c r="AB381" i="17" s="1"/>
  <c r="P477" i="17"/>
  <c r="AB477" i="17" s="1"/>
  <c r="P440" i="17"/>
  <c r="AB440" i="17" s="1"/>
  <c r="P504" i="17"/>
  <c r="AB504" i="17" s="1"/>
  <c r="P556" i="17"/>
  <c r="AB556" i="17" s="1"/>
  <c r="P110" i="17"/>
  <c r="AB110" i="17" s="1"/>
  <c r="P174" i="17"/>
  <c r="AB174" i="17" s="1"/>
  <c r="P238" i="17"/>
  <c r="AB238" i="17" s="1"/>
  <c r="P302" i="17"/>
  <c r="AB302" i="17" s="1"/>
  <c r="P161" i="17"/>
  <c r="AB161" i="17" s="1"/>
  <c r="P225" i="17"/>
  <c r="AB225" i="17" s="1"/>
  <c r="P289" i="17"/>
  <c r="AB289" i="17" s="1"/>
  <c r="P322" i="17"/>
  <c r="AB322" i="17" s="1"/>
  <c r="P386" i="17"/>
  <c r="AB386" i="17" s="1"/>
  <c r="P315" i="17"/>
  <c r="AB315" i="17" s="1"/>
  <c r="P379" i="17"/>
  <c r="AB379" i="17" s="1"/>
  <c r="P475" i="17"/>
  <c r="AB475" i="17" s="1"/>
  <c r="P438" i="17"/>
  <c r="AB438" i="17" s="1"/>
  <c r="P502" i="17"/>
  <c r="AB502" i="17" s="1"/>
  <c r="P565" i="17"/>
  <c r="AB565" i="17" s="1"/>
  <c r="P554" i="17"/>
  <c r="AB554" i="17" s="1"/>
  <c r="P196" i="17"/>
  <c r="AB196" i="17" s="1"/>
  <c r="P260" i="17"/>
  <c r="AB260" i="17" s="1"/>
  <c r="P156" i="17"/>
  <c r="AB156" i="17" s="1"/>
  <c r="P136" i="17"/>
  <c r="AB136" i="17" s="1"/>
  <c r="P200" i="17"/>
  <c r="AB200" i="17" s="1"/>
  <c r="P264" i="17"/>
  <c r="AB264" i="17" s="1"/>
  <c r="P123" i="17"/>
  <c r="AB123" i="17" s="1"/>
  <c r="P187" i="17"/>
  <c r="AB187" i="17" s="1"/>
  <c r="P251" i="17"/>
  <c r="AB251" i="17" s="1"/>
  <c r="P348" i="17"/>
  <c r="AB348" i="17" s="1"/>
  <c r="P412" i="17"/>
  <c r="AB412" i="17" s="1"/>
  <c r="P341" i="17"/>
  <c r="AB341" i="17" s="1"/>
  <c r="P405" i="17"/>
  <c r="AB405" i="17" s="1"/>
  <c r="P437" i="17"/>
  <c r="AB437" i="17" s="1"/>
  <c r="P501" i="17"/>
  <c r="AB501" i="17" s="1"/>
  <c r="P464" i="17"/>
  <c r="AB464" i="17" s="1"/>
  <c r="P526" i="17"/>
  <c r="AB526" i="17" s="1"/>
  <c r="P559" i="17"/>
  <c r="AB559" i="17" s="1"/>
  <c r="P580" i="17"/>
  <c r="AB580" i="17" s="1"/>
  <c r="P134" i="17"/>
  <c r="AB134" i="17" s="1"/>
  <c r="P198" i="17"/>
  <c r="AB198" i="17" s="1"/>
  <c r="P262" i="17"/>
  <c r="AB262" i="17" s="1"/>
  <c r="P121" i="17"/>
  <c r="AB121" i="17" s="1"/>
  <c r="P185" i="17"/>
  <c r="AB185" i="17" s="1"/>
  <c r="P249" i="17"/>
  <c r="AB249" i="17" s="1"/>
  <c r="P313" i="17"/>
  <c r="AB313" i="17" s="1"/>
  <c r="P346" i="17"/>
  <c r="AB346" i="17" s="1"/>
  <c r="P410" i="17"/>
  <c r="AB410" i="17" s="1"/>
  <c r="P339" i="17"/>
  <c r="AB339" i="17" s="1"/>
  <c r="P403" i="17"/>
  <c r="AB403" i="17" s="1"/>
  <c r="P435" i="17"/>
  <c r="AB435" i="17" s="1"/>
  <c r="P499" i="17"/>
  <c r="AB499" i="17" s="1"/>
  <c r="P462" i="17"/>
  <c r="AB462" i="17" s="1"/>
  <c r="P524" i="17"/>
  <c r="AB524" i="17" s="1"/>
  <c r="P589" i="17"/>
  <c r="AB589" i="17" s="1"/>
  <c r="P578" i="17"/>
  <c r="AB578" i="17" s="1"/>
  <c r="P220" i="17"/>
  <c r="AB220" i="17" s="1"/>
  <c r="P300" i="17"/>
  <c r="AB300" i="17" s="1"/>
  <c r="P159" i="17"/>
  <c r="AB159" i="17" s="1"/>
  <c r="P223" i="17"/>
  <c r="AB223" i="17" s="1"/>
  <c r="P287" i="17"/>
  <c r="AB287" i="17" s="1"/>
  <c r="P320" i="17"/>
  <c r="AB320" i="17" s="1"/>
  <c r="P384" i="17"/>
  <c r="AB384" i="17" s="1"/>
  <c r="P377" i="17"/>
  <c r="AB377" i="17" s="1"/>
  <c r="P473" i="17"/>
  <c r="AB473" i="17" s="1"/>
  <c r="P468" i="17"/>
  <c r="AB468" i="17" s="1"/>
  <c r="P530" i="17"/>
  <c r="AB530" i="17" s="1"/>
  <c r="P563" i="17"/>
  <c r="AB563" i="17" s="1"/>
  <c r="P521" i="17"/>
  <c r="AB521" i="17" s="1"/>
  <c r="P584" i="17"/>
  <c r="AB584" i="17" s="1"/>
  <c r="P596" i="17"/>
  <c r="AB596" i="17" s="1"/>
  <c r="P138" i="17"/>
  <c r="AB138" i="17" s="1"/>
  <c r="P202" i="17"/>
  <c r="AB202" i="17" s="1"/>
  <c r="P266" i="17"/>
  <c r="AB266" i="17" s="1"/>
  <c r="P125" i="17"/>
  <c r="AB125" i="17" s="1"/>
  <c r="P189" i="17"/>
  <c r="AB189" i="17" s="1"/>
  <c r="P253" i="17"/>
  <c r="AB253" i="17" s="1"/>
  <c r="P350" i="17"/>
  <c r="AB350" i="17" s="1"/>
  <c r="P414" i="17"/>
  <c r="AB414" i="17" s="1"/>
  <c r="P343" i="17"/>
  <c r="AB343" i="17" s="1"/>
  <c r="P407" i="17"/>
  <c r="AB407" i="17" s="1"/>
  <c r="P439" i="17"/>
  <c r="AB439" i="17" s="1"/>
  <c r="P503" i="17"/>
  <c r="AB503" i="17" s="1"/>
  <c r="P466" i="17"/>
  <c r="AB466" i="17" s="1"/>
  <c r="P528" i="17"/>
  <c r="AB528" i="17" s="1"/>
  <c r="P593" i="17"/>
  <c r="AB593" i="17" s="1"/>
  <c r="P582" i="17"/>
  <c r="AB582" i="17" s="1"/>
  <c r="P143" i="17"/>
  <c r="AB143" i="17" s="1"/>
  <c r="P271" i="17"/>
  <c r="AB271" i="17" s="1"/>
  <c r="P336" i="17"/>
  <c r="AB336" i="17" s="1"/>
  <c r="P400" i="17"/>
  <c r="AB400" i="17" s="1"/>
  <c r="P361" i="17"/>
  <c r="AB361" i="17" s="1"/>
  <c r="P425" i="17"/>
  <c r="AB425" i="17" s="1"/>
  <c r="P489" i="17"/>
  <c r="AB489" i="17" s="1"/>
  <c r="P452" i="17"/>
  <c r="AB452" i="17" s="1"/>
  <c r="P579" i="17"/>
  <c r="AB579" i="17" s="1"/>
  <c r="P568" i="17"/>
  <c r="AB568" i="17" s="1"/>
  <c r="P612" i="17"/>
  <c r="AB612" i="17" s="1"/>
  <c r="P154" i="17"/>
  <c r="AB154" i="17" s="1"/>
  <c r="P218" i="17"/>
  <c r="AB218" i="17" s="1"/>
  <c r="P282" i="17"/>
  <c r="AB282" i="17" s="1"/>
  <c r="P141" i="17"/>
  <c r="AB141" i="17" s="1"/>
  <c r="P205" i="17"/>
  <c r="AB205" i="17" s="1"/>
  <c r="P269" i="17"/>
  <c r="AB269" i="17" s="1"/>
  <c r="P398" i="17"/>
  <c r="AB398" i="17" s="1"/>
  <c r="P327" i="17"/>
  <c r="AB327" i="17" s="1"/>
  <c r="P391" i="17"/>
  <c r="AB391" i="17" s="1"/>
  <c r="P423" i="17"/>
  <c r="AB423" i="17" s="1"/>
  <c r="P450" i="17"/>
  <c r="AB450" i="17" s="1"/>
  <c r="P577" i="17"/>
  <c r="AB577" i="17" s="1"/>
  <c r="P276" i="17"/>
  <c r="AB276" i="17" s="1"/>
  <c r="P135" i="17"/>
  <c r="AB135" i="17" s="1"/>
  <c r="P199" i="17"/>
  <c r="AB199" i="17" s="1"/>
  <c r="P263" i="17"/>
  <c r="AB263" i="17" s="1"/>
  <c r="P360" i="17"/>
  <c r="AB360" i="17" s="1"/>
  <c r="P111" i="17"/>
  <c r="AB111" i="17" s="1"/>
  <c r="P239" i="17"/>
  <c r="AB239" i="17" s="1"/>
  <c r="P329" i="17"/>
  <c r="AB329" i="17" s="1"/>
  <c r="P420" i="17"/>
  <c r="AB420" i="17" s="1"/>
  <c r="P537" i="17"/>
  <c r="AB537" i="17" s="1"/>
  <c r="P366" i="17"/>
  <c r="AB366" i="17" s="1"/>
  <c r="P418" i="17"/>
  <c r="AB418" i="17" s="1"/>
  <c r="P545" i="17"/>
  <c r="AB545" i="17" s="1"/>
  <c r="P597" i="17"/>
  <c r="AB597" i="17" s="1"/>
  <c r="P292" i="17"/>
  <c r="AB292" i="17" s="1"/>
  <c r="P151" i="17"/>
  <c r="AB151" i="17" s="1"/>
  <c r="P215" i="17"/>
  <c r="AB215" i="17" s="1"/>
  <c r="P279" i="17"/>
  <c r="AB279" i="17" s="1"/>
  <c r="P376" i="17"/>
  <c r="AB376" i="17" s="1"/>
  <c r="P369" i="17"/>
  <c r="AB369" i="17" s="1"/>
  <c r="P465" i="17"/>
  <c r="AB465" i="17" s="1"/>
  <c r="P460" i="17"/>
  <c r="AB460" i="17" s="1"/>
  <c r="P353" i="17"/>
  <c r="AB353" i="17" s="1"/>
  <c r="P417" i="17"/>
  <c r="AB417" i="17" s="1"/>
  <c r="P481" i="17"/>
  <c r="AB481" i="17" s="1"/>
  <c r="P508" i="17"/>
  <c r="AB508" i="17" s="1"/>
  <c r="P560" i="17"/>
  <c r="AB560" i="17" s="1"/>
  <c r="P114" i="17"/>
  <c r="AB114" i="17" s="1"/>
  <c r="P178" i="17"/>
  <c r="AB178" i="17" s="1"/>
  <c r="P242" i="17"/>
  <c r="AB242" i="17" s="1"/>
  <c r="P306" i="17"/>
  <c r="AB306" i="17" s="1"/>
  <c r="P165" i="17"/>
  <c r="AB165" i="17" s="1"/>
  <c r="P229" i="17"/>
  <c r="AB229" i="17" s="1"/>
  <c r="P293" i="17"/>
  <c r="AB293" i="17" s="1"/>
  <c r="P326" i="17"/>
  <c r="AB326" i="17" s="1"/>
  <c r="P390" i="17"/>
  <c r="AB390" i="17" s="1"/>
  <c r="P319" i="17"/>
  <c r="AB319" i="17" s="1"/>
  <c r="P383" i="17"/>
  <c r="AB383" i="17" s="1"/>
  <c r="P479" i="17"/>
  <c r="AB479" i="17" s="1"/>
  <c r="P442" i="17"/>
  <c r="AB442" i="17" s="1"/>
  <c r="P506" i="17"/>
  <c r="AB506" i="17" s="1"/>
  <c r="P569" i="17"/>
  <c r="AB569" i="17" s="1"/>
  <c r="P558" i="17"/>
  <c r="AB558" i="17" s="1"/>
  <c r="P308" i="17"/>
  <c r="AB308" i="17" s="1"/>
  <c r="P167" i="17"/>
  <c r="AB167" i="17" s="1"/>
  <c r="P231" i="17"/>
  <c r="AB231" i="17" s="1"/>
  <c r="P295" i="17"/>
  <c r="AB295" i="17" s="1"/>
  <c r="P328" i="17"/>
  <c r="AB328" i="17" s="1"/>
  <c r="P392" i="17"/>
  <c r="AB392" i="17" s="1"/>
  <c r="P321" i="17"/>
  <c r="AB321" i="17" s="1"/>
  <c r="P175" i="17"/>
  <c r="AB175" i="17" s="1"/>
  <c r="P303" i="17"/>
  <c r="AB303" i="17" s="1"/>
  <c r="P393" i="17"/>
  <c r="AB393" i="17" s="1"/>
  <c r="P484" i="17"/>
  <c r="AB484" i="17" s="1"/>
  <c r="P599" i="17"/>
  <c r="AB599" i="17" s="1"/>
  <c r="P455" i="17"/>
  <c r="AB455" i="17" s="1"/>
  <c r="P482" i="17"/>
  <c r="AB482" i="17" s="1"/>
  <c r="P535" i="17"/>
  <c r="AB535" i="17" s="1"/>
  <c r="P236" i="17"/>
  <c r="AB236" i="17" s="1"/>
  <c r="P119" i="17"/>
  <c r="AB119" i="17" s="1"/>
  <c r="P183" i="17"/>
  <c r="AB183" i="17" s="1"/>
  <c r="P247" i="17"/>
  <c r="AB247" i="17" s="1"/>
  <c r="P311" i="17"/>
  <c r="AB311" i="17" s="1"/>
  <c r="P344" i="17"/>
  <c r="AB344" i="17" s="1"/>
  <c r="P408" i="17"/>
  <c r="AB408" i="17" s="1"/>
  <c r="P337" i="17"/>
  <c r="AB337" i="17" s="1"/>
  <c r="P401" i="17"/>
  <c r="AB401" i="17" s="1"/>
  <c r="P433" i="17"/>
  <c r="AB433" i="17" s="1"/>
  <c r="P497" i="17"/>
  <c r="AB497" i="17" s="1"/>
  <c r="P428" i="17"/>
  <c r="AB428" i="17" s="1"/>
  <c r="P492" i="17"/>
  <c r="AB492" i="17" s="1"/>
  <c r="P449" i="17"/>
  <c r="AB449" i="17" s="1"/>
  <c r="P513" i="17"/>
  <c r="AB513" i="17" s="1"/>
  <c r="P444" i="17"/>
  <c r="AB444" i="17" s="1"/>
  <c r="P538" i="17"/>
  <c r="AB538" i="17" s="1"/>
  <c r="P571" i="17"/>
  <c r="AB571" i="17" s="1"/>
  <c r="P529" i="17"/>
  <c r="AB529" i="17" s="1"/>
  <c r="P592" i="17"/>
  <c r="AB592" i="17" s="1"/>
  <c r="P604" i="17"/>
  <c r="AB604" i="17" s="1"/>
  <c r="P146" i="17"/>
  <c r="AB146" i="17" s="1"/>
  <c r="P210" i="17"/>
  <c r="AB210" i="17" s="1"/>
  <c r="P274" i="17"/>
  <c r="AB274" i="17" s="1"/>
  <c r="P133" i="17"/>
  <c r="AB133" i="17" s="1"/>
  <c r="P197" i="17"/>
  <c r="AB197" i="17" s="1"/>
  <c r="P261" i="17"/>
  <c r="AB261" i="17" s="1"/>
  <c r="P358" i="17"/>
  <c r="AB358" i="17" s="1"/>
  <c r="P351" i="17"/>
  <c r="AB351" i="17" s="1"/>
  <c r="P415" i="17"/>
  <c r="AB415" i="17" s="1"/>
  <c r="P447" i="17"/>
  <c r="AB447" i="17" s="1"/>
  <c r="P511" i="17"/>
  <c r="AB511" i="17" s="1"/>
  <c r="P474" i="17"/>
  <c r="AB474" i="17" s="1"/>
  <c r="P536" i="17"/>
  <c r="AB536" i="17" s="1"/>
  <c r="P527" i="17"/>
  <c r="AB527" i="17" s="1"/>
  <c r="P590" i="17"/>
  <c r="AB590" i="17" s="1"/>
  <c r="P602" i="17"/>
  <c r="AB602" i="17" s="1"/>
  <c r="P476" i="17"/>
  <c r="AB476" i="17" s="1"/>
  <c r="P587" i="17"/>
  <c r="AB587" i="17" s="1"/>
  <c r="P544" i="17"/>
  <c r="AB544" i="17" s="1"/>
  <c r="P607" i="17"/>
  <c r="AB607" i="17" s="1"/>
  <c r="P98" i="17"/>
  <c r="AB98" i="17" s="1"/>
  <c r="P162" i="17"/>
  <c r="AB162" i="17" s="1"/>
  <c r="P226" i="17"/>
  <c r="AB226" i="17" s="1"/>
  <c r="P290" i="17"/>
  <c r="AB290" i="17" s="1"/>
  <c r="P149" i="17"/>
  <c r="AB149" i="17" s="1"/>
  <c r="P213" i="17"/>
  <c r="AB213" i="17" s="1"/>
  <c r="P277" i="17"/>
  <c r="AB277" i="17" s="1"/>
  <c r="P374" i="17"/>
  <c r="AB374" i="17" s="1"/>
  <c r="P367" i="17"/>
  <c r="AB367" i="17" s="1"/>
  <c r="P463" i="17"/>
  <c r="AB463" i="17" s="1"/>
  <c r="P426" i="17"/>
  <c r="AB426" i="17" s="1"/>
  <c r="P490" i="17"/>
  <c r="AB490" i="17" s="1"/>
  <c r="P553" i="17"/>
  <c r="AB553" i="17" s="1"/>
  <c r="P543" i="17"/>
  <c r="AB543" i="17" s="1"/>
  <c r="P605" i="17"/>
  <c r="AB605" i="17" s="1"/>
  <c r="P385" i="17"/>
  <c r="AB385" i="17" s="1"/>
  <c r="P522" i="17"/>
  <c r="AB522" i="17" s="1"/>
  <c r="P555" i="17"/>
  <c r="AB555" i="17" s="1"/>
  <c r="P576" i="17"/>
  <c r="AB576" i="17" s="1"/>
  <c r="P130" i="17"/>
  <c r="AB130" i="17" s="1"/>
  <c r="P194" i="17"/>
  <c r="AB194" i="17" s="1"/>
  <c r="P258" i="17"/>
  <c r="AB258" i="17" s="1"/>
  <c r="P117" i="17"/>
  <c r="AB117" i="17" s="1"/>
  <c r="P181" i="17"/>
  <c r="AB181" i="17" s="1"/>
  <c r="P245" i="17"/>
  <c r="AB245" i="17" s="1"/>
  <c r="P309" i="17"/>
  <c r="AB309" i="17" s="1"/>
  <c r="P342" i="17"/>
  <c r="AB342" i="17" s="1"/>
  <c r="P406" i="17"/>
  <c r="AB406" i="17" s="1"/>
  <c r="P335" i="17"/>
  <c r="AB335" i="17" s="1"/>
  <c r="P399" i="17"/>
  <c r="AB399" i="17" s="1"/>
  <c r="P431" i="17"/>
  <c r="AB431" i="17" s="1"/>
  <c r="P495" i="17"/>
  <c r="AB495" i="17" s="1"/>
  <c r="P458" i="17"/>
  <c r="AB458" i="17" s="1"/>
  <c r="P520" i="17"/>
  <c r="AB520" i="17" s="1"/>
  <c r="P585" i="17"/>
  <c r="AB585" i="17" s="1"/>
  <c r="P574" i="17"/>
  <c r="AB574" i="17" s="1"/>
  <c r="O13" i="17"/>
  <c r="AA13" i="17" s="1"/>
  <c r="E633" i="17"/>
  <c r="AB628" i="17" l="1"/>
  <c r="A423" i="2"/>
  <c r="B423" i="2"/>
  <c r="C64" i="16"/>
  <c r="D64" i="16" s="1"/>
  <c r="B322" i="2"/>
  <c r="B79" i="1" l="1"/>
  <c r="AA628" i="17"/>
  <c r="E637" i="17" s="1"/>
  <c r="A441" i="2"/>
  <c r="B441" i="2"/>
  <c r="D52" i="16" l="1"/>
  <c r="C3" i="8" l="1"/>
  <c r="C159" i="8" s="1"/>
  <c r="C158" i="8" s="1"/>
  <c r="C157" i="8" s="1"/>
  <c r="C156" i="8" s="1"/>
  <c r="C155" i="8" s="1"/>
  <c r="C154" i="8" s="1"/>
  <c r="C153" i="8" s="1"/>
  <c r="C152" i="8" s="1"/>
  <c r="C151" i="8" s="1"/>
  <c r="C150" i="8" s="1"/>
  <c r="C149" i="8" s="1"/>
  <c r="C148" i="8" s="1"/>
  <c r="C147" i="8" s="1"/>
  <c r="C146" i="8" s="1"/>
  <c r="C145" i="8" s="1"/>
  <c r="C144" i="8" s="1"/>
  <c r="C143" i="8" s="1"/>
  <c r="C142" i="8" s="1"/>
  <c r="C141" i="8" s="1"/>
  <c r="C140" i="8" s="1"/>
  <c r="C139" i="8" s="1"/>
  <c r="C138" i="8" s="1"/>
  <c r="C137" i="8" s="1"/>
  <c r="C136" i="8" s="1"/>
  <c r="C135" i="8" s="1"/>
  <c r="C134" i="8" s="1"/>
  <c r="C133" i="8" s="1"/>
  <c r="C132" i="8" s="1"/>
  <c r="C131" i="8" s="1"/>
  <c r="C130" i="8" s="1"/>
  <c r="C129" i="8" s="1"/>
  <c r="C128" i="8" s="1"/>
  <c r="C127" i="8" s="1"/>
  <c r="C126" i="8" s="1"/>
  <c r="C125" i="8" s="1"/>
  <c r="C124" i="8" s="1"/>
  <c r="C123" i="8" s="1"/>
  <c r="C122" i="8" s="1"/>
  <c r="C121" i="8" s="1"/>
  <c r="C120" i="8" s="1"/>
  <c r="C119" i="8" s="1"/>
  <c r="C118" i="8" s="1"/>
  <c r="C117" i="8" s="1"/>
  <c r="C116" i="8" s="1"/>
  <c r="C115" i="8" s="1"/>
  <c r="C114" i="8" s="1"/>
  <c r="C113" i="8" s="1"/>
  <c r="C112" i="8" s="1"/>
  <c r="C111" i="8" s="1"/>
  <c r="C110" i="8" s="1"/>
  <c r="C109" i="8" s="1"/>
  <c r="C108" i="8" s="1"/>
  <c r="C107" i="8" s="1"/>
  <c r="C106" i="8" s="1"/>
  <c r="C105" i="8" s="1"/>
  <c r="C104" i="8" s="1"/>
  <c r="C103" i="8" s="1"/>
  <c r="C102" i="8" s="1"/>
  <c r="C101" i="8" s="1"/>
  <c r="C100" i="8" s="1"/>
  <c r="C99" i="8" s="1"/>
  <c r="C98" i="8" s="1"/>
  <c r="C97" i="8" s="1"/>
  <c r="C96" i="8" s="1"/>
  <c r="C95" i="8" s="1"/>
  <c r="C94" i="8" s="1"/>
  <c r="C93" i="8" s="1"/>
  <c r="C92" i="8" s="1"/>
  <c r="C91" i="8" s="1"/>
  <c r="C90" i="8" s="1"/>
  <c r="C89" i="8" s="1"/>
  <c r="C88" i="8" s="1"/>
  <c r="C87" i="8" s="1"/>
  <c r="C86" i="8" s="1"/>
  <c r="C85" i="8" s="1"/>
  <c r="C84" i="8" s="1"/>
  <c r="C83" i="8" s="1"/>
  <c r="C82" i="8" s="1"/>
  <c r="C81" i="8" s="1"/>
  <c r="C80" i="8" s="1"/>
  <c r="C79" i="8" s="1"/>
  <c r="C78" i="8" s="1"/>
  <c r="C77" i="8" s="1"/>
  <c r="C76" i="8" s="1"/>
  <c r="C75" i="8" s="1"/>
  <c r="C74" i="8" s="1"/>
  <c r="C73" i="8" s="1"/>
  <c r="C72" i="8" s="1"/>
  <c r="C71" i="8" s="1"/>
  <c r="C70" i="8" s="1"/>
  <c r="C69" i="8" s="1"/>
  <c r="C68" i="8" s="1"/>
  <c r="C67" i="8" s="1"/>
  <c r="C66" i="8" s="1"/>
  <c r="C65" i="8" s="1"/>
  <c r="C64" i="8" s="1"/>
  <c r="C63" i="8" s="1"/>
  <c r="C62" i="8" s="1"/>
  <c r="C61" i="8" s="1"/>
  <c r="C60" i="8" s="1"/>
  <c r="C59" i="8" s="1"/>
  <c r="C58" i="8" s="1"/>
  <c r="C57" i="8" s="1"/>
  <c r="C56" i="8" s="1"/>
  <c r="C55" i="8" s="1"/>
  <c r="C54" i="8" s="1"/>
  <c r="C53" i="8" s="1"/>
  <c r="C52" i="8" s="1"/>
  <c r="C51" i="8" s="1"/>
  <c r="C50" i="8" s="1"/>
  <c r="C49" i="8" s="1"/>
  <c r="C48" i="8" s="1"/>
  <c r="C47" i="8" s="1"/>
  <c r="C46" i="8" s="1"/>
  <c r="C45" i="8" s="1"/>
  <c r="C44" i="8" s="1"/>
  <c r="C43" i="8" s="1"/>
  <c r="C42" i="8" s="1"/>
  <c r="C41" i="8" s="1"/>
  <c r="C40" i="8" s="1"/>
  <c r="C39" i="8" s="1"/>
  <c r="C38" i="8" s="1"/>
  <c r="C37" i="8" s="1"/>
  <c r="C36" i="8" s="1"/>
  <c r="C35" i="8" s="1"/>
  <c r="C34" i="8" s="1"/>
  <c r="C33" i="8" s="1"/>
  <c r="C32" i="8" s="1"/>
  <c r="C31" i="8" s="1"/>
  <c r="C30" i="8" s="1"/>
  <c r="C29" i="8" s="1"/>
  <c r="C28" i="8" s="1"/>
  <c r="C27" i="8" s="1"/>
  <c r="C26" i="8" s="1"/>
  <c r="C25" i="8" s="1"/>
  <c r="C24" i="8" s="1"/>
  <c r="C23" i="8" s="1"/>
  <c r="C22" i="8" s="1"/>
  <c r="C21" i="8" s="1"/>
  <c r="C20" i="8" s="1"/>
  <c r="C19" i="8" s="1"/>
  <c r="C18" i="8" s="1"/>
  <c r="C17" i="8" s="1"/>
  <c r="C16" i="8" s="1"/>
  <c r="C15" i="8" s="1"/>
  <c r="C14" i="8" s="1"/>
  <c r="C13" i="8" s="1"/>
  <c r="C12" i="8" s="1"/>
  <c r="C11" i="8" s="1"/>
  <c r="C10" i="8" s="1"/>
  <c r="C9" i="8" s="1"/>
  <c r="C8" i="8" s="1"/>
  <c r="C7" i="8" s="1"/>
  <c r="C6" i="8" s="1"/>
  <c r="C4" i="8" s="1"/>
  <c r="N28" i="8" s="1"/>
  <c r="D3" i="8"/>
  <c r="D159" i="8" s="1"/>
  <c r="D158" i="8" s="1"/>
  <c r="D157" i="8" s="1"/>
  <c r="D156" i="8" s="1"/>
  <c r="D155" i="8" s="1"/>
  <c r="D154" i="8" s="1"/>
  <c r="D153" i="8" s="1"/>
  <c r="D152" i="8" s="1"/>
  <c r="D151" i="8" s="1"/>
  <c r="D150" i="8" s="1"/>
  <c r="D149" i="8" s="1"/>
  <c r="D148" i="8" s="1"/>
  <c r="D147" i="8" s="1"/>
  <c r="D146" i="8" s="1"/>
  <c r="D145" i="8" s="1"/>
  <c r="D144" i="8" s="1"/>
  <c r="D143" i="8" s="1"/>
  <c r="D142" i="8" s="1"/>
  <c r="D141" i="8" s="1"/>
  <c r="D140" i="8" s="1"/>
  <c r="D139" i="8" s="1"/>
  <c r="D138" i="8" s="1"/>
  <c r="D137" i="8" s="1"/>
  <c r="D136" i="8" s="1"/>
  <c r="D135" i="8" s="1"/>
  <c r="D134" i="8" s="1"/>
  <c r="D133" i="8" s="1"/>
  <c r="D132" i="8" s="1"/>
  <c r="D131" i="8" s="1"/>
  <c r="D130" i="8" s="1"/>
  <c r="D129" i="8" s="1"/>
  <c r="D128" i="8" s="1"/>
  <c r="D127" i="8" s="1"/>
  <c r="D126" i="8" s="1"/>
  <c r="D125" i="8" s="1"/>
  <c r="D124" i="8" s="1"/>
  <c r="D123" i="8" s="1"/>
  <c r="D122" i="8" s="1"/>
  <c r="D121" i="8" s="1"/>
  <c r="D120" i="8" s="1"/>
  <c r="D119" i="8" s="1"/>
  <c r="D118" i="8" s="1"/>
  <c r="D117" i="8" s="1"/>
  <c r="D116" i="8" s="1"/>
  <c r="D115" i="8" s="1"/>
  <c r="D114" i="8" s="1"/>
  <c r="D113" i="8" s="1"/>
  <c r="D112" i="8" s="1"/>
  <c r="D111" i="8" s="1"/>
  <c r="D110" i="8" s="1"/>
  <c r="D109" i="8" s="1"/>
  <c r="D108" i="8" s="1"/>
  <c r="D107" i="8" s="1"/>
  <c r="D106" i="8" s="1"/>
  <c r="D105" i="8" s="1"/>
  <c r="D104" i="8" s="1"/>
  <c r="D103" i="8" s="1"/>
  <c r="D102" i="8" s="1"/>
  <c r="D101" i="8" s="1"/>
  <c r="D100" i="8" s="1"/>
  <c r="D99" i="8" s="1"/>
  <c r="D98" i="8" s="1"/>
  <c r="D97" i="8" s="1"/>
  <c r="D96" i="8" s="1"/>
  <c r="D95" i="8" s="1"/>
  <c r="D94" i="8" s="1"/>
  <c r="D93" i="8" s="1"/>
  <c r="D92" i="8" s="1"/>
  <c r="D91" i="8" s="1"/>
  <c r="D90" i="8" s="1"/>
  <c r="D89" i="8" s="1"/>
  <c r="D88" i="8" s="1"/>
  <c r="D87" i="8" s="1"/>
  <c r="D86" i="8" s="1"/>
  <c r="D85" i="8" s="1"/>
  <c r="D84" i="8" s="1"/>
  <c r="D83" i="8" s="1"/>
  <c r="D82" i="8" s="1"/>
  <c r="D81" i="8" s="1"/>
  <c r="D80" i="8" s="1"/>
  <c r="D79" i="8" s="1"/>
  <c r="D78" i="8" s="1"/>
  <c r="D77" i="8" s="1"/>
  <c r="D76" i="8" s="1"/>
  <c r="D75" i="8" s="1"/>
  <c r="D74" i="8" s="1"/>
  <c r="D73" i="8" s="1"/>
  <c r="D72" i="8" s="1"/>
  <c r="D71" i="8" s="1"/>
  <c r="D70" i="8" s="1"/>
  <c r="D69" i="8" s="1"/>
  <c r="D68" i="8" s="1"/>
  <c r="D67" i="8" s="1"/>
  <c r="D66" i="8" s="1"/>
  <c r="D65" i="8" s="1"/>
  <c r="D64" i="8" s="1"/>
  <c r="D63" i="8" s="1"/>
  <c r="D62" i="8" s="1"/>
  <c r="D61" i="8" s="1"/>
  <c r="D60" i="8" s="1"/>
  <c r="D59" i="8" s="1"/>
  <c r="D58" i="8" s="1"/>
  <c r="D57" i="8" s="1"/>
  <c r="D56" i="8" s="1"/>
  <c r="D55" i="8" s="1"/>
  <c r="D54" i="8" s="1"/>
  <c r="D53" i="8" s="1"/>
  <c r="D52" i="8" s="1"/>
  <c r="D51" i="8" s="1"/>
  <c r="D50" i="8" s="1"/>
  <c r="D49" i="8" s="1"/>
  <c r="D48" i="8" s="1"/>
  <c r="D47" i="8" s="1"/>
  <c r="D46" i="8" s="1"/>
  <c r="D45" i="8" s="1"/>
  <c r="D44" i="8" s="1"/>
  <c r="D43" i="8" s="1"/>
  <c r="D42" i="8" s="1"/>
  <c r="D41" i="8" s="1"/>
  <c r="D40" i="8" s="1"/>
  <c r="D39" i="8" s="1"/>
  <c r="D38" i="8" s="1"/>
  <c r="D37" i="8" s="1"/>
  <c r="D36" i="8" s="1"/>
  <c r="D35" i="8" s="1"/>
  <c r="D34" i="8" s="1"/>
  <c r="D33" i="8" s="1"/>
  <c r="D32" i="8" s="1"/>
  <c r="D31" i="8" s="1"/>
  <c r="D30" i="8" s="1"/>
  <c r="D29" i="8" s="1"/>
  <c r="D28" i="8" s="1"/>
  <c r="D27" i="8" s="1"/>
  <c r="D26" i="8" s="1"/>
  <c r="D25" i="8" s="1"/>
  <c r="D24" i="8" s="1"/>
  <c r="D23" i="8" s="1"/>
  <c r="D22" i="8" s="1"/>
  <c r="D21" i="8" s="1"/>
  <c r="D20" i="8" s="1"/>
  <c r="D19" i="8" s="1"/>
  <c r="D18" i="8" s="1"/>
  <c r="D17" i="8" s="1"/>
  <c r="D16" i="8" s="1"/>
  <c r="D15" i="8" s="1"/>
  <c r="D14" i="8" s="1"/>
  <c r="D13" i="8" s="1"/>
  <c r="D12" i="8" s="1"/>
  <c r="D11" i="8" s="1"/>
  <c r="D10" i="8" s="1"/>
  <c r="D9" i="8" s="1"/>
  <c r="D8" i="8" s="1"/>
  <c r="D7" i="8" s="1"/>
  <c r="D6" i="8" s="1"/>
  <c r="D4" i="8" s="1"/>
  <c r="O28" i="8" l="1"/>
  <c r="C79" i="1" s="1"/>
  <c r="D79" i="1" s="1"/>
  <c r="O29" i="8"/>
  <c r="C80" i="1" s="1"/>
  <c r="D80" i="1" s="1"/>
  <c r="N29" i="8"/>
  <c r="B323" i="2" l="1"/>
  <c r="B442" i="2" s="1"/>
  <c r="C50" i="16"/>
  <c r="D50" i="16" s="1"/>
  <c r="B310" i="2" l="1"/>
  <c r="A442" i="2"/>
  <c r="B324" i="2"/>
  <c r="B443" i="2" s="1"/>
  <c r="C51" i="16"/>
  <c r="D51" i="16" s="1"/>
  <c r="B329" i="2"/>
  <c r="A443" i="2" l="1"/>
  <c r="B311" i="2"/>
  <c r="C7" i="17" s="1"/>
  <c r="B330" i="2"/>
  <c r="F78" i="1"/>
  <c r="C5" i="17"/>
  <c r="E72" i="1"/>
  <c r="F79" i="1"/>
  <c r="C4" i="17"/>
  <c r="F80" i="1" l="1"/>
  <c r="A629" i="17"/>
  <c r="A627" i="17"/>
  <c r="H627" i="17" s="1"/>
  <c r="N592" i="17"/>
  <c r="N628" i="17"/>
  <c r="M628" i="17"/>
  <c r="J628" i="17"/>
  <c r="I628" i="17"/>
  <c r="K628" i="17"/>
  <c r="L628" i="17"/>
  <c r="J610" i="17"/>
  <c r="I613" i="17"/>
  <c r="J606" i="17"/>
  <c r="J602" i="17"/>
  <c r="J598" i="17"/>
  <c r="C634" i="17"/>
  <c r="I612" i="17"/>
  <c r="I608" i="17"/>
  <c r="I604" i="17"/>
  <c r="I600" i="17"/>
  <c r="I596" i="17"/>
  <c r="J592" i="17"/>
  <c r="J588" i="17"/>
  <c r="J584" i="17"/>
  <c r="J580" i="17"/>
  <c r="J576" i="17"/>
  <c r="J572" i="17"/>
  <c r="J568" i="17"/>
  <c r="J564" i="17"/>
  <c r="J560" i="17"/>
  <c r="J556" i="17"/>
  <c r="J552" i="17"/>
  <c r="J548" i="17"/>
  <c r="J544" i="17"/>
  <c r="J587" i="17"/>
  <c r="J579" i="17"/>
  <c r="J571" i="17"/>
  <c r="J563" i="17"/>
  <c r="J555" i="17"/>
  <c r="J547" i="17"/>
  <c r="J541" i="17"/>
  <c r="J537" i="17"/>
  <c r="J533" i="17"/>
  <c r="J529" i="17"/>
  <c r="J525" i="17"/>
  <c r="J521" i="17"/>
  <c r="I588" i="17"/>
  <c r="I580" i="17"/>
  <c r="I572" i="17"/>
  <c r="I564" i="17"/>
  <c r="I556" i="17"/>
  <c r="I548" i="17"/>
  <c r="J542" i="17"/>
  <c r="J538" i="17"/>
  <c r="J534" i="17"/>
  <c r="J530" i="17"/>
  <c r="J526" i="17"/>
  <c r="J522" i="17"/>
  <c r="I520" i="17"/>
  <c r="I515" i="17"/>
  <c r="I511" i="17"/>
  <c r="I507" i="17"/>
  <c r="I503" i="17"/>
  <c r="I499" i="17"/>
  <c r="I495" i="17"/>
  <c r="I491" i="17"/>
  <c r="I487" i="17"/>
  <c r="I483" i="17"/>
  <c r="I479" i="17"/>
  <c r="I475" i="17"/>
  <c r="I471" i="17"/>
  <c r="I467" i="17"/>
  <c r="I463" i="17"/>
  <c r="I459" i="17"/>
  <c r="I455" i="17"/>
  <c r="I451" i="17"/>
  <c r="I447" i="17"/>
  <c r="I443" i="17"/>
  <c r="I439" i="17"/>
  <c r="I435" i="17"/>
  <c r="I431" i="17"/>
  <c r="I427" i="17"/>
  <c r="I423" i="17"/>
  <c r="I419" i="17"/>
  <c r="I518" i="17"/>
  <c r="I514" i="17"/>
  <c r="I510" i="17"/>
  <c r="I506" i="17"/>
  <c r="I502" i="17"/>
  <c r="I498" i="17"/>
  <c r="I494" i="17"/>
  <c r="I490" i="17"/>
  <c r="I486" i="17"/>
  <c r="I482" i="17"/>
  <c r="I478" i="17"/>
  <c r="I474" i="17"/>
  <c r="I470" i="17"/>
  <c r="I466" i="17"/>
  <c r="I462" i="17"/>
  <c r="I458" i="17"/>
  <c r="I454" i="17"/>
  <c r="I450" i="17"/>
  <c r="I446" i="17"/>
  <c r="I442" i="17"/>
  <c r="I438" i="17"/>
  <c r="I434" i="17"/>
  <c r="I430" i="17"/>
  <c r="I426" i="17"/>
  <c r="I422" i="17"/>
  <c r="I418" i="17"/>
  <c r="I414" i="17"/>
  <c r="I410" i="17"/>
  <c r="I406" i="17"/>
  <c r="I402" i="17"/>
  <c r="I398" i="17"/>
  <c r="I394" i="17"/>
  <c r="I390" i="17"/>
  <c r="I386" i="17"/>
  <c r="I382" i="17"/>
  <c r="I378" i="17"/>
  <c r="I374" i="17"/>
  <c r="I370" i="17"/>
  <c r="I366" i="17"/>
  <c r="I362" i="17"/>
  <c r="I358" i="17"/>
  <c r="I354" i="17"/>
  <c r="I350" i="17"/>
  <c r="I346" i="17"/>
  <c r="I342" i="17"/>
  <c r="I338" i="17"/>
  <c r="I334" i="17"/>
  <c r="I330" i="17"/>
  <c r="I326" i="17"/>
  <c r="I322" i="17"/>
  <c r="I318" i="17"/>
  <c r="J416" i="17"/>
  <c r="J412" i="17"/>
  <c r="J408" i="17"/>
  <c r="J404" i="17"/>
  <c r="J400" i="17"/>
  <c r="J396" i="17"/>
  <c r="J392" i="17"/>
  <c r="J388" i="17"/>
  <c r="J384" i="17"/>
  <c r="J380" i="17"/>
  <c r="J376" i="17"/>
  <c r="J372" i="17"/>
  <c r="J368" i="17"/>
  <c r="J364" i="17"/>
  <c r="J360" i="17"/>
  <c r="J356" i="17"/>
  <c r="J352" i="17"/>
  <c r="J348" i="17"/>
  <c r="J344" i="17"/>
  <c r="J340" i="17"/>
  <c r="J336" i="17"/>
  <c r="J332" i="17"/>
  <c r="J328" i="17"/>
  <c r="J324" i="17"/>
  <c r="J320" i="17"/>
  <c r="J316" i="17"/>
  <c r="I312" i="17"/>
  <c r="I308" i="17"/>
  <c r="I304" i="17"/>
  <c r="I300" i="17"/>
  <c r="I296" i="17"/>
  <c r="I292" i="17"/>
  <c r="I288" i="17"/>
  <c r="I284" i="17"/>
  <c r="I280" i="17"/>
  <c r="I276" i="17"/>
  <c r="I272" i="17"/>
  <c r="I268" i="17"/>
  <c r="I264" i="17"/>
  <c r="I260" i="17"/>
  <c r="I256" i="17"/>
  <c r="I252" i="17"/>
  <c r="I248" i="17"/>
  <c r="I244" i="17"/>
  <c r="I240" i="17"/>
  <c r="I236" i="17"/>
  <c r="I232" i="17"/>
  <c r="I228" i="17"/>
  <c r="I224" i="17"/>
  <c r="I220" i="17"/>
  <c r="I216" i="17"/>
  <c r="I212" i="17"/>
  <c r="I208" i="17"/>
  <c r="I204" i="17"/>
  <c r="I200" i="17"/>
  <c r="I196" i="17"/>
  <c r="I192" i="17"/>
  <c r="I188" i="17"/>
  <c r="I184" i="17"/>
  <c r="I180" i="17"/>
  <c r="I176" i="17"/>
  <c r="I172" i="17"/>
  <c r="I168" i="17"/>
  <c r="I164" i="17"/>
  <c r="I160" i="17"/>
  <c r="I156" i="17"/>
  <c r="I152" i="17"/>
  <c r="I148" i="17"/>
  <c r="I144" i="17"/>
  <c r="I140" i="17"/>
  <c r="I136" i="17"/>
  <c r="I132" i="17"/>
  <c r="I128" i="17"/>
  <c r="I124" i="17"/>
  <c r="I120" i="17"/>
  <c r="I116" i="17"/>
  <c r="I112" i="17"/>
  <c r="I313" i="17"/>
  <c r="I309" i="17"/>
  <c r="I305" i="17"/>
  <c r="I301" i="17"/>
  <c r="I297" i="17"/>
  <c r="I293" i="17"/>
  <c r="I289" i="17"/>
  <c r="I285" i="17"/>
  <c r="I281" i="17"/>
  <c r="I277" i="17"/>
  <c r="I273" i="17"/>
  <c r="I269" i="17"/>
  <c r="I265" i="17"/>
  <c r="I261" i="17"/>
  <c r="I257" i="17"/>
  <c r="I253" i="17"/>
  <c r="I249" i="17"/>
  <c r="I245" i="17"/>
  <c r="I241" i="17"/>
  <c r="I237" i="17"/>
  <c r="I233" i="17"/>
  <c r="I229" i="17"/>
  <c r="I225" i="17"/>
  <c r="I221" i="17"/>
  <c r="I217" i="17"/>
  <c r="I213" i="17"/>
  <c r="I209" i="17"/>
  <c r="I205" i="17"/>
  <c r="I201" i="17"/>
  <c r="I197" i="17"/>
  <c r="I193" i="17"/>
  <c r="I189" i="17"/>
  <c r="I185" i="17"/>
  <c r="I181" i="17"/>
  <c r="I177" i="17"/>
  <c r="I173" i="17"/>
  <c r="I169" i="17"/>
  <c r="I165" i="17"/>
  <c r="I161" i="17"/>
  <c r="I157" i="17"/>
  <c r="I153" i="17"/>
  <c r="I149" i="17"/>
  <c r="I145" i="17"/>
  <c r="I141" i="17"/>
  <c r="I611" i="17"/>
  <c r="I605" i="17"/>
  <c r="I601" i="17"/>
  <c r="I597" i="17"/>
  <c r="W624" i="17"/>
  <c r="J611" i="17"/>
  <c r="J607" i="17"/>
  <c r="J603" i="17"/>
  <c r="J599" i="17"/>
  <c r="J612" i="17"/>
  <c r="J608" i="17"/>
  <c r="I609" i="17"/>
  <c r="J604" i="17"/>
  <c r="J600" i="17"/>
  <c r="J596" i="17"/>
  <c r="A624" i="17"/>
  <c r="I610" i="17"/>
  <c r="I606" i="17"/>
  <c r="I602" i="17"/>
  <c r="I598" i="17"/>
  <c r="J594" i="17"/>
  <c r="J590" i="17"/>
  <c r="J586" i="17"/>
  <c r="J582" i="17"/>
  <c r="J578" i="17"/>
  <c r="J574" i="17"/>
  <c r="J570" i="17"/>
  <c r="J566" i="17"/>
  <c r="J562" i="17"/>
  <c r="J558" i="17"/>
  <c r="J554" i="17"/>
  <c r="J550" i="17"/>
  <c r="J546" i="17"/>
  <c r="J591" i="17"/>
  <c r="J583" i="17"/>
  <c r="J575" i="17"/>
  <c r="J567" i="17"/>
  <c r="J559" i="17"/>
  <c r="J551" i="17"/>
  <c r="J543" i="17"/>
  <c r="J539" i="17"/>
  <c r="J535" i="17"/>
  <c r="J531" i="17"/>
  <c r="J527" i="17"/>
  <c r="J523" i="17"/>
  <c r="I592" i="17"/>
  <c r="I584" i="17"/>
  <c r="I576" i="17"/>
  <c r="I568" i="17"/>
  <c r="I560" i="17"/>
  <c r="I552" i="17"/>
  <c r="I544" i="17"/>
  <c r="J540" i="17"/>
  <c r="J536" i="17"/>
  <c r="J532" i="17"/>
  <c r="J528" i="17"/>
  <c r="J524" i="17"/>
  <c r="J520" i="17"/>
  <c r="I517" i="17"/>
  <c r="I513" i="17"/>
  <c r="I509" i="17"/>
  <c r="I505" i="17"/>
  <c r="I501" i="17"/>
  <c r="I497" i="17"/>
  <c r="I493" i="17"/>
  <c r="I489" i="17"/>
  <c r="I485" i="17"/>
  <c r="I481" i="17"/>
  <c r="I477" i="17"/>
  <c r="I473" i="17"/>
  <c r="I469" i="17"/>
  <c r="I465" i="17"/>
  <c r="I461" i="17"/>
  <c r="I457" i="17"/>
  <c r="I453" i="17"/>
  <c r="I449" i="17"/>
  <c r="I445" i="17"/>
  <c r="I441" i="17"/>
  <c r="I437" i="17"/>
  <c r="I433" i="17"/>
  <c r="I429" i="17"/>
  <c r="I425" i="17"/>
  <c r="I421" i="17"/>
  <c r="I417" i="17"/>
  <c r="I516" i="17"/>
  <c r="I512" i="17"/>
  <c r="I508" i="17"/>
  <c r="I504" i="17"/>
  <c r="I500" i="17"/>
  <c r="I496" i="17"/>
  <c r="I492" i="17"/>
  <c r="I488" i="17"/>
  <c r="I484" i="17"/>
  <c r="I480" i="17"/>
  <c r="I476" i="17"/>
  <c r="I472" i="17"/>
  <c r="I468" i="17"/>
  <c r="I464" i="17"/>
  <c r="I460" i="17"/>
  <c r="I456" i="17"/>
  <c r="I452" i="17"/>
  <c r="I448" i="17"/>
  <c r="I444" i="17"/>
  <c r="I440" i="17"/>
  <c r="I436" i="17"/>
  <c r="I432" i="17"/>
  <c r="I428" i="17"/>
  <c r="I424" i="17"/>
  <c r="I420" i="17"/>
  <c r="I416" i="17"/>
  <c r="I412" i="17"/>
  <c r="I408" i="17"/>
  <c r="I404" i="17"/>
  <c r="I400" i="17"/>
  <c r="I396" i="17"/>
  <c r="I392" i="17"/>
  <c r="I388" i="17"/>
  <c r="I384" i="17"/>
  <c r="I380" i="17"/>
  <c r="I376" i="17"/>
  <c r="I372" i="17"/>
  <c r="I368" i="17"/>
  <c r="I364" i="17"/>
  <c r="I360" i="17"/>
  <c r="I356" i="17"/>
  <c r="I352" i="17"/>
  <c r="I348" i="17"/>
  <c r="I344" i="17"/>
  <c r="I340" i="17"/>
  <c r="I336" i="17"/>
  <c r="I332" i="17"/>
  <c r="I328" i="17"/>
  <c r="I324" i="17"/>
  <c r="I320" i="17"/>
  <c r="I316" i="17"/>
  <c r="J414" i="17"/>
  <c r="J410" i="17"/>
  <c r="J406" i="17"/>
  <c r="J402" i="17"/>
  <c r="J398" i="17"/>
  <c r="J394" i="17"/>
  <c r="J390" i="17"/>
  <c r="J386" i="17"/>
  <c r="J382" i="17"/>
  <c r="J378" i="17"/>
  <c r="J374" i="17"/>
  <c r="J370" i="17"/>
  <c r="J366" i="17"/>
  <c r="J362" i="17"/>
  <c r="J358" i="17"/>
  <c r="J354" i="17"/>
  <c r="J350" i="17"/>
  <c r="J346" i="17"/>
  <c r="J342" i="17"/>
  <c r="J338" i="17"/>
  <c r="J334" i="17"/>
  <c r="J330" i="17"/>
  <c r="J326" i="17"/>
  <c r="J322" i="17"/>
  <c r="J318" i="17"/>
  <c r="I314" i="17"/>
  <c r="I310" i="17"/>
  <c r="I306" i="17"/>
  <c r="I302" i="17"/>
  <c r="I298" i="17"/>
  <c r="I294" i="17"/>
  <c r="I290" i="17"/>
  <c r="I286" i="17"/>
  <c r="I282" i="17"/>
  <c r="I278" i="17"/>
  <c r="I274" i="17"/>
  <c r="I270" i="17"/>
  <c r="I266" i="17"/>
  <c r="I262" i="17"/>
  <c r="I258" i="17"/>
  <c r="I254" i="17"/>
  <c r="I250" i="17"/>
  <c r="I246" i="17"/>
  <c r="I242" i="17"/>
  <c r="I238" i="17"/>
  <c r="I234" i="17"/>
  <c r="I230" i="17"/>
  <c r="I226" i="17"/>
  <c r="I222" i="17"/>
  <c r="I218" i="17"/>
  <c r="I214" i="17"/>
  <c r="I210" i="17"/>
  <c r="I206" i="17"/>
  <c r="I202" i="17"/>
  <c r="I198" i="17"/>
  <c r="I194" i="17"/>
  <c r="I190" i="17"/>
  <c r="I186" i="17"/>
  <c r="I182" i="17"/>
  <c r="I178" i="17"/>
  <c r="I174" i="17"/>
  <c r="I170" i="17"/>
  <c r="I166" i="17"/>
  <c r="I162" i="17"/>
  <c r="I158" i="17"/>
  <c r="I154" i="17"/>
  <c r="I150" i="17"/>
  <c r="I146" i="17"/>
  <c r="I142" i="17"/>
  <c r="I138" i="17"/>
  <c r="I134" i="17"/>
  <c r="I130" i="17"/>
  <c r="I126" i="17"/>
  <c r="I122" i="17"/>
  <c r="I118" i="17"/>
  <c r="I114" i="17"/>
  <c r="I110" i="17"/>
  <c r="I311" i="17"/>
  <c r="I307" i="17"/>
  <c r="I303" i="17"/>
  <c r="I299" i="17"/>
  <c r="I295" i="17"/>
  <c r="I291" i="17"/>
  <c r="I287" i="17"/>
  <c r="I283" i="17"/>
  <c r="I279" i="17"/>
  <c r="I275" i="17"/>
  <c r="I271" i="17"/>
  <c r="I267" i="17"/>
  <c r="I259" i="17"/>
  <c r="I251" i="17"/>
  <c r="I243" i="17"/>
  <c r="I235" i="17"/>
  <c r="I227" i="17"/>
  <c r="I219" i="17"/>
  <c r="I211" i="17"/>
  <c r="I203" i="17"/>
  <c r="I195" i="17"/>
  <c r="I187" i="17"/>
  <c r="I179" i="17"/>
  <c r="I171" i="17"/>
  <c r="I163" i="17"/>
  <c r="I155" i="17"/>
  <c r="I147" i="17"/>
  <c r="I139" i="17"/>
  <c r="I603" i="17"/>
  <c r="I595" i="17"/>
  <c r="J609" i="17"/>
  <c r="J601" i="17"/>
  <c r="J595" i="17"/>
  <c r="I591" i="17"/>
  <c r="I587" i="17"/>
  <c r="I583" i="17"/>
  <c r="I579" i="17"/>
  <c r="I575" i="17"/>
  <c r="I571" i="17"/>
  <c r="I567" i="17"/>
  <c r="I563" i="17"/>
  <c r="I559" i="17"/>
  <c r="I555" i="17"/>
  <c r="I551" i="17"/>
  <c r="I547" i="17"/>
  <c r="J593" i="17"/>
  <c r="J585" i="17"/>
  <c r="J577" i="17"/>
  <c r="J569" i="17"/>
  <c r="J561" i="17"/>
  <c r="J553" i="17"/>
  <c r="J545" i="17"/>
  <c r="I540" i="17"/>
  <c r="I536" i="17"/>
  <c r="I532" i="17"/>
  <c r="I528" i="17"/>
  <c r="I524" i="17"/>
  <c r="I594" i="17"/>
  <c r="I586" i="17"/>
  <c r="I578" i="17"/>
  <c r="I570" i="17"/>
  <c r="I562" i="17"/>
  <c r="I554" i="17"/>
  <c r="I546" i="17"/>
  <c r="I541" i="17"/>
  <c r="I537" i="17"/>
  <c r="I533" i="17"/>
  <c r="I529" i="17"/>
  <c r="I525" i="17"/>
  <c r="I521" i="17"/>
  <c r="J518" i="17"/>
  <c r="J514" i="17"/>
  <c r="J510" i="17"/>
  <c r="J506" i="17"/>
  <c r="J502" i="17"/>
  <c r="J498" i="17"/>
  <c r="J494" i="17"/>
  <c r="J490" i="17"/>
  <c r="J486" i="17"/>
  <c r="J482" i="17"/>
  <c r="J478" i="17"/>
  <c r="J474" i="17"/>
  <c r="J470" i="17"/>
  <c r="J466" i="17"/>
  <c r="J462" i="17"/>
  <c r="J458" i="17"/>
  <c r="J454" i="17"/>
  <c r="J450" i="17"/>
  <c r="J446" i="17"/>
  <c r="J442" i="17"/>
  <c r="J438" i="17"/>
  <c r="J434" i="17"/>
  <c r="J430" i="17"/>
  <c r="J426" i="17"/>
  <c r="J422" i="17"/>
  <c r="J418" i="17"/>
  <c r="J517" i="17"/>
  <c r="J513" i="17"/>
  <c r="J509" i="17"/>
  <c r="J505" i="17"/>
  <c r="J501" i="17"/>
  <c r="J497" i="17"/>
  <c r="J493" i="17"/>
  <c r="J489" i="17"/>
  <c r="J485" i="17"/>
  <c r="J481" i="17"/>
  <c r="J477" i="17"/>
  <c r="J473" i="17"/>
  <c r="J469" i="17"/>
  <c r="J465" i="17"/>
  <c r="J461" i="17"/>
  <c r="J457" i="17"/>
  <c r="J453" i="17"/>
  <c r="J449" i="17"/>
  <c r="J445" i="17"/>
  <c r="J441" i="17"/>
  <c r="J437" i="17"/>
  <c r="J433" i="17"/>
  <c r="J429" i="17"/>
  <c r="J425" i="17"/>
  <c r="J421" i="17"/>
  <c r="J417" i="17"/>
  <c r="J413" i="17"/>
  <c r="J409" i="17"/>
  <c r="J405" i="17"/>
  <c r="J401" i="17"/>
  <c r="J397" i="17"/>
  <c r="J393" i="17"/>
  <c r="J389" i="17"/>
  <c r="J385" i="17"/>
  <c r="J381" i="17"/>
  <c r="J377" i="17"/>
  <c r="J373" i="17"/>
  <c r="J369" i="17"/>
  <c r="J365" i="17"/>
  <c r="J361" i="17"/>
  <c r="J357" i="17"/>
  <c r="J353" i="17"/>
  <c r="J349" i="17"/>
  <c r="J345" i="17"/>
  <c r="J341" i="17"/>
  <c r="J337" i="17"/>
  <c r="J333" i="17"/>
  <c r="J329" i="17"/>
  <c r="J325" i="17"/>
  <c r="J321" i="17"/>
  <c r="J317" i="17"/>
  <c r="I415" i="17"/>
  <c r="I411" i="17"/>
  <c r="I407" i="17"/>
  <c r="I403" i="17"/>
  <c r="I399" i="17"/>
  <c r="I395" i="17"/>
  <c r="I391" i="17"/>
  <c r="I387" i="17"/>
  <c r="I383" i="17"/>
  <c r="I379" i="17"/>
  <c r="I375" i="17"/>
  <c r="I371" i="17"/>
  <c r="I367" i="17"/>
  <c r="I363" i="17"/>
  <c r="I359" i="17"/>
  <c r="I355" i="17"/>
  <c r="I351" i="17"/>
  <c r="I347" i="17"/>
  <c r="I343" i="17"/>
  <c r="I339" i="17"/>
  <c r="I335" i="17"/>
  <c r="I331" i="17"/>
  <c r="I327" i="17"/>
  <c r="I323" i="17"/>
  <c r="I319" i="17"/>
  <c r="I315" i="17"/>
  <c r="J311" i="17"/>
  <c r="J307" i="17"/>
  <c r="J303" i="17"/>
  <c r="J299" i="17"/>
  <c r="J295" i="17"/>
  <c r="J291" i="17"/>
  <c r="J287" i="17"/>
  <c r="J283" i="17"/>
  <c r="J279" i="17"/>
  <c r="J275" i="17"/>
  <c r="J271" i="17"/>
  <c r="J267" i="17"/>
  <c r="J263" i="17"/>
  <c r="J259" i="17"/>
  <c r="J255" i="17"/>
  <c r="J251" i="17"/>
  <c r="J247" i="17"/>
  <c r="J243" i="17"/>
  <c r="J239" i="17"/>
  <c r="J235" i="17"/>
  <c r="J231" i="17"/>
  <c r="J227" i="17"/>
  <c r="J223" i="17"/>
  <c r="J219" i="17"/>
  <c r="J215" i="17"/>
  <c r="J211" i="17"/>
  <c r="J207" i="17"/>
  <c r="J203" i="17"/>
  <c r="J199" i="17"/>
  <c r="J195" i="17"/>
  <c r="J191" i="17"/>
  <c r="J187" i="17"/>
  <c r="J183" i="17"/>
  <c r="J179" i="17"/>
  <c r="J175" i="17"/>
  <c r="J171" i="17"/>
  <c r="J167" i="17"/>
  <c r="J163" i="17"/>
  <c r="J159" i="17"/>
  <c r="J155" i="17"/>
  <c r="J151" i="17"/>
  <c r="J147" i="17"/>
  <c r="J143" i="17"/>
  <c r="J139" i="17"/>
  <c r="J135" i="17"/>
  <c r="J131" i="17"/>
  <c r="J127" i="17"/>
  <c r="J123" i="17"/>
  <c r="J119" i="17"/>
  <c r="J115" i="17"/>
  <c r="J111" i="17"/>
  <c r="J312" i="17"/>
  <c r="J308" i="17"/>
  <c r="J304" i="17"/>
  <c r="J300" i="17"/>
  <c r="J296" i="17"/>
  <c r="J292" i="17"/>
  <c r="J288" i="17"/>
  <c r="J284" i="17"/>
  <c r="J280" i="17"/>
  <c r="J276" i="17"/>
  <c r="J272" i="17"/>
  <c r="J268" i="17"/>
  <c r="J264" i="17"/>
  <c r="J260" i="17"/>
  <c r="J256" i="17"/>
  <c r="J252" i="17"/>
  <c r="J248" i="17"/>
  <c r="J244" i="17"/>
  <c r="J240" i="17"/>
  <c r="J236" i="17"/>
  <c r="J232" i="17"/>
  <c r="J228" i="17"/>
  <c r="J224" i="17"/>
  <c r="J220" i="17"/>
  <c r="J216" i="17"/>
  <c r="J212" i="17"/>
  <c r="J208" i="17"/>
  <c r="J204" i="17"/>
  <c r="J200" i="17"/>
  <c r="J196" i="17"/>
  <c r="J192" i="17"/>
  <c r="J188" i="17"/>
  <c r="J184" i="17"/>
  <c r="J180" i="17"/>
  <c r="J176" i="17"/>
  <c r="J172" i="17"/>
  <c r="J168" i="17"/>
  <c r="J164" i="17"/>
  <c r="J160" i="17"/>
  <c r="J156" i="17"/>
  <c r="J152" i="17"/>
  <c r="J148" i="17"/>
  <c r="J144" i="17"/>
  <c r="J140" i="17"/>
  <c r="J136" i="17"/>
  <c r="J132" i="17"/>
  <c r="J128" i="17"/>
  <c r="J124" i="17"/>
  <c r="J120" i="17"/>
  <c r="J116" i="17"/>
  <c r="J112" i="17"/>
  <c r="I135" i="17"/>
  <c r="I127" i="17"/>
  <c r="I119" i="17"/>
  <c r="I111" i="17"/>
  <c r="J16" i="17"/>
  <c r="J20" i="17"/>
  <c r="J24" i="17"/>
  <c r="J28" i="17"/>
  <c r="J32" i="17"/>
  <c r="J36" i="17"/>
  <c r="J40" i="17"/>
  <c r="J44" i="17"/>
  <c r="J48" i="17"/>
  <c r="J52" i="17"/>
  <c r="J56" i="17"/>
  <c r="J60" i="17"/>
  <c r="J64" i="17"/>
  <c r="J68" i="17"/>
  <c r="J72" i="17"/>
  <c r="J76" i="17"/>
  <c r="J80" i="17"/>
  <c r="J84" i="17"/>
  <c r="J88" i="17"/>
  <c r="J92" i="17"/>
  <c r="J96" i="17"/>
  <c r="J100" i="17"/>
  <c r="J104" i="17"/>
  <c r="J108" i="17"/>
  <c r="I133" i="17"/>
  <c r="I125" i="17"/>
  <c r="I117" i="17"/>
  <c r="I13" i="17"/>
  <c r="I17" i="17"/>
  <c r="I21" i="17"/>
  <c r="I25" i="17"/>
  <c r="I29" i="17"/>
  <c r="I33" i="17"/>
  <c r="I37" i="17"/>
  <c r="I41" i="17"/>
  <c r="I45" i="17"/>
  <c r="I49" i="17"/>
  <c r="I53" i="17"/>
  <c r="I57" i="17"/>
  <c r="I61" i="17"/>
  <c r="I65" i="17"/>
  <c r="I69" i="17"/>
  <c r="I73" i="17"/>
  <c r="I77" i="17"/>
  <c r="I81" i="17"/>
  <c r="I85" i="17"/>
  <c r="I89" i="17"/>
  <c r="I93" i="17"/>
  <c r="I97" i="17"/>
  <c r="I101" i="17"/>
  <c r="I105" i="17"/>
  <c r="I109" i="17"/>
  <c r="I106" i="17"/>
  <c r="I102" i="17"/>
  <c r="I98" i="17"/>
  <c r="I94" i="17"/>
  <c r="I90" i="17"/>
  <c r="I86" i="17"/>
  <c r="I82" i="17"/>
  <c r="I78" i="17"/>
  <c r="I74" i="17"/>
  <c r="I70" i="17"/>
  <c r="I66" i="17"/>
  <c r="I62" i="17"/>
  <c r="I58" i="17"/>
  <c r="I54" i="17"/>
  <c r="I50" i="17"/>
  <c r="I46" i="17"/>
  <c r="I42" i="17"/>
  <c r="I38" i="17"/>
  <c r="I34" i="17"/>
  <c r="I30" i="17"/>
  <c r="I26" i="17"/>
  <c r="I22" i="17"/>
  <c r="I18" i="17"/>
  <c r="I14" i="17"/>
  <c r="J107" i="17"/>
  <c r="J103" i="17"/>
  <c r="J99" i="17"/>
  <c r="J95" i="17"/>
  <c r="J91" i="17"/>
  <c r="J87" i="17"/>
  <c r="J83" i="17"/>
  <c r="J79" i="17"/>
  <c r="J75" i="17"/>
  <c r="J71" i="17"/>
  <c r="J67" i="17"/>
  <c r="J63" i="17"/>
  <c r="J59" i="17"/>
  <c r="J55" i="17"/>
  <c r="J51" i="17"/>
  <c r="J47" i="17"/>
  <c r="J43" i="17"/>
  <c r="J39" i="17"/>
  <c r="J35" i="17"/>
  <c r="J31" i="17"/>
  <c r="J27" i="17"/>
  <c r="J23" i="17"/>
  <c r="J19" i="17"/>
  <c r="J15" i="17"/>
  <c r="I622" i="17"/>
  <c r="J626" i="17"/>
  <c r="I623" i="17"/>
  <c r="I263" i="17"/>
  <c r="I255" i="17"/>
  <c r="I247" i="17"/>
  <c r="I239" i="17"/>
  <c r="I231" i="17"/>
  <c r="I223" i="17"/>
  <c r="I215" i="17"/>
  <c r="I207" i="17"/>
  <c r="I199" i="17"/>
  <c r="I191" i="17"/>
  <c r="I183" i="17"/>
  <c r="I175" i="17"/>
  <c r="I167" i="17"/>
  <c r="I159" i="17"/>
  <c r="I151" i="17"/>
  <c r="I143" i="17"/>
  <c r="I607" i="17"/>
  <c r="I599" i="17"/>
  <c r="J613" i="17"/>
  <c r="J605" i="17"/>
  <c r="J597" i="17"/>
  <c r="I593" i="17"/>
  <c r="I589" i="17"/>
  <c r="I585" i="17"/>
  <c r="I581" i="17"/>
  <c r="I577" i="17"/>
  <c r="I573" i="17"/>
  <c r="I569" i="17"/>
  <c r="I565" i="17"/>
  <c r="I561" i="17"/>
  <c r="I557" i="17"/>
  <c r="I553" i="17"/>
  <c r="I549" i="17"/>
  <c r="I545" i="17"/>
  <c r="J589" i="17"/>
  <c r="J581" i="17"/>
  <c r="J573" i="17"/>
  <c r="J565" i="17"/>
  <c r="J557" i="17"/>
  <c r="J549" i="17"/>
  <c r="I542" i="17"/>
  <c r="I538" i="17"/>
  <c r="I534" i="17"/>
  <c r="I530" i="17"/>
  <c r="I526" i="17"/>
  <c r="I522" i="17"/>
  <c r="I590" i="17"/>
  <c r="I582" i="17"/>
  <c r="I574" i="17"/>
  <c r="I566" i="17"/>
  <c r="I558" i="17"/>
  <c r="I550" i="17"/>
  <c r="I543" i="17"/>
  <c r="I539" i="17"/>
  <c r="I535" i="17"/>
  <c r="I531" i="17"/>
  <c r="I527" i="17"/>
  <c r="I523" i="17"/>
  <c r="I519" i="17"/>
  <c r="J516" i="17"/>
  <c r="J512" i="17"/>
  <c r="J508" i="17"/>
  <c r="J504" i="17"/>
  <c r="J500" i="17"/>
  <c r="J496" i="17"/>
  <c r="J492" i="17"/>
  <c r="J488" i="17"/>
  <c r="J484" i="17"/>
  <c r="J480" i="17"/>
  <c r="J476" i="17"/>
  <c r="J472" i="17"/>
  <c r="J468" i="17"/>
  <c r="J464" i="17"/>
  <c r="J460" i="17"/>
  <c r="J456" i="17"/>
  <c r="J452" i="17"/>
  <c r="J448" i="17"/>
  <c r="J444" i="17"/>
  <c r="J440" i="17"/>
  <c r="J436" i="17"/>
  <c r="J432" i="17"/>
  <c r="J428" i="17"/>
  <c r="J424" i="17"/>
  <c r="J420" i="17"/>
  <c r="J519" i="17"/>
  <c r="J515" i="17"/>
  <c r="J511" i="17"/>
  <c r="J507" i="17"/>
  <c r="J503" i="17"/>
  <c r="J499" i="17"/>
  <c r="J495" i="17"/>
  <c r="J491" i="17"/>
  <c r="J487" i="17"/>
  <c r="J483" i="17"/>
  <c r="J479" i="17"/>
  <c r="J475" i="17"/>
  <c r="J471" i="17"/>
  <c r="J467" i="17"/>
  <c r="J463" i="17"/>
  <c r="J459" i="17"/>
  <c r="J455" i="17"/>
  <c r="J451" i="17"/>
  <c r="J447" i="17"/>
  <c r="J443" i="17"/>
  <c r="J439" i="17"/>
  <c r="J435" i="17"/>
  <c r="J431" i="17"/>
  <c r="J427" i="17"/>
  <c r="J423" i="17"/>
  <c r="J419" i="17"/>
  <c r="J415" i="17"/>
  <c r="J411" i="17"/>
  <c r="J407" i="17"/>
  <c r="J403" i="17"/>
  <c r="J399" i="17"/>
  <c r="J395" i="17"/>
  <c r="J391" i="17"/>
  <c r="J387" i="17"/>
  <c r="J383" i="17"/>
  <c r="J379" i="17"/>
  <c r="J375" i="17"/>
  <c r="J371" i="17"/>
  <c r="J367" i="17"/>
  <c r="J363" i="17"/>
  <c r="J359" i="17"/>
  <c r="J355" i="17"/>
  <c r="J351" i="17"/>
  <c r="J347" i="17"/>
  <c r="J343" i="17"/>
  <c r="J339" i="17"/>
  <c r="J335" i="17"/>
  <c r="J331" i="17"/>
  <c r="J327" i="17"/>
  <c r="J323" i="17"/>
  <c r="J319" i="17"/>
  <c r="J315" i="17"/>
  <c r="I413" i="17"/>
  <c r="I409" i="17"/>
  <c r="I405" i="17"/>
  <c r="I401" i="17"/>
  <c r="I397" i="17"/>
  <c r="I393" i="17"/>
  <c r="I385" i="17"/>
  <c r="I377" i="17"/>
  <c r="I369" i="17"/>
  <c r="I361" i="17"/>
  <c r="I353" i="17"/>
  <c r="I345" i="17"/>
  <c r="I337" i="17"/>
  <c r="I329" i="17"/>
  <c r="I321" i="17"/>
  <c r="J313" i="17"/>
  <c r="J305" i="17"/>
  <c r="J297" i="17"/>
  <c r="J289" i="17"/>
  <c r="J281" i="17"/>
  <c r="J273" i="17"/>
  <c r="J265" i="17"/>
  <c r="J257" i="17"/>
  <c r="J249" i="17"/>
  <c r="J241" i="17"/>
  <c r="J233" i="17"/>
  <c r="J225" i="17"/>
  <c r="J217" i="17"/>
  <c r="J209" i="17"/>
  <c r="J201" i="17"/>
  <c r="J193" i="17"/>
  <c r="J185" i="17"/>
  <c r="J177" i="17"/>
  <c r="J169" i="17"/>
  <c r="J161" i="17"/>
  <c r="J153" i="17"/>
  <c r="J145" i="17"/>
  <c r="J137" i="17"/>
  <c r="J129" i="17"/>
  <c r="J121" i="17"/>
  <c r="J113" i="17"/>
  <c r="J310" i="17"/>
  <c r="J302" i="17"/>
  <c r="J294" i="17"/>
  <c r="J286" i="17"/>
  <c r="J278" i="17"/>
  <c r="J270" i="17"/>
  <c r="J262" i="17"/>
  <c r="J254" i="17"/>
  <c r="J246" i="17"/>
  <c r="J238" i="17"/>
  <c r="J230" i="17"/>
  <c r="J222" i="17"/>
  <c r="J214" i="17"/>
  <c r="J206" i="17"/>
  <c r="J198" i="17"/>
  <c r="J190" i="17"/>
  <c r="J182" i="17"/>
  <c r="J174" i="17"/>
  <c r="J166" i="17"/>
  <c r="J158" i="17"/>
  <c r="J150" i="17"/>
  <c r="J142" i="17"/>
  <c r="J134" i="17"/>
  <c r="J126" i="17"/>
  <c r="J118" i="17"/>
  <c r="J110" i="17"/>
  <c r="I123" i="17"/>
  <c r="J14" i="17"/>
  <c r="J22" i="17"/>
  <c r="J30" i="17"/>
  <c r="J38" i="17"/>
  <c r="J46" i="17"/>
  <c r="J54" i="17"/>
  <c r="J62" i="17"/>
  <c r="J70" i="17"/>
  <c r="J78" i="17"/>
  <c r="J86" i="17"/>
  <c r="J94" i="17"/>
  <c r="J102" i="17"/>
  <c r="I137" i="17"/>
  <c r="I121" i="17"/>
  <c r="I15" i="17"/>
  <c r="I23" i="17"/>
  <c r="I31" i="17"/>
  <c r="I39" i="17"/>
  <c r="I47" i="17"/>
  <c r="I55" i="17"/>
  <c r="I63" i="17"/>
  <c r="I71" i="17"/>
  <c r="I79" i="17"/>
  <c r="I87" i="17"/>
  <c r="I95" i="17"/>
  <c r="I103" i="17"/>
  <c r="I108" i="17"/>
  <c r="I100" i="17"/>
  <c r="I92" i="17"/>
  <c r="I84" i="17"/>
  <c r="I76" i="17"/>
  <c r="I68" i="17"/>
  <c r="I60" i="17"/>
  <c r="I52" i="17"/>
  <c r="I44" i="17"/>
  <c r="I36" i="17"/>
  <c r="I28" i="17"/>
  <c r="I20" i="17"/>
  <c r="J109" i="17"/>
  <c r="J101" i="17"/>
  <c r="J93" i="17"/>
  <c r="J85" i="17"/>
  <c r="J77" i="17"/>
  <c r="J69" i="17"/>
  <c r="J61" i="17"/>
  <c r="J53" i="17"/>
  <c r="J45" i="17"/>
  <c r="J37" i="17"/>
  <c r="J29" i="17"/>
  <c r="J21" i="17"/>
  <c r="J13" i="17"/>
  <c r="I626" i="17"/>
  <c r="J622" i="17"/>
  <c r="I389" i="17"/>
  <c r="I381" i="17"/>
  <c r="I373" i="17"/>
  <c r="I365" i="17"/>
  <c r="I357" i="17"/>
  <c r="I349" i="17"/>
  <c r="I341" i="17"/>
  <c r="I333" i="17"/>
  <c r="I325" i="17"/>
  <c r="I317" i="17"/>
  <c r="J309" i="17"/>
  <c r="J301" i="17"/>
  <c r="J293" i="17"/>
  <c r="J285" i="17"/>
  <c r="J277" i="17"/>
  <c r="J269" i="17"/>
  <c r="J261" i="17"/>
  <c r="J253" i="17"/>
  <c r="J245" i="17"/>
  <c r="J237" i="17"/>
  <c r="J229" i="17"/>
  <c r="J221" i="17"/>
  <c r="J213" i="17"/>
  <c r="J205" i="17"/>
  <c r="J197" i="17"/>
  <c r="J189" i="17"/>
  <c r="J181" i="17"/>
  <c r="J173" i="17"/>
  <c r="J165" i="17"/>
  <c r="J157" i="17"/>
  <c r="J149" i="17"/>
  <c r="J141" i="17"/>
  <c r="J133" i="17"/>
  <c r="J125" i="17"/>
  <c r="J117" i="17"/>
  <c r="J314" i="17"/>
  <c r="J306" i="17"/>
  <c r="J298" i="17"/>
  <c r="J290" i="17"/>
  <c r="J282" i="17"/>
  <c r="J274" i="17"/>
  <c r="J266" i="17"/>
  <c r="J258" i="17"/>
  <c r="J250" i="17"/>
  <c r="J242" i="17"/>
  <c r="J234" i="17"/>
  <c r="J226" i="17"/>
  <c r="J218" i="17"/>
  <c r="J210" i="17"/>
  <c r="J202" i="17"/>
  <c r="J194" i="17"/>
  <c r="J186" i="17"/>
  <c r="J178" i="17"/>
  <c r="J170" i="17"/>
  <c r="J162" i="17"/>
  <c r="J154" i="17"/>
  <c r="J146" i="17"/>
  <c r="J138" i="17"/>
  <c r="J130" i="17"/>
  <c r="J122" i="17"/>
  <c r="J114" i="17"/>
  <c r="I131" i="17"/>
  <c r="I115" i="17"/>
  <c r="J18" i="17"/>
  <c r="J26" i="17"/>
  <c r="J34" i="17"/>
  <c r="J42" i="17"/>
  <c r="J50" i="17"/>
  <c r="J58" i="17"/>
  <c r="J66" i="17"/>
  <c r="J74" i="17"/>
  <c r="J82" i="17"/>
  <c r="J90" i="17"/>
  <c r="J98" i="17"/>
  <c r="J106" i="17"/>
  <c r="I129" i="17"/>
  <c r="I113" i="17"/>
  <c r="I19" i="17"/>
  <c r="I27" i="17"/>
  <c r="I35" i="17"/>
  <c r="I43" i="17"/>
  <c r="I51" i="17"/>
  <c r="I59" i="17"/>
  <c r="I67" i="17"/>
  <c r="I75" i="17"/>
  <c r="I83" i="17"/>
  <c r="I91" i="17"/>
  <c r="I99" i="17"/>
  <c r="I107" i="17"/>
  <c r="I104" i="17"/>
  <c r="I96" i="17"/>
  <c r="I88" i="17"/>
  <c r="I80" i="17"/>
  <c r="I72" i="17"/>
  <c r="I64" i="17"/>
  <c r="I56" i="17"/>
  <c r="I48" i="17"/>
  <c r="I40" i="17"/>
  <c r="I32" i="17"/>
  <c r="I24" i="17"/>
  <c r="I16" i="17"/>
  <c r="J105" i="17"/>
  <c r="J97" i="17"/>
  <c r="J89" i="17"/>
  <c r="J81" i="17"/>
  <c r="J73" i="17"/>
  <c r="J65" i="17"/>
  <c r="J57" i="17"/>
  <c r="J49" i="17"/>
  <c r="J41" i="17"/>
  <c r="J33" i="17"/>
  <c r="J25" i="17"/>
  <c r="J17" i="17"/>
  <c r="J623" i="17"/>
  <c r="L610" i="17"/>
  <c r="K379" i="17"/>
  <c r="L386" i="17"/>
  <c r="L123" i="17"/>
  <c r="W625" i="17"/>
  <c r="L200" i="17"/>
  <c r="K207" i="17"/>
  <c r="K453" i="17"/>
  <c r="L66" i="17"/>
  <c r="K95" i="17"/>
  <c r="L264" i="17"/>
  <c r="K315" i="17"/>
  <c r="K271" i="17"/>
  <c r="L322" i="17"/>
  <c r="K532" i="17"/>
  <c r="L535" i="17"/>
  <c r="L34" i="17"/>
  <c r="K56" i="17"/>
  <c r="K63" i="17"/>
  <c r="L168" i="17"/>
  <c r="L296" i="17"/>
  <c r="L219" i="17"/>
  <c r="K347" i="17"/>
  <c r="K175" i="17"/>
  <c r="K303" i="17"/>
  <c r="K226" i="17"/>
  <c r="L354" i="17"/>
  <c r="K492" i="17"/>
  <c r="L570" i="17"/>
  <c r="L495" i="17"/>
  <c r="K573" i="17"/>
  <c r="L82" i="17"/>
  <c r="L18" i="17"/>
  <c r="K80" i="17"/>
  <c r="K48" i="17"/>
  <c r="L13" i="17"/>
  <c r="K47" i="17"/>
  <c r="L120" i="17"/>
  <c r="L184" i="17"/>
  <c r="L248" i="17"/>
  <c r="L312" i="17"/>
  <c r="L171" i="17"/>
  <c r="L235" i="17"/>
  <c r="L299" i="17"/>
  <c r="K363" i="17"/>
  <c r="K127" i="17"/>
  <c r="K191" i="17"/>
  <c r="K255" i="17"/>
  <c r="K114" i="17"/>
  <c r="K178" i="17"/>
  <c r="K242" i="17"/>
  <c r="K306" i="17"/>
  <c r="L370" i="17"/>
  <c r="K396" i="17"/>
  <c r="K421" i="17"/>
  <c r="L553" i="17"/>
  <c r="K602" i="17"/>
  <c r="L399" i="17"/>
  <c r="L424" i="17"/>
  <c r="L559" i="17"/>
  <c r="L605" i="17"/>
  <c r="L90" i="17"/>
  <c r="L58" i="17"/>
  <c r="L26" i="17"/>
  <c r="K100" i="17"/>
  <c r="K84" i="17"/>
  <c r="K68" i="17"/>
  <c r="K52" i="17"/>
  <c r="K36" i="17"/>
  <c r="K20" i="17"/>
  <c r="K87" i="17"/>
  <c r="K55" i="17"/>
  <c r="K23" i="17"/>
  <c r="K115" i="17"/>
  <c r="L144" i="17"/>
  <c r="L176" i="17"/>
  <c r="L208" i="17"/>
  <c r="L240" i="17"/>
  <c r="L272" i="17"/>
  <c r="L304" i="17"/>
  <c r="L131" i="17"/>
  <c r="L163" i="17"/>
  <c r="L195" i="17"/>
  <c r="L227" i="17"/>
  <c r="L259" i="17"/>
  <c r="L291" i="17"/>
  <c r="K323" i="17"/>
  <c r="K355" i="17"/>
  <c r="K387" i="17"/>
  <c r="K330" i="17"/>
  <c r="K151" i="17"/>
  <c r="K183" i="17"/>
  <c r="K215" i="17"/>
  <c r="K247" i="17"/>
  <c r="K279" i="17"/>
  <c r="K311" i="17"/>
  <c r="K138" i="17"/>
  <c r="K170" i="17"/>
  <c r="K202" i="17"/>
  <c r="K234" i="17"/>
  <c r="K266" i="17"/>
  <c r="K298" i="17"/>
  <c r="L330" i="17"/>
  <c r="L362" i="17"/>
  <c r="L402" i="17"/>
  <c r="K380" i="17"/>
  <c r="K444" i="17"/>
  <c r="K508" i="17"/>
  <c r="K469" i="17"/>
  <c r="L532" i="17"/>
  <c r="K552" i="17"/>
  <c r="L586" i="17"/>
  <c r="L319" i="17"/>
  <c r="L383" i="17"/>
  <c r="L447" i="17"/>
  <c r="L511" i="17"/>
  <c r="L472" i="17"/>
  <c r="K535" i="17"/>
  <c r="K558" i="17"/>
  <c r="K589" i="17"/>
  <c r="K623" i="17"/>
  <c r="L102" i="17"/>
  <c r="L86" i="17"/>
  <c r="L70" i="17"/>
  <c r="L54" i="17"/>
  <c r="L38" i="17"/>
  <c r="L22" i="17"/>
  <c r="K106" i="17"/>
  <c r="K98" i="17"/>
  <c r="K90" i="17"/>
  <c r="K82" i="17"/>
  <c r="K74" i="17"/>
  <c r="K66" i="17"/>
  <c r="K58" i="17"/>
  <c r="K50" i="17"/>
  <c r="K42" i="17"/>
  <c r="K34" i="17"/>
  <c r="K26" i="17"/>
  <c r="L17" i="17"/>
  <c r="K99" i="17"/>
  <c r="K83" i="17"/>
  <c r="K67" i="17"/>
  <c r="K51" i="17"/>
  <c r="K35" i="17"/>
  <c r="K19" i="17"/>
  <c r="L112" i="17"/>
  <c r="L116" i="17"/>
  <c r="L132" i="17"/>
  <c r="L148" i="17"/>
  <c r="L164" i="17"/>
  <c r="L180" i="17"/>
  <c r="L196" i="17"/>
  <c r="L212" i="17"/>
  <c r="L228" i="17"/>
  <c r="L244" i="17"/>
  <c r="L260" i="17"/>
  <c r="L276" i="17"/>
  <c r="L292" i="17"/>
  <c r="L308" i="17"/>
  <c r="L119" i="17"/>
  <c r="L135" i="17"/>
  <c r="L151" i="17"/>
  <c r="L167" i="17"/>
  <c r="L183" i="17"/>
  <c r="L199" i="17"/>
  <c r="L215" i="17"/>
  <c r="L231" i="17"/>
  <c r="L247" i="17"/>
  <c r="L263" i="17"/>
  <c r="L279" i="17"/>
  <c r="L295" i="17"/>
  <c r="L311" i="17"/>
  <c r="K327" i="17"/>
  <c r="K343" i="17"/>
  <c r="K359" i="17"/>
  <c r="K375" i="17"/>
  <c r="K391" i="17"/>
  <c r="L408" i="17"/>
  <c r="K123" i="17"/>
  <c r="K139" i="17"/>
  <c r="K155" i="17"/>
  <c r="K171" i="17"/>
  <c r="K187" i="17"/>
  <c r="K203" i="17"/>
  <c r="K219" i="17"/>
  <c r="K235" i="17"/>
  <c r="K251" i="17"/>
  <c r="K267" i="17"/>
  <c r="K283" i="17"/>
  <c r="K299" i="17"/>
  <c r="K110" i="17"/>
  <c r="K126" i="17"/>
  <c r="K142" i="17"/>
  <c r="K158" i="17"/>
  <c r="K174" i="17"/>
  <c r="K190" i="17"/>
  <c r="K206" i="17"/>
  <c r="K222" i="17"/>
  <c r="K238" i="17"/>
  <c r="K254" i="17"/>
  <c r="K270" i="17"/>
  <c r="K286" i="17"/>
  <c r="K302" i="17"/>
  <c r="L318" i="17"/>
  <c r="L334" i="17"/>
  <c r="L350" i="17"/>
  <c r="L366" i="17"/>
  <c r="L382" i="17"/>
  <c r="L414" i="17"/>
  <c r="K356" i="17"/>
  <c r="K388" i="17"/>
  <c r="K420" i="17"/>
  <c r="K452" i="17"/>
  <c r="K484" i="17"/>
  <c r="K516" i="17"/>
  <c r="K445" i="17"/>
  <c r="K477" i="17"/>
  <c r="K509" i="17"/>
  <c r="L540" i="17"/>
  <c r="K524" i="17"/>
  <c r="K568" i="17"/>
  <c r="L562" i="17"/>
  <c r="L594" i="17"/>
  <c r="K607" i="17"/>
  <c r="L327" i="17"/>
  <c r="L359" i="17"/>
  <c r="L391" i="17"/>
  <c r="L423" i="17"/>
  <c r="L455" i="17"/>
  <c r="L487" i="17"/>
  <c r="K520" i="17"/>
  <c r="L448" i="17"/>
  <c r="L480" i="17"/>
  <c r="L512" i="17"/>
  <c r="K543" i="17"/>
  <c r="L527" i="17"/>
  <c r="K574" i="17"/>
  <c r="K565" i="17"/>
  <c r="L597" i="17"/>
  <c r="C635" i="17"/>
  <c r="L608" i="17"/>
  <c r="L600" i="17"/>
  <c r="L611" i="17"/>
  <c r="L603" i="17"/>
  <c r="L595" i="17"/>
  <c r="K587" i="17"/>
  <c r="K579" i="17"/>
  <c r="K571" i="17"/>
  <c r="K563" i="17"/>
  <c r="K555" i="17"/>
  <c r="K547" i="17"/>
  <c r="K586" i="17"/>
  <c r="K570" i="17"/>
  <c r="K554" i="17"/>
  <c r="L541" i="17"/>
  <c r="L533" i="17"/>
  <c r="K31" i="17"/>
  <c r="K104" i="17"/>
  <c r="K130" i="17"/>
  <c r="K40" i="17"/>
  <c r="L251" i="17"/>
  <c r="K258" i="17"/>
  <c r="L456" i="17"/>
  <c r="K72" i="17"/>
  <c r="L136" i="17"/>
  <c r="L187" i="17"/>
  <c r="K143" i="17"/>
  <c r="K194" i="17"/>
  <c r="K428" i="17"/>
  <c r="L431" i="17"/>
  <c r="L98" i="17"/>
  <c r="K88" i="17"/>
  <c r="K24" i="17"/>
  <c r="K117" i="17"/>
  <c r="L232" i="17"/>
  <c r="L155" i="17"/>
  <c r="L283" i="17"/>
  <c r="L416" i="17"/>
  <c r="K239" i="17"/>
  <c r="K162" i="17"/>
  <c r="K290" i="17"/>
  <c r="K364" i="17"/>
  <c r="K517" i="17"/>
  <c r="L367" i="17"/>
  <c r="K519" i="17"/>
  <c r="K626" i="17"/>
  <c r="L50" i="17"/>
  <c r="K96" i="17"/>
  <c r="K64" i="17"/>
  <c r="K32" i="17"/>
  <c r="K79" i="17"/>
  <c r="K15" i="17"/>
  <c r="L152" i="17"/>
  <c r="L216" i="17"/>
  <c r="L280" i="17"/>
  <c r="L139" i="17"/>
  <c r="L203" i="17"/>
  <c r="L267" i="17"/>
  <c r="K331" i="17"/>
  <c r="K395" i="17"/>
  <c r="K159" i="17"/>
  <c r="K223" i="17"/>
  <c r="K287" i="17"/>
  <c r="K146" i="17"/>
  <c r="K210" i="17"/>
  <c r="K274" i="17"/>
  <c r="L338" i="17"/>
  <c r="K328" i="17"/>
  <c r="K460" i="17"/>
  <c r="K485" i="17"/>
  <c r="K584" i="17"/>
  <c r="L335" i="17"/>
  <c r="L463" i="17"/>
  <c r="L488" i="17"/>
  <c r="K590" i="17"/>
  <c r="L106" i="17"/>
  <c r="L74" i="17"/>
  <c r="L42" i="17"/>
  <c r="K108" i="17"/>
  <c r="K92" i="17"/>
  <c r="K76" i="17"/>
  <c r="K60" i="17"/>
  <c r="K44" i="17"/>
  <c r="K28" i="17"/>
  <c r="K103" i="17"/>
  <c r="K71" i="17"/>
  <c r="K39" i="17"/>
  <c r="K14" i="17"/>
  <c r="L128" i="17"/>
  <c r="L160" i="17"/>
  <c r="L192" i="17"/>
  <c r="L224" i="17"/>
  <c r="L256" i="17"/>
  <c r="L288" i="17"/>
  <c r="L115" i="17"/>
  <c r="L147" i="17"/>
  <c r="L179" i="17"/>
  <c r="L211" i="17"/>
  <c r="L243" i="17"/>
  <c r="L275" i="17"/>
  <c r="L307" i="17"/>
  <c r="K339" i="17"/>
  <c r="K371" i="17"/>
  <c r="K403" i="17"/>
  <c r="K135" i="17"/>
  <c r="K167" i="17"/>
  <c r="K199" i="17"/>
  <c r="K231" i="17"/>
  <c r="K263" i="17"/>
  <c r="K295" i="17"/>
  <c r="K122" i="17"/>
  <c r="K154" i="17"/>
  <c r="K186" i="17"/>
  <c r="K218" i="17"/>
  <c r="K250" i="17"/>
  <c r="K282" i="17"/>
  <c r="K314" i="17"/>
  <c r="L346" i="17"/>
  <c r="L378" i="17"/>
  <c r="K348" i="17"/>
  <c r="K412" i="17"/>
  <c r="K476" i="17"/>
  <c r="K437" i="17"/>
  <c r="K501" i="17"/>
  <c r="L585" i="17"/>
  <c r="L554" i="17"/>
  <c r="K599" i="17"/>
  <c r="L351" i="17"/>
  <c r="L415" i="17"/>
  <c r="L479" i="17"/>
  <c r="L440" i="17"/>
  <c r="L504" i="17"/>
  <c r="L591" i="17"/>
  <c r="K557" i="17"/>
  <c r="L602" i="17"/>
  <c r="L622" i="17"/>
  <c r="L94" i="17"/>
  <c r="L78" i="17"/>
  <c r="L62" i="17"/>
  <c r="L46" i="17"/>
  <c r="L30" i="17"/>
  <c r="L14" i="17"/>
  <c r="K102" i="17"/>
  <c r="K94" i="17"/>
  <c r="K86" i="17"/>
  <c r="K78" i="17"/>
  <c r="K70" i="17"/>
  <c r="K62" i="17"/>
  <c r="K54" i="17"/>
  <c r="K46" i="17"/>
  <c r="K38" i="17"/>
  <c r="K30" i="17"/>
  <c r="K22" i="17"/>
  <c r="K107" i="17"/>
  <c r="K91" i="17"/>
  <c r="K75" i="17"/>
  <c r="K59" i="17"/>
  <c r="K43" i="17"/>
  <c r="K27" i="17"/>
  <c r="K18" i="17"/>
  <c r="K111" i="17"/>
  <c r="L124" i="17"/>
  <c r="L140" i="17"/>
  <c r="L156" i="17"/>
  <c r="L172" i="17"/>
  <c r="L188" i="17"/>
  <c r="L204" i="17"/>
  <c r="L220" i="17"/>
  <c r="L236" i="17"/>
  <c r="L252" i="17"/>
  <c r="L268" i="17"/>
  <c r="L284" i="17"/>
  <c r="L300" i="17"/>
  <c r="L111" i="17"/>
  <c r="L127" i="17"/>
  <c r="L143" i="17"/>
  <c r="L159" i="17"/>
  <c r="L175" i="17"/>
  <c r="L191" i="17"/>
  <c r="L207" i="17"/>
  <c r="L223" i="17"/>
  <c r="L239" i="17"/>
  <c r="L255" i="17"/>
  <c r="L271" i="17"/>
  <c r="L287" i="17"/>
  <c r="L303" i="17"/>
  <c r="K319" i="17"/>
  <c r="K335" i="17"/>
  <c r="K351" i="17"/>
  <c r="K367" i="17"/>
  <c r="K383" i="17"/>
  <c r="K399" i="17"/>
  <c r="K322" i="17"/>
  <c r="K131" i="17"/>
  <c r="K147" i="17"/>
  <c r="K163" i="17"/>
  <c r="K179" i="17"/>
  <c r="K195" i="17"/>
  <c r="K211" i="17"/>
  <c r="K227" i="17"/>
  <c r="K243" i="17"/>
  <c r="K259" i="17"/>
  <c r="K275" i="17"/>
  <c r="K291" i="17"/>
  <c r="K307" i="17"/>
  <c r="K118" i="17"/>
  <c r="K134" i="17"/>
  <c r="K150" i="17"/>
  <c r="K166" i="17"/>
  <c r="K182" i="17"/>
  <c r="K198" i="17"/>
  <c r="K214" i="17"/>
  <c r="K230" i="17"/>
  <c r="K246" i="17"/>
  <c r="K262" i="17"/>
  <c r="K278" i="17"/>
  <c r="K294" i="17"/>
  <c r="K310" i="17"/>
  <c r="L326" i="17"/>
  <c r="L342" i="17"/>
  <c r="L358" i="17"/>
  <c r="L374" i="17"/>
  <c r="L394" i="17"/>
  <c r="K340" i="17"/>
  <c r="K372" i="17"/>
  <c r="K404" i="17"/>
  <c r="K436" i="17"/>
  <c r="K468" i="17"/>
  <c r="K500" i="17"/>
  <c r="K429" i="17"/>
  <c r="K461" i="17"/>
  <c r="K493" i="17"/>
  <c r="L524" i="17"/>
  <c r="L569" i="17"/>
  <c r="K540" i="17"/>
  <c r="L546" i="17"/>
  <c r="L578" i="17"/>
  <c r="K610" i="17"/>
  <c r="K413" i="17"/>
  <c r="L343" i="17"/>
  <c r="L375" i="17"/>
  <c r="L407" i="17"/>
  <c r="L439" i="17"/>
  <c r="L471" i="17"/>
  <c r="L503" i="17"/>
  <c r="L432" i="17"/>
  <c r="L464" i="17"/>
  <c r="L496" i="17"/>
  <c r="K527" i="17"/>
  <c r="L575" i="17"/>
  <c r="L543" i="17"/>
  <c r="K549" i="17"/>
  <c r="K581" i="17"/>
  <c r="L613" i="17"/>
  <c r="L612" i="17"/>
  <c r="L604" i="17"/>
  <c r="L596" i="17"/>
  <c r="L607" i="17"/>
  <c r="L599" i="17"/>
  <c r="K591" i="17"/>
  <c r="K583" i="17"/>
  <c r="K575" i="17"/>
  <c r="K567" i="17"/>
  <c r="K559" i="17"/>
  <c r="K551" i="17"/>
  <c r="K594" i="17"/>
  <c r="K578" i="17"/>
  <c r="K562" i="17"/>
  <c r="K546" i="17"/>
  <c r="L537" i="17"/>
  <c r="L529" i="17"/>
  <c r="L521" i="17"/>
  <c r="L525" i="17"/>
  <c r="L579" i="17"/>
  <c r="L563" i="17"/>
  <c r="L547" i="17"/>
  <c r="K537" i="17"/>
  <c r="K529" i="17"/>
  <c r="K521" i="17"/>
  <c r="L514" i="17"/>
  <c r="L506" i="17"/>
  <c r="L498" i="17"/>
  <c r="L490" i="17"/>
  <c r="L482" i="17"/>
  <c r="L474" i="17"/>
  <c r="L466" i="17"/>
  <c r="L458" i="17"/>
  <c r="L450" i="17"/>
  <c r="L442" i="17"/>
  <c r="L434" i="17"/>
  <c r="L426" i="17"/>
  <c r="L418" i="17"/>
  <c r="L513" i="17"/>
  <c r="L505" i="17"/>
  <c r="L497" i="17"/>
  <c r="L489" i="17"/>
  <c r="L481" i="17"/>
  <c r="L473" i="17"/>
  <c r="L465" i="17"/>
  <c r="L457" i="17"/>
  <c r="L449" i="17"/>
  <c r="L441" i="17"/>
  <c r="L433" i="17"/>
  <c r="L425" i="17"/>
  <c r="L417" i="17"/>
  <c r="L409" i="17"/>
  <c r="L401" i="17"/>
  <c r="L393" i="17"/>
  <c r="L385" i="17"/>
  <c r="L377" i="17"/>
  <c r="L369" i="17"/>
  <c r="L361" i="17"/>
  <c r="L353" i="17"/>
  <c r="L345" i="17"/>
  <c r="L337" i="17"/>
  <c r="L329" i="17"/>
  <c r="L321" i="17"/>
  <c r="K415" i="17"/>
  <c r="K407" i="17"/>
  <c r="K609" i="17"/>
  <c r="K601" i="17"/>
  <c r="K612" i="17"/>
  <c r="K604" i="17"/>
  <c r="K596" i="17"/>
  <c r="L588" i="17"/>
  <c r="L580" i="17"/>
  <c r="L572" i="17"/>
  <c r="L564" i="17"/>
  <c r="L556" i="17"/>
  <c r="L548" i="17"/>
  <c r="K588" i="17"/>
  <c r="K572" i="17"/>
  <c r="K556" i="17"/>
  <c r="K542" i="17"/>
  <c r="K534" i="17"/>
  <c r="K526" i="17"/>
  <c r="L589" i="17"/>
  <c r="L573" i="17"/>
  <c r="L557" i="17"/>
  <c r="L542" i="17"/>
  <c r="L534" i="17"/>
  <c r="L526" i="17"/>
  <c r="L518" i="17"/>
  <c r="K511" i="17"/>
  <c r="K503" i="17"/>
  <c r="K495" i="17"/>
  <c r="K487" i="17"/>
  <c r="K479" i="17"/>
  <c r="K471" i="17"/>
  <c r="K463" i="17"/>
  <c r="K455" i="17"/>
  <c r="K447" i="17"/>
  <c r="K439" i="17"/>
  <c r="K431" i="17"/>
  <c r="K423" i="17"/>
  <c r="K518" i="17"/>
  <c r="K510" i="17"/>
  <c r="K502" i="17"/>
  <c r="K494" i="17"/>
  <c r="K486" i="17"/>
  <c r="K478" i="17"/>
  <c r="K470" i="17"/>
  <c r="K462" i="17"/>
  <c r="K454" i="17"/>
  <c r="K446" i="17"/>
  <c r="K438" i="17"/>
  <c r="K430" i="17"/>
  <c r="K422" i="17"/>
  <c r="K414" i="17"/>
  <c r="K406" i="17"/>
  <c r="K398" i="17"/>
  <c r="K390" i="17"/>
  <c r="K382" i="17"/>
  <c r="K374" i="17"/>
  <c r="K366" i="17"/>
  <c r="K358" i="17"/>
  <c r="K350" i="17"/>
  <c r="K342" i="17"/>
  <c r="K332" i="17"/>
  <c r="K316" i="17"/>
  <c r="L404" i="17"/>
  <c r="L396" i="17"/>
  <c r="L388" i="17"/>
  <c r="L626" i="17"/>
  <c r="L108" i="17"/>
  <c r="L100" i="17"/>
  <c r="L92" i="17"/>
  <c r="L84" i="17"/>
  <c r="L76" i="17"/>
  <c r="L68" i="17"/>
  <c r="L60" i="17"/>
  <c r="L52" i="17"/>
  <c r="L44" i="17"/>
  <c r="L36" i="17"/>
  <c r="L28" i="17"/>
  <c r="L20" i="17"/>
  <c r="L109" i="17"/>
  <c r="L105" i="17"/>
  <c r="L101" i="17"/>
  <c r="L97" i="17"/>
  <c r="L93" i="17"/>
  <c r="L89" i="17"/>
  <c r="L85" i="17"/>
  <c r="L81" i="17"/>
  <c r="L77" i="17"/>
  <c r="L73" i="17"/>
  <c r="L69" i="17"/>
  <c r="L65" i="17"/>
  <c r="L61" i="17"/>
  <c r="L57" i="17"/>
  <c r="L53" i="17"/>
  <c r="L49" i="17"/>
  <c r="L45" i="17"/>
  <c r="L41" i="17"/>
  <c r="L37" i="17"/>
  <c r="L33" i="17"/>
  <c r="L29" i="17"/>
  <c r="L25" i="17"/>
  <c r="L21" i="17"/>
  <c r="L15" i="17"/>
  <c r="K105" i="17"/>
  <c r="K97" i="17"/>
  <c r="K89" i="17"/>
  <c r="K81" i="17"/>
  <c r="K73" i="17"/>
  <c r="K65" i="17"/>
  <c r="K57" i="17"/>
  <c r="K49" i="17"/>
  <c r="K41" i="17"/>
  <c r="K33" i="17"/>
  <c r="K25" i="17"/>
  <c r="K17" i="17"/>
  <c r="K16" i="17"/>
  <c r="L114" i="17"/>
  <c r="K113" i="17"/>
  <c r="L118" i="17"/>
  <c r="L126" i="17"/>
  <c r="L134" i="17"/>
  <c r="L142" i="17"/>
  <c r="L150" i="17"/>
  <c r="L158" i="17"/>
  <c r="L166" i="17"/>
  <c r="L174" i="17"/>
  <c r="L182" i="17"/>
  <c r="L190" i="17"/>
  <c r="L198" i="17"/>
  <c r="L206" i="17"/>
  <c r="L214" i="17"/>
  <c r="L222" i="17"/>
  <c r="L230" i="17"/>
  <c r="L238" i="17"/>
  <c r="L246" i="17"/>
  <c r="L254" i="17"/>
  <c r="L262" i="17"/>
  <c r="L270" i="17"/>
  <c r="L278" i="17"/>
  <c r="L286" i="17"/>
  <c r="L294" i="17"/>
  <c r="L302" i="17"/>
  <c r="L310" i="17"/>
  <c r="L113" i="17"/>
  <c r="L121" i="17"/>
  <c r="L129" i="17"/>
  <c r="L137" i="17"/>
  <c r="L145" i="17"/>
  <c r="L153" i="17"/>
  <c r="L161" i="17"/>
  <c r="L169" i="17"/>
  <c r="L177" i="17"/>
  <c r="L185" i="17"/>
  <c r="L193" i="17"/>
  <c r="L201" i="17"/>
  <c r="L209" i="17"/>
  <c r="L217" i="17"/>
  <c r="L225" i="17"/>
  <c r="L233" i="17"/>
  <c r="L241" i="17"/>
  <c r="L249" i="17"/>
  <c r="L257" i="17"/>
  <c r="L265" i="17"/>
  <c r="L273" i="17"/>
  <c r="L281" i="17"/>
  <c r="L289" i="17"/>
  <c r="L297" i="17"/>
  <c r="L305" i="17"/>
  <c r="L313" i="17"/>
  <c r="K321" i="17"/>
  <c r="K329" i="17"/>
  <c r="K337" i="17"/>
  <c r="K345" i="17"/>
  <c r="K353" i="17"/>
  <c r="K361" i="17"/>
  <c r="K369" i="17"/>
  <c r="K377" i="17"/>
  <c r="K385" i="17"/>
  <c r="K393" i="17"/>
  <c r="K401" i="17"/>
  <c r="L412" i="17"/>
  <c r="K326" i="17"/>
  <c r="K125" i="17"/>
  <c r="K133" i="17"/>
  <c r="K141" i="17"/>
  <c r="K149" i="17"/>
  <c r="K157" i="17"/>
  <c r="K165" i="17"/>
  <c r="K173" i="17"/>
  <c r="K181" i="17"/>
  <c r="K189" i="17"/>
  <c r="K197" i="17"/>
  <c r="K205" i="17"/>
  <c r="K213" i="17"/>
  <c r="K221" i="17"/>
  <c r="K229" i="17"/>
  <c r="K237" i="17"/>
  <c r="K245" i="17"/>
  <c r="K253" i="17"/>
  <c r="K261" i="17"/>
  <c r="K269" i="17"/>
  <c r="K277" i="17"/>
  <c r="K285" i="17"/>
  <c r="K293" i="17"/>
  <c r="K301" i="17"/>
  <c r="K309" i="17"/>
  <c r="K112" i="17"/>
  <c r="K120" i="17"/>
  <c r="K128" i="17"/>
  <c r="K136" i="17"/>
  <c r="K144" i="17"/>
  <c r="K152" i="17"/>
  <c r="K160" i="17"/>
  <c r="K168" i="17"/>
  <c r="K176" i="17"/>
  <c r="K184" i="17"/>
  <c r="K192" i="17"/>
  <c r="K200" i="17"/>
  <c r="K208" i="17"/>
  <c r="K216" i="17"/>
  <c r="K224" i="17"/>
  <c r="K232" i="17"/>
  <c r="K240" i="17"/>
  <c r="K248" i="17"/>
  <c r="K256" i="17"/>
  <c r="K264" i="17"/>
  <c r="K272" i="17"/>
  <c r="K280" i="17"/>
  <c r="K288" i="17"/>
  <c r="K296" i="17"/>
  <c r="K304" i="17"/>
  <c r="K312" i="17"/>
  <c r="L320" i="17"/>
  <c r="L328" i="17"/>
  <c r="L336" i="17"/>
  <c r="L344" i="17"/>
  <c r="L352" i="17"/>
  <c r="L360" i="17"/>
  <c r="L368" i="17"/>
  <c r="L376" i="17"/>
  <c r="L384" i="17"/>
  <c r="L398" i="17"/>
  <c r="K320" i="17"/>
  <c r="K344" i="17"/>
  <c r="K360" i="17"/>
  <c r="K376" i="17"/>
  <c r="K392" i="17"/>
  <c r="K408" i="17"/>
  <c r="K424" i="17"/>
  <c r="K440" i="17"/>
  <c r="K456" i="17"/>
  <c r="K472" i="17"/>
  <c r="K488" i="17"/>
  <c r="K504" i="17"/>
  <c r="K417" i="17"/>
  <c r="K433" i="17"/>
  <c r="K449" i="17"/>
  <c r="K465" i="17"/>
  <c r="K481" i="17"/>
  <c r="K497" i="17"/>
  <c r="K513" i="17"/>
  <c r="L528" i="17"/>
  <c r="L545" i="17"/>
  <c r="L577" i="17"/>
  <c r="K528" i="17"/>
  <c r="K544" i="17"/>
  <c r="K576" i="17"/>
  <c r="L550" i="17"/>
  <c r="L566" i="17"/>
  <c r="L582" i="17"/>
  <c r="K598" i="17"/>
  <c r="K595" i="17"/>
  <c r="K611" i="17"/>
  <c r="L315" i="17"/>
  <c r="L331" i="17"/>
  <c r="L347" i="17"/>
  <c r="L363" i="17"/>
  <c r="L379" i="17"/>
  <c r="L395" i="17"/>
  <c r="L411" i="17"/>
  <c r="L427" i="17"/>
  <c r="L443" i="17"/>
  <c r="L459" i="17"/>
  <c r="L475" i="17"/>
  <c r="L491" i="17"/>
  <c r="L507" i="17"/>
  <c r="L420" i="17"/>
  <c r="L436" i="17"/>
  <c r="L452" i="17"/>
  <c r="L468" i="17"/>
  <c r="L484" i="17"/>
  <c r="L500" i="17"/>
  <c r="L516" i="17"/>
  <c r="K531" i="17"/>
  <c r="L551" i="17"/>
  <c r="L583" i="17"/>
  <c r="L531" i="17"/>
  <c r="K550" i="17"/>
  <c r="K582" i="17"/>
  <c r="K553" i="17"/>
  <c r="K569" i="17"/>
  <c r="K585" i="17"/>
  <c r="L601" i="17"/>
  <c r="L598" i="17"/>
  <c r="A625" i="17"/>
  <c r="L587" i="17"/>
  <c r="L571" i="17"/>
  <c r="L555" i="17"/>
  <c r="K541" i="17"/>
  <c r="K533" i="17"/>
  <c r="K525" i="17"/>
  <c r="L519" i="17"/>
  <c r="L510" i="17"/>
  <c r="L502" i="17"/>
  <c r="L494" i="17"/>
  <c r="L486" i="17"/>
  <c r="L478" i="17"/>
  <c r="L470" i="17"/>
  <c r="L462" i="17"/>
  <c r="L454" i="17"/>
  <c r="L446" i="17"/>
  <c r="L438" i="17"/>
  <c r="L430" i="17"/>
  <c r="L422" i="17"/>
  <c r="L517" i="17"/>
  <c r="L509" i="17"/>
  <c r="L501" i="17"/>
  <c r="L493" i="17"/>
  <c r="L485" i="17"/>
  <c r="L477" i="17"/>
  <c r="L469" i="17"/>
  <c r="L461" i="17"/>
  <c r="L453" i="17"/>
  <c r="L445" i="17"/>
  <c r="L437" i="17"/>
  <c r="L429" i="17"/>
  <c r="L421" i="17"/>
  <c r="L413" i="17"/>
  <c r="L405" i="17"/>
  <c r="L397" i="17"/>
  <c r="L389" i="17"/>
  <c r="L381" i="17"/>
  <c r="L373" i="17"/>
  <c r="L365" i="17"/>
  <c r="L357" i="17"/>
  <c r="L349" i="17"/>
  <c r="L341" i="17"/>
  <c r="L333" i="17"/>
  <c r="L325" i="17"/>
  <c r="L317" i="17"/>
  <c r="K411" i="17"/>
  <c r="K613" i="17"/>
  <c r="K605" i="17"/>
  <c r="K597" i="17"/>
  <c r="K608" i="17"/>
  <c r="K600" i="17"/>
  <c r="L592" i="17"/>
  <c r="L584" i="17"/>
  <c r="L576" i="17"/>
  <c r="L568" i="17"/>
  <c r="L560" i="17"/>
  <c r="L552" i="17"/>
  <c r="L544" i="17"/>
  <c r="K580" i="17"/>
  <c r="K564" i="17"/>
  <c r="K548" i="17"/>
  <c r="K538" i="17"/>
  <c r="K530" i="17"/>
  <c r="K522" i="17"/>
  <c r="L581" i="17"/>
  <c r="L565" i="17"/>
  <c r="L549" i="17"/>
  <c r="L538" i="17"/>
  <c r="L530" i="17"/>
  <c r="L522" i="17"/>
  <c r="K515" i="17"/>
  <c r="K507" i="17"/>
  <c r="K499" i="17"/>
  <c r="K491" i="17"/>
  <c r="K483" i="17"/>
  <c r="K475" i="17"/>
  <c r="K467" i="17"/>
  <c r="K459" i="17"/>
  <c r="K451" i="17"/>
  <c r="K443" i="17"/>
  <c r="K435" i="17"/>
  <c r="K427" i="17"/>
  <c r="K419" i="17"/>
  <c r="K514" i="17"/>
  <c r="K506" i="17"/>
  <c r="K498" i="17"/>
  <c r="K490" i="17"/>
  <c r="K482" i="17"/>
  <c r="K474" i="17"/>
  <c r="K466" i="17"/>
  <c r="K458" i="17"/>
  <c r="K450" i="17"/>
  <c r="K442" i="17"/>
  <c r="K434" i="17"/>
  <c r="K426" i="17"/>
  <c r="K418" i="17"/>
  <c r="K410" i="17"/>
  <c r="K402" i="17"/>
  <c r="K394" i="17"/>
  <c r="K386" i="17"/>
  <c r="K378" i="17"/>
  <c r="K370" i="17"/>
  <c r="K362" i="17"/>
  <c r="K354" i="17"/>
  <c r="K346" i="17"/>
  <c r="K338" i="17"/>
  <c r="K324" i="17"/>
  <c r="L410" i="17"/>
  <c r="L400" i="17"/>
  <c r="L392" i="17"/>
  <c r="L623" i="17"/>
  <c r="K622" i="17"/>
  <c r="L104" i="17"/>
  <c r="L96" i="17"/>
  <c r="L88" i="17"/>
  <c r="L80" i="17"/>
  <c r="L72" i="17"/>
  <c r="L64" i="17"/>
  <c r="L56" i="17"/>
  <c r="L48" i="17"/>
  <c r="L40" i="17"/>
  <c r="L32" i="17"/>
  <c r="L24" i="17"/>
  <c r="L16" i="17"/>
  <c r="L107" i="17"/>
  <c r="L103" i="17"/>
  <c r="L99" i="17"/>
  <c r="L95" i="17"/>
  <c r="L91" i="17"/>
  <c r="L87" i="17"/>
  <c r="L83" i="17"/>
  <c r="L79" i="17"/>
  <c r="L75" i="17"/>
  <c r="L71" i="17"/>
  <c r="L67" i="17"/>
  <c r="L63" i="17"/>
  <c r="L59" i="17"/>
  <c r="L55" i="17"/>
  <c r="L51" i="17"/>
  <c r="L47" i="17"/>
  <c r="L43" i="17"/>
  <c r="L39" i="17"/>
  <c r="L35" i="17"/>
  <c r="L31" i="17"/>
  <c r="L27" i="17"/>
  <c r="L23" i="17"/>
  <c r="L19" i="17"/>
  <c r="K109" i="17"/>
  <c r="K101" i="17"/>
  <c r="K93" i="17"/>
  <c r="K85" i="17"/>
  <c r="K77" i="17"/>
  <c r="K69" i="17"/>
  <c r="K61" i="17"/>
  <c r="K53" i="17"/>
  <c r="K45" i="17"/>
  <c r="K37" i="17"/>
  <c r="K29" i="17"/>
  <c r="K21" i="17"/>
  <c r="K13" i="17"/>
  <c r="L110" i="17"/>
  <c r="K121" i="17"/>
  <c r="K119" i="17"/>
  <c r="L122" i="17"/>
  <c r="L130" i="17"/>
  <c r="L138" i="17"/>
  <c r="L146" i="17"/>
  <c r="L154" i="17"/>
  <c r="L162" i="17"/>
  <c r="L170" i="17"/>
  <c r="L178" i="17"/>
  <c r="L186" i="17"/>
  <c r="L194" i="17"/>
  <c r="L202" i="17"/>
  <c r="L210" i="17"/>
  <c r="L218" i="17"/>
  <c r="L226" i="17"/>
  <c r="L234" i="17"/>
  <c r="L242" i="17"/>
  <c r="L250" i="17"/>
  <c r="L258" i="17"/>
  <c r="L266" i="17"/>
  <c r="L274" i="17"/>
  <c r="L282" i="17"/>
  <c r="L290" i="17"/>
  <c r="L298" i="17"/>
  <c r="L306" i="17"/>
  <c r="L314" i="17"/>
  <c r="L117" i="17"/>
  <c r="L125" i="17"/>
  <c r="L133" i="17"/>
  <c r="L141" i="17"/>
  <c r="L149" i="17"/>
  <c r="L157" i="17"/>
  <c r="L165" i="17"/>
  <c r="L173" i="17"/>
  <c r="L181" i="17"/>
  <c r="L189" i="17"/>
  <c r="L197" i="17"/>
  <c r="L205" i="17"/>
  <c r="L213" i="17"/>
  <c r="L221" i="17"/>
  <c r="L229" i="17"/>
  <c r="L237" i="17"/>
  <c r="L245" i="17"/>
  <c r="L253" i="17"/>
  <c r="L261" i="17"/>
  <c r="L269" i="17"/>
  <c r="L277" i="17"/>
  <c r="L285" i="17"/>
  <c r="L293" i="17"/>
  <c r="L301" i="17"/>
  <c r="L309" i="17"/>
  <c r="K317" i="17"/>
  <c r="K325" i="17"/>
  <c r="K333" i="17"/>
  <c r="K341" i="17"/>
  <c r="K349" i="17"/>
  <c r="K357" i="17"/>
  <c r="K365" i="17"/>
  <c r="K373" i="17"/>
  <c r="K381" i="17"/>
  <c r="K389" i="17"/>
  <c r="K397" i="17"/>
  <c r="K405" i="17"/>
  <c r="K318" i="17"/>
  <c r="K334" i="17"/>
  <c r="K129" i="17"/>
  <c r="K137" i="17"/>
  <c r="K145" i="17"/>
  <c r="K153" i="17"/>
  <c r="K161" i="17"/>
  <c r="K169" i="17"/>
  <c r="K177" i="17"/>
  <c r="K185" i="17"/>
  <c r="K193" i="17"/>
  <c r="K201" i="17"/>
  <c r="K209" i="17"/>
  <c r="K217" i="17"/>
  <c r="K225" i="17"/>
  <c r="K233" i="17"/>
  <c r="K241" i="17"/>
  <c r="K249" i="17"/>
  <c r="K257" i="17"/>
  <c r="K265" i="17"/>
  <c r="K273" i="17"/>
  <c r="K281" i="17"/>
  <c r="K289" i="17"/>
  <c r="K297" i="17"/>
  <c r="K305" i="17"/>
  <c r="K313" i="17"/>
  <c r="K116" i="17"/>
  <c r="K124" i="17"/>
  <c r="K132" i="17"/>
  <c r="K140" i="17"/>
  <c r="K148" i="17"/>
  <c r="K156" i="17"/>
  <c r="K164" i="17"/>
  <c r="K172" i="17"/>
  <c r="K180" i="17"/>
  <c r="K188" i="17"/>
  <c r="K196" i="17"/>
  <c r="K204" i="17"/>
  <c r="K212" i="17"/>
  <c r="K220" i="17"/>
  <c r="K228" i="17"/>
  <c r="K236" i="17"/>
  <c r="K244" i="17"/>
  <c r="K252" i="17"/>
  <c r="K260" i="17"/>
  <c r="K268" i="17"/>
  <c r="K276" i="17"/>
  <c r="K284" i="17"/>
  <c r="K292" i="17"/>
  <c r="K300" i="17"/>
  <c r="K308" i="17"/>
  <c r="L316" i="17"/>
  <c r="L324" i="17"/>
  <c r="L332" i="17"/>
  <c r="L340" i="17"/>
  <c r="L348" i="17"/>
  <c r="L356" i="17"/>
  <c r="L364" i="17"/>
  <c r="L372" i="17"/>
  <c r="L380" i="17"/>
  <c r="L390" i="17"/>
  <c r="L406" i="17"/>
  <c r="K336" i="17"/>
  <c r="K352" i="17"/>
  <c r="K368" i="17"/>
  <c r="K384" i="17"/>
  <c r="K400" i="17"/>
  <c r="K416" i="17"/>
  <c r="K432" i="17"/>
  <c r="K448" i="17"/>
  <c r="K464" i="17"/>
  <c r="K480" i="17"/>
  <c r="K496" i="17"/>
  <c r="K512" i="17"/>
  <c r="K425" i="17"/>
  <c r="K441" i="17"/>
  <c r="K457" i="17"/>
  <c r="K473" i="17"/>
  <c r="K489" i="17"/>
  <c r="K505" i="17"/>
  <c r="L520" i="17"/>
  <c r="L536" i="17"/>
  <c r="L561" i="17"/>
  <c r="L593" i="17"/>
  <c r="K536" i="17"/>
  <c r="K560" i="17"/>
  <c r="K592" i="17"/>
  <c r="L558" i="17"/>
  <c r="L574" i="17"/>
  <c r="L590" i="17"/>
  <c r="K606" i="17"/>
  <c r="K603" i="17"/>
  <c r="K409" i="17"/>
  <c r="L323" i="17"/>
  <c r="L339" i="17"/>
  <c r="L355" i="17"/>
  <c r="L371" i="17"/>
  <c r="L387" i="17"/>
  <c r="L403" i="17"/>
  <c r="L419" i="17"/>
  <c r="L435" i="17"/>
  <c r="L451" i="17"/>
  <c r="L467" i="17"/>
  <c r="L483" i="17"/>
  <c r="L499" i="17"/>
  <c r="L515" i="17"/>
  <c r="L428" i="17"/>
  <c r="L444" i="17"/>
  <c r="L460" i="17"/>
  <c r="L476" i="17"/>
  <c r="L492" i="17"/>
  <c r="L508" i="17"/>
  <c r="K523" i="17"/>
  <c r="K539" i="17"/>
  <c r="L567" i="17"/>
  <c r="L523" i="17"/>
  <c r="L539" i="17"/>
  <c r="K566" i="17"/>
  <c r="K545" i="17"/>
  <c r="K561" i="17"/>
  <c r="K577" i="17"/>
  <c r="K593" i="17"/>
  <c r="L609" i="17"/>
  <c r="L606" i="17"/>
  <c r="M67" i="17"/>
  <c r="M76" i="17"/>
  <c r="M199" i="17"/>
  <c r="N74" i="17"/>
  <c r="M111" i="17"/>
  <c r="N36" i="17"/>
  <c r="N123" i="17"/>
  <c r="N57" i="17"/>
  <c r="N200" i="17"/>
  <c r="N251" i="17"/>
  <c r="M41" i="17"/>
  <c r="M108" i="17"/>
  <c r="M44" i="17"/>
  <c r="M85" i="17"/>
  <c r="N100" i="17"/>
  <c r="Y100" i="17" s="1"/>
  <c r="N89" i="17"/>
  <c r="N25" i="17"/>
  <c r="N136" i="17"/>
  <c r="N264" i="17"/>
  <c r="N187" i="17"/>
  <c r="N341" i="17"/>
  <c r="M315" i="17"/>
  <c r="N469" i="17"/>
  <c r="M379" i="17"/>
  <c r="N405" i="17"/>
  <c r="M495" i="17"/>
  <c r="M555" i="17"/>
  <c r="M431" i="17"/>
  <c r="M570" i="17"/>
  <c r="M251" i="17"/>
  <c r="N110" i="17"/>
  <c r="M81" i="17"/>
  <c r="N106" i="17"/>
  <c r="N42" i="17"/>
  <c r="M92" i="17"/>
  <c r="M60" i="17"/>
  <c r="M28" i="17"/>
  <c r="M175" i="17"/>
  <c r="M99" i="17"/>
  <c r="M35" i="17"/>
  <c r="N68" i="17"/>
  <c r="N105" i="17"/>
  <c r="N73" i="17"/>
  <c r="N41" i="17"/>
  <c r="M123" i="17"/>
  <c r="M189" i="17"/>
  <c r="N168" i="17"/>
  <c r="N232" i="17"/>
  <c r="N296" i="17"/>
  <c r="N155" i="17"/>
  <c r="N219" i="17"/>
  <c r="Y219" i="17" s="1"/>
  <c r="N283" i="17"/>
  <c r="M347" i="17"/>
  <c r="M411" i="17"/>
  <c r="N373" i="17"/>
  <c r="N437" i="17"/>
  <c r="N501" i="17"/>
  <c r="M463" i="17"/>
  <c r="M525" i="17"/>
  <c r="M540" i="17"/>
  <c r="N600" i="17"/>
  <c r="M137" i="17"/>
  <c r="N142" i="17"/>
  <c r="M622" i="17"/>
  <c r="M57" i="17"/>
  <c r="M25" i="17"/>
  <c r="N90" i="17"/>
  <c r="N58" i="17"/>
  <c r="N26" i="17"/>
  <c r="M100" i="17"/>
  <c r="M84" i="17"/>
  <c r="M68" i="17"/>
  <c r="M52" i="17"/>
  <c r="M36" i="17"/>
  <c r="M20" i="17"/>
  <c r="M143" i="17"/>
  <c r="N626" i="17"/>
  <c r="M626" i="17"/>
  <c r="M83" i="17"/>
  <c r="M51" i="17"/>
  <c r="M19" i="17"/>
  <c r="N84" i="17"/>
  <c r="N52" i="17"/>
  <c r="N20" i="17"/>
  <c r="N97" i="17"/>
  <c r="N81" i="17"/>
  <c r="N65" i="17"/>
  <c r="N49" i="17"/>
  <c r="N33" i="17"/>
  <c r="N17" i="17"/>
  <c r="M155" i="17"/>
  <c r="M157" i="17"/>
  <c r="N120" i="17"/>
  <c r="N152" i="17"/>
  <c r="N184" i="17"/>
  <c r="N216" i="17"/>
  <c r="N248" i="17"/>
  <c r="N280" i="17"/>
  <c r="N312" i="17"/>
  <c r="N139" i="17"/>
  <c r="N171" i="17"/>
  <c r="N203" i="17"/>
  <c r="N235" i="17"/>
  <c r="N267" i="17"/>
  <c r="N299" i="17"/>
  <c r="M331" i="17"/>
  <c r="M363" i="17"/>
  <c r="M395" i="17"/>
  <c r="N325" i="17"/>
  <c r="N357" i="17"/>
  <c r="N389" i="17"/>
  <c r="N421" i="17"/>
  <c r="N453" i="17"/>
  <c r="N485" i="17"/>
  <c r="N517" i="17"/>
  <c r="M447" i="17"/>
  <c r="M479" i="17"/>
  <c r="M511" i="17"/>
  <c r="M541" i="17"/>
  <c r="M524" i="17"/>
  <c r="N569" i="17"/>
  <c r="M587" i="17"/>
  <c r="M219" i="17"/>
  <c r="M195" i="17"/>
  <c r="M169" i="17"/>
  <c r="N126" i="17"/>
  <c r="N158" i="17"/>
  <c r="N174" i="17"/>
  <c r="N190" i="17"/>
  <c r="N206" i="17"/>
  <c r="N222" i="17"/>
  <c r="N238" i="17"/>
  <c r="N254" i="17"/>
  <c r="N270" i="17"/>
  <c r="N286" i="17"/>
  <c r="N302" i="17"/>
  <c r="N113" i="17"/>
  <c r="N129" i="17"/>
  <c r="M97" i="17"/>
  <c r="M65" i="17"/>
  <c r="M49" i="17"/>
  <c r="M33" i="17"/>
  <c r="M17" i="17"/>
  <c r="N98" i="17"/>
  <c r="N82" i="17"/>
  <c r="N66" i="17"/>
  <c r="N50" i="17"/>
  <c r="N34" i="17"/>
  <c r="N18" i="17"/>
  <c r="M104" i="17"/>
  <c r="M96" i="17"/>
  <c r="M88" i="17"/>
  <c r="M80" i="17"/>
  <c r="M72" i="17"/>
  <c r="M64" i="17"/>
  <c r="M56" i="17"/>
  <c r="M48" i="17"/>
  <c r="M40" i="17"/>
  <c r="M32" i="17"/>
  <c r="M24" i="17"/>
  <c r="M16" i="17"/>
  <c r="M127" i="17"/>
  <c r="M159" i="17"/>
  <c r="M117" i="17"/>
  <c r="M101" i="17"/>
  <c r="M69" i="17"/>
  <c r="M107" i="17"/>
  <c r="M91" i="17"/>
  <c r="M75" i="17"/>
  <c r="M59" i="17"/>
  <c r="M43" i="17"/>
  <c r="M27" i="17"/>
  <c r="N108" i="17"/>
  <c r="N92" i="17"/>
  <c r="N76" i="17"/>
  <c r="N60" i="17"/>
  <c r="N44" i="17"/>
  <c r="N28" i="17"/>
  <c r="N109" i="17"/>
  <c r="N101" i="17"/>
  <c r="N93" i="17"/>
  <c r="N85" i="17"/>
  <c r="N77" i="17"/>
  <c r="N69" i="17"/>
  <c r="N61" i="17"/>
  <c r="N53" i="17"/>
  <c r="N45" i="17"/>
  <c r="N37" i="17"/>
  <c r="N29" i="17"/>
  <c r="N21" i="17"/>
  <c r="N13" i="17"/>
  <c r="M139" i="17"/>
  <c r="M171" i="17"/>
  <c r="M141" i="17"/>
  <c r="M173" i="17"/>
  <c r="N112" i="17"/>
  <c r="N128" i="17"/>
  <c r="N144" i="17"/>
  <c r="N160" i="17"/>
  <c r="Y160" i="17" s="1"/>
  <c r="N176" i="17"/>
  <c r="N192" i="17"/>
  <c r="N208" i="17"/>
  <c r="N224" i="17"/>
  <c r="N240" i="17"/>
  <c r="N256" i="17"/>
  <c r="N272" i="17"/>
  <c r="N288" i="17"/>
  <c r="N304" i="17"/>
  <c r="N115" i="17"/>
  <c r="N131" i="17"/>
  <c r="N147" i="17"/>
  <c r="N163" i="17"/>
  <c r="N179" i="17"/>
  <c r="N195" i="17"/>
  <c r="N211" i="17"/>
  <c r="N227" i="17"/>
  <c r="N243" i="17"/>
  <c r="N259" i="17"/>
  <c r="N275" i="17"/>
  <c r="N291" i="17"/>
  <c r="N307" i="17"/>
  <c r="M323" i="17"/>
  <c r="M339" i="17"/>
  <c r="M355" i="17"/>
  <c r="M371" i="17"/>
  <c r="M387" i="17"/>
  <c r="M403" i="17"/>
  <c r="N317" i="17"/>
  <c r="N333" i="17"/>
  <c r="N349" i="17"/>
  <c r="N365" i="17"/>
  <c r="N381" i="17"/>
  <c r="N397" i="17"/>
  <c r="N413" i="17"/>
  <c r="N429" i="17"/>
  <c r="N445" i="17"/>
  <c r="N461" i="17"/>
  <c r="N477" i="17"/>
  <c r="N493" i="17"/>
  <c r="N509" i="17"/>
  <c r="M423" i="17"/>
  <c r="M439" i="17"/>
  <c r="M455" i="17"/>
  <c r="M471" i="17"/>
  <c r="M487" i="17"/>
  <c r="M503" i="17"/>
  <c r="M520" i="17"/>
  <c r="M533" i="17"/>
  <c r="M554" i="17"/>
  <c r="M586" i="17"/>
  <c r="M532" i="17"/>
  <c r="N553" i="17"/>
  <c r="N585" i="17"/>
  <c r="M571" i="17"/>
  <c r="N603" i="17"/>
  <c r="M203" i="17"/>
  <c r="M235" i="17"/>
  <c r="M179" i="17"/>
  <c r="M121" i="17"/>
  <c r="M153" i="17"/>
  <c r="M185" i="17"/>
  <c r="N118" i="17"/>
  <c r="N134" i="17"/>
  <c r="N150" i="17"/>
  <c r="N166" i="17"/>
  <c r="N182" i="17"/>
  <c r="N198" i="17"/>
  <c r="N214" i="17"/>
  <c r="N230" i="17"/>
  <c r="N246" i="17"/>
  <c r="N262" i="17"/>
  <c r="N278" i="17"/>
  <c r="N294" i="17"/>
  <c r="N310" i="17"/>
  <c r="N121" i="17"/>
  <c r="N137" i="17"/>
  <c r="N145" i="17"/>
  <c r="N153" i="17"/>
  <c r="N161" i="17"/>
  <c r="N169" i="17"/>
  <c r="N177" i="17"/>
  <c r="N185" i="17"/>
  <c r="N193" i="17"/>
  <c r="N201" i="17"/>
  <c r="N209" i="17"/>
  <c r="N217" i="17"/>
  <c r="N225" i="17"/>
  <c r="N233" i="17"/>
  <c r="N241" i="17"/>
  <c r="N249" i="17"/>
  <c r="N257" i="17"/>
  <c r="N265" i="17"/>
  <c r="N273" i="17"/>
  <c r="N281" i="17"/>
  <c r="N289" i="17"/>
  <c r="N297" i="17"/>
  <c r="N305" i="17"/>
  <c r="N313" i="17"/>
  <c r="M321" i="17"/>
  <c r="M329" i="17"/>
  <c r="M345" i="17"/>
  <c r="M361" i="17"/>
  <c r="M377" i="17"/>
  <c r="M393" i="17"/>
  <c r="M409" i="17"/>
  <c r="N323" i="17"/>
  <c r="N339" i="17"/>
  <c r="N355" i="17"/>
  <c r="N371" i="17"/>
  <c r="N387" i="17"/>
  <c r="N403" i="17"/>
  <c r="N419" i="17"/>
  <c r="N435" i="17"/>
  <c r="N451" i="17"/>
  <c r="N467" i="17"/>
  <c r="N483" i="17"/>
  <c r="N499" i="17"/>
  <c r="N515" i="17"/>
  <c r="M429" i="17"/>
  <c r="M445" i="17"/>
  <c r="M461" i="17"/>
  <c r="M477" i="17"/>
  <c r="M493" i="17"/>
  <c r="M509" i="17"/>
  <c r="M523" i="17"/>
  <c r="M539" i="17"/>
  <c r="M566" i="17"/>
  <c r="M522" i="17"/>
  <c r="M538" i="17"/>
  <c r="N565" i="17"/>
  <c r="M551" i="17"/>
  <c r="M583" i="17"/>
  <c r="N596" i="17"/>
  <c r="M215" i="17"/>
  <c r="M247" i="17"/>
  <c r="M271" i="17"/>
  <c r="M287" i="17"/>
  <c r="M303" i="17"/>
  <c r="M114" i="17"/>
  <c r="M130" i="17"/>
  <c r="M146" i="17"/>
  <c r="M162" i="17"/>
  <c r="M178" i="17"/>
  <c r="M194" i="17"/>
  <c r="M210" i="17"/>
  <c r="M226" i="17"/>
  <c r="M242" i="17"/>
  <c r="M258" i="17"/>
  <c r="M274" i="17"/>
  <c r="M290" i="17"/>
  <c r="M306" i="17"/>
  <c r="N322" i="17"/>
  <c r="N338" i="17"/>
  <c r="N354" i="17"/>
  <c r="N370" i="17"/>
  <c r="N386" i="17"/>
  <c r="N402" i="17"/>
  <c r="M316" i="17"/>
  <c r="M332" i="17"/>
  <c r="M348" i="17"/>
  <c r="M364" i="17"/>
  <c r="M380" i="17"/>
  <c r="M396" i="17"/>
  <c r="M412" i="17"/>
  <c r="M428" i="17"/>
  <c r="M444" i="17"/>
  <c r="M460" i="17"/>
  <c r="M476" i="17"/>
  <c r="M492" i="17"/>
  <c r="M508" i="17"/>
  <c r="N422" i="17"/>
  <c r="N438" i="17"/>
  <c r="N454" i="17"/>
  <c r="N470" i="17"/>
  <c r="N486" i="17"/>
  <c r="N502" i="17"/>
  <c r="M518" i="17"/>
  <c r="N532" i="17"/>
  <c r="M552" i="17"/>
  <c r="M584" i="17"/>
  <c r="N531" i="17"/>
  <c r="N551" i="17"/>
  <c r="N583" i="17"/>
  <c r="N554" i="17"/>
  <c r="N570" i="17"/>
  <c r="N586" i="17"/>
  <c r="M602" i="17"/>
  <c r="M599" i="17"/>
  <c r="N589" i="17"/>
  <c r="M557" i="17"/>
  <c r="M573" i="17"/>
  <c r="M589" i="17"/>
  <c r="N605" i="17"/>
  <c r="N602" i="17"/>
  <c r="M205" i="17"/>
  <c r="M221" i="17"/>
  <c r="M237" i="17"/>
  <c r="M253" i="17"/>
  <c r="M269" i="17"/>
  <c r="M285" i="17"/>
  <c r="M301" i="17"/>
  <c r="M112" i="17"/>
  <c r="M128" i="17"/>
  <c r="M144" i="17"/>
  <c r="M168" i="17"/>
  <c r="M200" i="17"/>
  <c r="M232" i="17"/>
  <c r="M264" i="17"/>
  <c r="M296" i="17"/>
  <c r="N328" i="17"/>
  <c r="N360" i="17"/>
  <c r="N392" i="17"/>
  <c r="M322" i="17"/>
  <c r="M354" i="17"/>
  <c r="M386" i="17"/>
  <c r="M418" i="17"/>
  <c r="M450" i="17"/>
  <c r="M482" i="17"/>
  <c r="M514" i="17"/>
  <c r="N444" i="17"/>
  <c r="N476" i="17"/>
  <c r="N508" i="17"/>
  <c r="N538" i="17"/>
  <c r="N521" i="17"/>
  <c r="N563" i="17"/>
  <c r="N560" i="17"/>
  <c r="M613" i="17"/>
  <c r="M597" i="17"/>
  <c r="M600" i="17"/>
  <c r="N584" i="17"/>
  <c r="N568" i="17"/>
  <c r="N552" i="17"/>
  <c r="N579" i="17"/>
  <c r="N547" i="17"/>
  <c r="N529" i="17"/>
  <c r="M580" i="17"/>
  <c r="M548" i="17"/>
  <c r="N530" i="17"/>
  <c r="N516" i="17"/>
  <c r="N500" i="17"/>
  <c r="N484" i="17"/>
  <c r="N468" i="17"/>
  <c r="N452" i="17"/>
  <c r="N436" i="17"/>
  <c r="N420" i="17"/>
  <c r="M506" i="17"/>
  <c r="M490" i="17"/>
  <c r="M474" i="17"/>
  <c r="M458" i="17"/>
  <c r="M442" i="17"/>
  <c r="M426" i="17"/>
  <c r="M410" i="17"/>
  <c r="M394" i="17"/>
  <c r="M378" i="17"/>
  <c r="M362" i="17"/>
  <c r="M346" i="17"/>
  <c r="M330" i="17"/>
  <c r="N416" i="17"/>
  <c r="N400" i="17"/>
  <c r="N384" i="17"/>
  <c r="N368" i="17"/>
  <c r="N352" i="17"/>
  <c r="N336" i="17"/>
  <c r="N320" i="17"/>
  <c r="M304" i="17"/>
  <c r="M288" i="17"/>
  <c r="M272" i="17"/>
  <c r="M256" i="17"/>
  <c r="M240" i="17"/>
  <c r="M224" i="17"/>
  <c r="M208" i="17"/>
  <c r="M192" i="17"/>
  <c r="M176" i="17"/>
  <c r="M160" i="17"/>
  <c r="M148" i="17"/>
  <c r="M140" i="17"/>
  <c r="M132" i="17"/>
  <c r="M124" i="17"/>
  <c r="M116" i="17"/>
  <c r="M313" i="17"/>
  <c r="M305" i="17"/>
  <c r="M297" i="17"/>
  <c r="M289" i="17"/>
  <c r="M281" i="17"/>
  <c r="M273" i="17"/>
  <c r="M265" i="17"/>
  <c r="M257" i="17"/>
  <c r="M249" i="17"/>
  <c r="M241" i="17"/>
  <c r="M233" i="17"/>
  <c r="M225" i="17"/>
  <c r="M217" i="17"/>
  <c r="M209" i="17"/>
  <c r="M201" i="17"/>
  <c r="N606" i="17"/>
  <c r="N598" i="17"/>
  <c r="N609" i="17"/>
  <c r="N601" i="17"/>
  <c r="M593" i="17"/>
  <c r="M585" i="17"/>
  <c r="M577" i="17"/>
  <c r="M569" i="17"/>
  <c r="M561" i="17"/>
  <c r="M553" i="17"/>
  <c r="M545" i="17"/>
  <c r="M611" i="17"/>
  <c r="M603" i="17"/>
  <c r="M595" i="17"/>
  <c r="M606" i="17"/>
  <c r="M598" i="17"/>
  <c r="N590" i="17"/>
  <c r="N582" i="17"/>
  <c r="N574" i="17"/>
  <c r="N566" i="17"/>
  <c r="N558" i="17"/>
  <c r="N550" i="17"/>
  <c r="N591" i="17"/>
  <c r="N575" i="17"/>
  <c r="N559" i="17"/>
  <c r="N543" i="17"/>
  <c r="N535" i="17"/>
  <c r="N527" i="17"/>
  <c r="M592" i="17"/>
  <c r="M576" i="17"/>
  <c r="M560" i="17"/>
  <c r="M544" i="17"/>
  <c r="N536" i="17"/>
  <c r="N528" i="17"/>
  <c r="N520" i="17"/>
  <c r="N514" i="17"/>
  <c r="N506" i="17"/>
  <c r="N498" i="17"/>
  <c r="N490" i="17"/>
  <c r="N482" i="17"/>
  <c r="N474" i="17"/>
  <c r="N466" i="17"/>
  <c r="N458" i="17"/>
  <c r="N450" i="17"/>
  <c r="N442" i="17"/>
  <c r="N434" i="17"/>
  <c r="N426" i="17"/>
  <c r="N418" i="17"/>
  <c r="M512" i="17"/>
  <c r="M504" i="17"/>
  <c r="M496" i="17"/>
  <c r="M488" i="17"/>
  <c r="M480" i="17"/>
  <c r="M472" i="17"/>
  <c r="M464" i="17"/>
  <c r="M456" i="17"/>
  <c r="M448" i="17"/>
  <c r="M440" i="17"/>
  <c r="M432" i="17"/>
  <c r="M424" i="17"/>
  <c r="M416" i="17"/>
  <c r="M408" i="17"/>
  <c r="M400" i="17"/>
  <c r="M392" i="17"/>
  <c r="M384" i="17"/>
  <c r="M376" i="17"/>
  <c r="M368" i="17"/>
  <c r="M360" i="17"/>
  <c r="M352" i="17"/>
  <c r="M344" i="17"/>
  <c r="M336" i="17"/>
  <c r="M328" i="17"/>
  <c r="M320" i="17"/>
  <c r="N414" i="17"/>
  <c r="N406" i="17"/>
  <c r="N398" i="17"/>
  <c r="N390" i="17"/>
  <c r="N382" i="17"/>
  <c r="N374" i="17"/>
  <c r="N366" i="17"/>
  <c r="N358" i="17"/>
  <c r="N350" i="17"/>
  <c r="N342" i="17"/>
  <c r="N334" i="17"/>
  <c r="N326" i="17"/>
  <c r="N318" i="17"/>
  <c r="M310" i="17"/>
  <c r="M302" i="17"/>
  <c r="M294" i="17"/>
  <c r="M286" i="17"/>
  <c r="M278" i="17"/>
  <c r="M270" i="17"/>
  <c r="M262" i="17"/>
  <c r="M254" i="17"/>
  <c r="M246" i="17"/>
  <c r="M238" i="17"/>
  <c r="M230" i="17"/>
  <c r="M222" i="17"/>
  <c r="M214" i="17"/>
  <c r="M206" i="17"/>
  <c r="M198" i="17"/>
  <c r="M190" i="17"/>
  <c r="M182" i="17"/>
  <c r="M174" i="17"/>
  <c r="M166" i="17"/>
  <c r="M158" i="17"/>
  <c r="M150" i="17"/>
  <c r="M142" i="17"/>
  <c r="M134" i="17"/>
  <c r="M126" i="17"/>
  <c r="M118" i="17"/>
  <c r="M110" i="17"/>
  <c r="M307" i="17"/>
  <c r="M299" i="17"/>
  <c r="M291" i="17"/>
  <c r="M283" i="17"/>
  <c r="M275" i="17"/>
  <c r="M267" i="17"/>
  <c r="M255" i="17"/>
  <c r="M239" i="17"/>
  <c r="M223" i="17"/>
  <c r="M207" i="17"/>
  <c r="N604" i="17"/>
  <c r="N607" i="17"/>
  <c r="M591" i="17"/>
  <c r="M575" i="17"/>
  <c r="M559" i="17"/>
  <c r="N593" i="17"/>
  <c r="N573" i="17"/>
  <c r="N557" i="17"/>
  <c r="M542" i="17"/>
  <c r="M534" i="17"/>
  <c r="M526" i="17"/>
  <c r="M590" i="17"/>
  <c r="M574" i="17"/>
  <c r="M558" i="17"/>
  <c r="M543" i="17"/>
  <c r="M535" i="17"/>
  <c r="M527" i="17"/>
  <c r="M519" i="17"/>
  <c r="M513" i="17"/>
  <c r="M505" i="17"/>
  <c r="M497" i="17"/>
  <c r="M489" i="17"/>
  <c r="M481" i="17"/>
  <c r="M473" i="17"/>
  <c r="M465" i="17"/>
  <c r="M457" i="17"/>
  <c r="M449" i="17"/>
  <c r="M441" i="17"/>
  <c r="M433" i="17"/>
  <c r="M425" i="17"/>
  <c r="M417" i="17"/>
  <c r="N511" i="17"/>
  <c r="N503" i="17"/>
  <c r="N495" i="17"/>
  <c r="N487" i="17"/>
  <c r="N479" i="17"/>
  <c r="N471" i="17"/>
  <c r="N463" i="17"/>
  <c r="N455" i="17"/>
  <c r="N447" i="17"/>
  <c r="N439" i="17"/>
  <c r="N431" i="17"/>
  <c r="N423" i="17"/>
  <c r="N415" i="17"/>
  <c r="N407" i="17"/>
  <c r="N399" i="17"/>
  <c r="N391" i="17"/>
  <c r="N383" i="17"/>
  <c r="N375" i="17"/>
  <c r="N367" i="17"/>
  <c r="N359" i="17"/>
  <c r="N351" i="17"/>
  <c r="N343" i="17"/>
  <c r="N335" i="17"/>
  <c r="N327" i="17"/>
  <c r="N319" i="17"/>
  <c r="M413" i="17"/>
  <c r="M405" i="17"/>
  <c r="M397" i="17"/>
  <c r="M389" i="17"/>
  <c r="M381" i="17"/>
  <c r="M373" i="17"/>
  <c r="M365" i="17"/>
  <c r="X365" i="17" s="1"/>
  <c r="M357" i="17"/>
  <c r="M349" i="17"/>
  <c r="M341" i="17"/>
  <c r="M333" i="17"/>
  <c r="N623" i="17"/>
  <c r="M105" i="17"/>
  <c r="M89" i="17"/>
  <c r="M73" i="17"/>
  <c r="M61" i="17"/>
  <c r="M53" i="17"/>
  <c r="M45" i="17"/>
  <c r="M37" i="17"/>
  <c r="M29" i="17"/>
  <c r="M21" i="17"/>
  <c r="M13" i="17"/>
  <c r="N102" i="17"/>
  <c r="N94" i="17"/>
  <c r="N86" i="17"/>
  <c r="N78" i="17"/>
  <c r="N70" i="17"/>
  <c r="N62" i="17"/>
  <c r="N54" i="17"/>
  <c r="N46" i="17"/>
  <c r="N38" i="17"/>
  <c r="N30" i="17"/>
  <c r="N22" i="17"/>
  <c r="N14" i="17"/>
  <c r="M106" i="17"/>
  <c r="M102" i="17"/>
  <c r="M98" i="17"/>
  <c r="M94" i="17"/>
  <c r="M90" i="17"/>
  <c r="M86" i="17"/>
  <c r="M82" i="17"/>
  <c r="M78" i="17"/>
  <c r="M74" i="17"/>
  <c r="M70" i="17"/>
  <c r="M66" i="17"/>
  <c r="M62" i="17"/>
  <c r="M58" i="17"/>
  <c r="M54" i="17"/>
  <c r="M50" i="17"/>
  <c r="M46" i="17"/>
  <c r="M42" i="17"/>
  <c r="M38" i="17"/>
  <c r="M34" i="17"/>
  <c r="M30" i="17"/>
  <c r="M26" i="17"/>
  <c r="M22" i="17"/>
  <c r="M18" i="17"/>
  <c r="M14" i="17"/>
  <c r="M119" i="17"/>
  <c r="M135" i="17"/>
  <c r="M151" i="17"/>
  <c r="M167" i="17"/>
  <c r="M191" i="17"/>
  <c r="M133" i="17"/>
  <c r="M109" i="17"/>
  <c r="M93" i="17"/>
  <c r="M77" i="17"/>
  <c r="M623" i="17"/>
  <c r="N622" i="17"/>
  <c r="M103" i="17"/>
  <c r="M95" i="17"/>
  <c r="M87" i="17"/>
  <c r="M79" i="17"/>
  <c r="M71" i="17"/>
  <c r="M63" i="17"/>
  <c r="M55" i="17"/>
  <c r="M47" i="17"/>
  <c r="M39" i="17"/>
  <c r="M31" i="17"/>
  <c r="M23" i="17"/>
  <c r="M15" i="17"/>
  <c r="N104" i="17"/>
  <c r="N96" i="17"/>
  <c r="N88" i="17"/>
  <c r="N80" i="17"/>
  <c r="N72" i="17"/>
  <c r="N64" i="17"/>
  <c r="N56" i="17"/>
  <c r="N48" i="17"/>
  <c r="N40" i="17"/>
  <c r="N32" i="17"/>
  <c r="N24" i="17"/>
  <c r="N16" i="17"/>
  <c r="N107" i="17"/>
  <c r="N103" i="17"/>
  <c r="N99" i="17"/>
  <c r="N95" i="17"/>
  <c r="N91" i="17"/>
  <c r="N87" i="17"/>
  <c r="N83" i="17"/>
  <c r="N79" i="17"/>
  <c r="N75" i="17"/>
  <c r="N71" i="17"/>
  <c r="N67" i="17"/>
  <c r="N63" i="17"/>
  <c r="N59" i="17"/>
  <c r="N55" i="17"/>
  <c r="N51" i="17"/>
  <c r="N47" i="17"/>
  <c r="N43" i="17"/>
  <c r="N39" i="17"/>
  <c r="N35" i="17"/>
  <c r="N31" i="17"/>
  <c r="N27" i="17"/>
  <c r="N23" i="17"/>
  <c r="N19" i="17"/>
  <c r="N15" i="17"/>
  <c r="M115" i="17"/>
  <c r="M131" i="17"/>
  <c r="M147" i="17"/>
  <c r="M163" i="17"/>
  <c r="M183" i="17"/>
  <c r="M125" i="17"/>
  <c r="M149" i="17"/>
  <c r="M165" i="17"/>
  <c r="M181" i="17"/>
  <c r="M197" i="17"/>
  <c r="N116" i="17"/>
  <c r="N124" i="17"/>
  <c r="N132" i="17"/>
  <c r="N140" i="17"/>
  <c r="N148" i="17"/>
  <c r="N156" i="17"/>
  <c r="N164" i="17"/>
  <c r="N172" i="17"/>
  <c r="N180" i="17"/>
  <c r="N188" i="17"/>
  <c r="N196" i="17"/>
  <c r="N204" i="17"/>
  <c r="N212" i="17"/>
  <c r="N220" i="17"/>
  <c r="N228" i="17"/>
  <c r="N236" i="17"/>
  <c r="N244" i="17"/>
  <c r="N252" i="17"/>
  <c r="N260" i="17"/>
  <c r="N268" i="17"/>
  <c r="N276" i="17"/>
  <c r="N284" i="17"/>
  <c r="N292" i="17"/>
  <c r="N300" i="17"/>
  <c r="N308" i="17"/>
  <c r="N111" i="17"/>
  <c r="N119" i="17"/>
  <c r="N127" i="17"/>
  <c r="N135" i="17"/>
  <c r="N143" i="17"/>
  <c r="N151" i="17"/>
  <c r="N159" i="17"/>
  <c r="N167" i="17"/>
  <c r="N175" i="17"/>
  <c r="N183" i="17"/>
  <c r="N191" i="17"/>
  <c r="N199" i="17"/>
  <c r="N207" i="17"/>
  <c r="N215" i="17"/>
  <c r="N223" i="17"/>
  <c r="N231" i="17"/>
  <c r="N239" i="17"/>
  <c r="N247" i="17"/>
  <c r="N255" i="17"/>
  <c r="N263" i="17"/>
  <c r="N271" i="17"/>
  <c r="N279" i="17"/>
  <c r="N287" i="17"/>
  <c r="N295" i="17"/>
  <c r="N303" i="17"/>
  <c r="N311" i="17"/>
  <c r="M319" i="17"/>
  <c r="M327" i="17"/>
  <c r="M335" i="17"/>
  <c r="M343" i="17"/>
  <c r="M351" i="17"/>
  <c r="M359" i="17"/>
  <c r="M367" i="17"/>
  <c r="M375" i="17"/>
  <c r="M383" i="17"/>
  <c r="M391" i="17"/>
  <c r="M399" i="17"/>
  <c r="M407" i="17"/>
  <c r="M415" i="17"/>
  <c r="N321" i="17"/>
  <c r="N329" i="17"/>
  <c r="N337" i="17"/>
  <c r="N345" i="17"/>
  <c r="N353" i="17"/>
  <c r="N361" i="17"/>
  <c r="N369" i="17"/>
  <c r="N377" i="17"/>
  <c r="N385" i="17"/>
  <c r="N393" i="17"/>
  <c r="N401" i="17"/>
  <c r="N409" i="17"/>
  <c r="N417" i="17"/>
  <c r="N425" i="17"/>
  <c r="N433" i="17"/>
  <c r="N441" i="17"/>
  <c r="N449" i="17"/>
  <c r="N457" i="17"/>
  <c r="N465" i="17"/>
  <c r="N473" i="17"/>
  <c r="N481" i="17"/>
  <c r="N489" i="17"/>
  <c r="N497" i="17"/>
  <c r="N505" i="17"/>
  <c r="N513" i="17"/>
  <c r="M419" i="17"/>
  <c r="M427" i="17"/>
  <c r="M435" i="17"/>
  <c r="M443" i="17"/>
  <c r="M451" i="17"/>
  <c r="M459" i="17"/>
  <c r="M467" i="17"/>
  <c r="M475" i="17"/>
  <c r="M483" i="17"/>
  <c r="M491" i="17"/>
  <c r="M499" i="17"/>
  <c r="M507" i="17"/>
  <c r="M515" i="17"/>
  <c r="M521" i="17"/>
  <c r="M529" i="17"/>
  <c r="M537" i="17"/>
  <c r="M546" i="17"/>
  <c r="M562" i="17"/>
  <c r="M578" i="17"/>
  <c r="M594" i="17"/>
  <c r="M528" i="17"/>
  <c r="M536" i="17"/>
  <c r="N545" i="17"/>
  <c r="N561" i="17"/>
  <c r="N577" i="17"/>
  <c r="M547" i="17"/>
  <c r="M563" i="17"/>
  <c r="M579" i="17"/>
  <c r="N595" i="17"/>
  <c r="N611" i="17"/>
  <c r="N608" i="17"/>
  <c r="M211" i="17"/>
  <c r="M227" i="17"/>
  <c r="M243" i="17"/>
  <c r="M259" i="17"/>
  <c r="M187" i="17"/>
  <c r="M113" i="17"/>
  <c r="M129" i="17"/>
  <c r="M145" i="17"/>
  <c r="M161" i="17"/>
  <c r="M177" i="17"/>
  <c r="M193" i="17"/>
  <c r="N114" i="17"/>
  <c r="N122" i="17"/>
  <c r="N130" i="17"/>
  <c r="N138" i="17"/>
  <c r="N146" i="17"/>
  <c r="N154" i="17"/>
  <c r="N162" i="17"/>
  <c r="N170" i="17"/>
  <c r="N178" i="17"/>
  <c r="N186" i="17"/>
  <c r="N194" i="17"/>
  <c r="N202" i="17"/>
  <c r="N210" i="17"/>
  <c r="N218" i="17"/>
  <c r="N226" i="17"/>
  <c r="N234" i="17"/>
  <c r="N242" i="17"/>
  <c r="N250" i="17"/>
  <c r="N258" i="17"/>
  <c r="N266" i="17"/>
  <c r="N274" i="17"/>
  <c r="N282" i="17"/>
  <c r="N290" i="17"/>
  <c r="N298" i="17"/>
  <c r="N306" i="17"/>
  <c r="N314" i="17"/>
  <c r="N117" i="17"/>
  <c r="N125" i="17"/>
  <c r="N133" i="17"/>
  <c r="N141" i="17"/>
  <c r="N149" i="17"/>
  <c r="N157" i="17"/>
  <c r="N165" i="17"/>
  <c r="N173" i="17"/>
  <c r="N181" i="17"/>
  <c r="N189" i="17"/>
  <c r="N197" i="17"/>
  <c r="N205" i="17"/>
  <c r="N213" i="17"/>
  <c r="N221" i="17"/>
  <c r="N229" i="17"/>
  <c r="N237" i="17"/>
  <c r="N245" i="17"/>
  <c r="N253" i="17"/>
  <c r="N261" i="17"/>
  <c r="N269" i="17"/>
  <c r="N277" i="17"/>
  <c r="N285" i="17"/>
  <c r="N293" i="17"/>
  <c r="N301" i="17"/>
  <c r="N309" i="17"/>
  <c r="M317" i="17"/>
  <c r="M325" i="17"/>
  <c r="M337" i="17"/>
  <c r="M353" i="17"/>
  <c r="M369" i="17"/>
  <c r="M385" i="17"/>
  <c r="M401" i="17"/>
  <c r="N315" i="17"/>
  <c r="N331" i="17"/>
  <c r="N347" i="17"/>
  <c r="N363" i="17"/>
  <c r="N379" i="17"/>
  <c r="N395" i="17"/>
  <c r="N411" i="17"/>
  <c r="N427" i="17"/>
  <c r="N443" i="17"/>
  <c r="N459" i="17"/>
  <c r="N475" i="17"/>
  <c r="N491" i="17"/>
  <c r="N507" i="17"/>
  <c r="M421" i="17"/>
  <c r="M437" i="17"/>
  <c r="M453" i="17"/>
  <c r="M469" i="17"/>
  <c r="M485" i="17"/>
  <c r="M501" i="17"/>
  <c r="M517" i="17"/>
  <c r="M531" i="17"/>
  <c r="M550" i="17"/>
  <c r="M582" i="17"/>
  <c r="M530" i="17"/>
  <c r="N549" i="17"/>
  <c r="N581" i="17"/>
  <c r="M567" i="17"/>
  <c r="N599" i="17"/>
  <c r="N612" i="17"/>
  <c r="M231" i="17"/>
  <c r="M263" i="17"/>
  <c r="M279" i="17"/>
  <c r="M295" i="17"/>
  <c r="M311" i="17"/>
  <c r="M122" i="17"/>
  <c r="M138" i="17"/>
  <c r="M154" i="17"/>
  <c r="M170" i="17"/>
  <c r="M186" i="17"/>
  <c r="M202" i="17"/>
  <c r="M218" i="17"/>
  <c r="M234" i="17"/>
  <c r="M250" i="17"/>
  <c r="M266" i="17"/>
  <c r="M282" i="17"/>
  <c r="M298" i="17"/>
  <c r="M314" i="17"/>
  <c r="N330" i="17"/>
  <c r="N346" i="17"/>
  <c r="N362" i="17"/>
  <c r="N378" i="17"/>
  <c r="N394" i="17"/>
  <c r="N410" i="17"/>
  <c r="M324" i="17"/>
  <c r="M340" i="17"/>
  <c r="M356" i="17"/>
  <c r="M372" i="17"/>
  <c r="M388" i="17"/>
  <c r="M404" i="17"/>
  <c r="M420" i="17"/>
  <c r="M436" i="17"/>
  <c r="M452" i="17"/>
  <c r="M468" i="17"/>
  <c r="M484" i="17"/>
  <c r="M500" i="17"/>
  <c r="M516" i="17"/>
  <c r="N430" i="17"/>
  <c r="N446" i="17"/>
  <c r="N462" i="17"/>
  <c r="N478" i="17"/>
  <c r="N494" i="17"/>
  <c r="N510" i="17"/>
  <c r="N524" i="17"/>
  <c r="N540" i="17"/>
  <c r="M568" i="17"/>
  <c r="N523" i="17"/>
  <c r="N539" i="17"/>
  <c r="N567" i="17"/>
  <c r="N546" i="17"/>
  <c r="N562" i="17"/>
  <c r="N578" i="17"/>
  <c r="N594" i="17"/>
  <c r="M610" i="17"/>
  <c r="M607" i="17"/>
  <c r="M549" i="17"/>
  <c r="M565" i="17"/>
  <c r="M581" i="17"/>
  <c r="N597" i="17"/>
  <c r="N613" i="17"/>
  <c r="N610" i="17"/>
  <c r="M213" i="17"/>
  <c r="M229" i="17"/>
  <c r="M245" i="17"/>
  <c r="M261" i="17"/>
  <c r="M277" i="17"/>
  <c r="M293" i="17"/>
  <c r="M309" i="17"/>
  <c r="M120" i="17"/>
  <c r="M136" i="17"/>
  <c r="M152" i="17"/>
  <c r="M184" i="17"/>
  <c r="M216" i="17"/>
  <c r="M248" i="17"/>
  <c r="M280" i="17"/>
  <c r="M312" i="17"/>
  <c r="N344" i="17"/>
  <c r="N376" i="17"/>
  <c r="N408" i="17"/>
  <c r="M338" i="17"/>
  <c r="M370" i="17"/>
  <c r="M402" i="17"/>
  <c r="M434" i="17"/>
  <c r="M466" i="17"/>
  <c r="M498" i="17"/>
  <c r="N428" i="17"/>
  <c r="N460" i="17"/>
  <c r="N492" i="17"/>
  <c r="N522" i="17"/>
  <c r="M564" i="17"/>
  <c r="N537" i="17"/>
  <c r="N544" i="17"/>
  <c r="N576" i="17"/>
  <c r="M608" i="17"/>
  <c r="M605" i="17"/>
  <c r="M156" i="17"/>
  <c r="M164" i="17"/>
  <c r="M172" i="17"/>
  <c r="M180" i="17"/>
  <c r="M188" i="17"/>
  <c r="M196" i="17"/>
  <c r="M204" i="17"/>
  <c r="M212" i="17"/>
  <c r="M220" i="17"/>
  <c r="M228" i="17"/>
  <c r="M236" i="17"/>
  <c r="M244" i="17"/>
  <c r="M252" i="17"/>
  <c r="M260" i="17"/>
  <c r="M268" i="17"/>
  <c r="M276" i="17"/>
  <c r="M284" i="17"/>
  <c r="M292" i="17"/>
  <c r="M300" i="17"/>
  <c r="M308" i="17"/>
  <c r="N316" i="17"/>
  <c r="N324" i="17"/>
  <c r="N332" i="17"/>
  <c r="N340" i="17"/>
  <c r="N348" i="17"/>
  <c r="N356" i="17"/>
  <c r="N364" i="17"/>
  <c r="N372" i="17"/>
  <c r="N380" i="17"/>
  <c r="N388" i="17"/>
  <c r="N396" i="17"/>
  <c r="N404" i="17"/>
  <c r="N412" i="17"/>
  <c r="M318" i="17"/>
  <c r="M326" i="17"/>
  <c r="M334" i="17"/>
  <c r="M342" i="17"/>
  <c r="M350" i="17"/>
  <c r="M358" i="17"/>
  <c r="M366" i="17"/>
  <c r="M374" i="17"/>
  <c r="M382" i="17"/>
  <c r="M390" i="17"/>
  <c r="M398" i="17"/>
  <c r="M406" i="17"/>
  <c r="M414" i="17"/>
  <c r="M422" i="17"/>
  <c r="M430" i="17"/>
  <c r="M438" i="17"/>
  <c r="M446" i="17"/>
  <c r="M454" i="17"/>
  <c r="M462" i="17"/>
  <c r="M470" i="17"/>
  <c r="M478" i="17"/>
  <c r="M486" i="17"/>
  <c r="M494" i="17"/>
  <c r="M502" i="17"/>
  <c r="M510" i="17"/>
  <c r="N519" i="17"/>
  <c r="N424" i="17"/>
  <c r="N432" i="17"/>
  <c r="N440" i="17"/>
  <c r="N448" i="17"/>
  <c r="N456" i="17"/>
  <c r="N464" i="17"/>
  <c r="N472" i="17"/>
  <c r="N480" i="17"/>
  <c r="N488" i="17"/>
  <c r="N496" i="17"/>
  <c r="N504" i="17"/>
  <c r="N512" i="17"/>
  <c r="N518" i="17"/>
  <c r="N526" i="17"/>
  <c r="N534" i="17"/>
  <c r="N542" i="17"/>
  <c r="M556" i="17"/>
  <c r="M572" i="17"/>
  <c r="M588" i="17"/>
  <c r="N525" i="17"/>
  <c r="N533" i="17"/>
  <c r="N541" i="17"/>
  <c r="N555" i="17"/>
  <c r="N571" i="17"/>
  <c r="N587" i="17"/>
  <c r="N548" i="17"/>
  <c r="N556" i="17"/>
  <c r="N564" i="17"/>
  <c r="N572" i="17"/>
  <c r="N580" i="17"/>
  <c r="N588" i="17"/>
  <c r="M596" i="17"/>
  <c r="M604" i="17"/>
  <c r="M612" i="17"/>
  <c r="M601" i="17"/>
  <c r="M609" i="17"/>
  <c r="Y58" i="17"/>
  <c r="X339" i="17" l="1"/>
  <c r="F627" i="17"/>
  <c r="X305" i="17"/>
  <c r="E627" i="17"/>
  <c r="N627" i="17"/>
  <c r="M627" i="17"/>
  <c r="J627" i="17"/>
  <c r="D627" i="17"/>
  <c r="L627" i="17"/>
  <c r="K627" i="17"/>
  <c r="I627" i="17"/>
  <c r="P627" i="17"/>
  <c r="O627" i="17"/>
  <c r="C627" i="17"/>
  <c r="G627" i="17"/>
  <c r="R592" i="17"/>
  <c r="S592" i="17" s="1"/>
  <c r="H624" i="17"/>
  <c r="G624" i="17"/>
  <c r="R628" i="17"/>
  <c r="S628" i="17" s="1"/>
  <c r="M625" i="17"/>
  <c r="H625" i="17"/>
  <c r="G625" i="17"/>
  <c r="Q628" i="17"/>
  <c r="D637" i="17" s="1"/>
  <c r="R609" i="17"/>
  <c r="S609" i="17" s="1"/>
  <c r="Q577" i="17"/>
  <c r="U577" i="17" s="1"/>
  <c r="Q545" i="17"/>
  <c r="U545" i="17" s="1"/>
  <c r="R539" i="17"/>
  <c r="S539" i="17" s="1"/>
  <c r="R567" i="17"/>
  <c r="S567" i="17" s="1"/>
  <c r="Q523" i="17"/>
  <c r="U523" i="17" s="1"/>
  <c r="R492" i="17"/>
  <c r="S492" i="17" s="1"/>
  <c r="R460" i="17"/>
  <c r="S460" i="17" s="1"/>
  <c r="R428" i="17"/>
  <c r="S428" i="17" s="1"/>
  <c r="R499" i="17"/>
  <c r="S499" i="17" s="1"/>
  <c r="R467" i="17"/>
  <c r="S467" i="17" s="1"/>
  <c r="R435" i="17"/>
  <c r="S435" i="17" s="1"/>
  <c r="R403" i="17"/>
  <c r="S403" i="17" s="1"/>
  <c r="R371" i="17"/>
  <c r="S371" i="17" s="1"/>
  <c r="R339" i="17"/>
  <c r="S339" i="17" s="1"/>
  <c r="Q409" i="17"/>
  <c r="U409" i="17" s="1"/>
  <c r="Q606" i="17"/>
  <c r="U606" i="17" s="1"/>
  <c r="R574" i="17"/>
  <c r="S574" i="17" s="1"/>
  <c r="Q592" i="17"/>
  <c r="U592" i="17" s="1"/>
  <c r="Q536" i="17"/>
  <c r="U536" i="17" s="1"/>
  <c r="R561" i="17"/>
  <c r="S561" i="17" s="1"/>
  <c r="R520" i="17"/>
  <c r="S520" i="17" s="1"/>
  <c r="Q489" i="17"/>
  <c r="U489" i="17" s="1"/>
  <c r="Q457" i="17"/>
  <c r="U457" i="17" s="1"/>
  <c r="Q425" i="17"/>
  <c r="U425" i="17" s="1"/>
  <c r="Q496" i="17"/>
  <c r="U496" i="17" s="1"/>
  <c r="Q464" i="17"/>
  <c r="U464" i="17" s="1"/>
  <c r="Q432" i="17"/>
  <c r="U432" i="17" s="1"/>
  <c r="Q400" i="17"/>
  <c r="U400" i="17" s="1"/>
  <c r="Q368" i="17"/>
  <c r="U368" i="17" s="1"/>
  <c r="Q336" i="17"/>
  <c r="U336" i="17" s="1"/>
  <c r="R390" i="17"/>
  <c r="S390" i="17" s="1"/>
  <c r="R372" i="17"/>
  <c r="S372" i="17" s="1"/>
  <c r="R356" i="17"/>
  <c r="S356" i="17" s="1"/>
  <c r="R340" i="17"/>
  <c r="S340" i="17" s="1"/>
  <c r="R324" i="17"/>
  <c r="S324" i="17" s="1"/>
  <c r="Q308" i="17"/>
  <c r="U308" i="17" s="1"/>
  <c r="Q292" i="17"/>
  <c r="U292" i="17" s="1"/>
  <c r="Q276" i="17"/>
  <c r="U276" i="17" s="1"/>
  <c r="Q260" i="17"/>
  <c r="U260" i="17" s="1"/>
  <c r="Q244" i="17"/>
  <c r="U244" i="17" s="1"/>
  <c r="Q228" i="17"/>
  <c r="U228" i="17" s="1"/>
  <c r="Q212" i="17"/>
  <c r="U212" i="17" s="1"/>
  <c r="Q196" i="17"/>
  <c r="U196" i="17" s="1"/>
  <c r="Q180" i="17"/>
  <c r="U180" i="17" s="1"/>
  <c r="Q164" i="17"/>
  <c r="U164" i="17" s="1"/>
  <c r="Q148" i="17"/>
  <c r="U148" i="17" s="1"/>
  <c r="Q132" i="17"/>
  <c r="U132" i="17" s="1"/>
  <c r="Q116" i="17"/>
  <c r="U116" i="17" s="1"/>
  <c r="Q305" i="17"/>
  <c r="U305" i="17" s="1"/>
  <c r="Q289" i="17"/>
  <c r="U289" i="17" s="1"/>
  <c r="Q273" i="17"/>
  <c r="U273" i="17" s="1"/>
  <c r="Q257" i="17"/>
  <c r="U257" i="17" s="1"/>
  <c r="Q241" i="17"/>
  <c r="U241" i="17" s="1"/>
  <c r="Q225" i="17"/>
  <c r="U225" i="17" s="1"/>
  <c r="Q209" i="17"/>
  <c r="U209" i="17" s="1"/>
  <c r="Q193" i="17"/>
  <c r="U193" i="17" s="1"/>
  <c r="Q177" i="17"/>
  <c r="U177" i="17" s="1"/>
  <c r="Q161" i="17"/>
  <c r="U161" i="17" s="1"/>
  <c r="Q145" i="17"/>
  <c r="U145" i="17" s="1"/>
  <c r="Q129" i="17"/>
  <c r="U129" i="17" s="1"/>
  <c r="Q318" i="17"/>
  <c r="U318" i="17" s="1"/>
  <c r="Q397" i="17"/>
  <c r="U397" i="17" s="1"/>
  <c r="Q381" i="17"/>
  <c r="U381" i="17" s="1"/>
  <c r="Q365" i="17"/>
  <c r="U365" i="17" s="1"/>
  <c r="Q349" i="17"/>
  <c r="U349" i="17" s="1"/>
  <c r="Q333" i="17"/>
  <c r="U333" i="17" s="1"/>
  <c r="Q317" i="17"/>
  <c r="U317" i="17" s="1"/>
  <c r="R301" i="17"/>
  <c r="S301" i="17" s="1"/>
  <c r="R285" i="17"/>
  <c r="S285" i="17" s="1"/>
  <c r="R269" i="17"/>
  <c r="S269" i="17" s="1"/>
  <c r="R253" i="17"/>
  <c r="S253" i="17" s="1"/>
  <c r="R237" i="17"/>
  <c r="S237" i="17" s="1"/>
  <c r="R221" i="17"/>
  <c r="S221" i="17" s="1"/>
  <c r="R205" i="17"/>
  <c r="S205" i="17" s="1"/>
  <c r="R189" i="17"/>
  <c r="S189" i="17" s="1"/>
  <c r="R173" i="17"/>
  <c r="S173" i="17" s="1"/>
  <c r="R157" i="17"/>
  <c r="S157" i="17" s="1"/>
  <c r="R141" i="17"/>
  <c r="S141" i="17" s="1"/>
  <c r="R125" i="17"/>
  <c r="S125" i="17" s="1"/>
  <c r="R314" i="17"/>
  <c r="S314" i="17" s="1"/>
  <c r="R298" i="17"/>
  <c r="S298" i="17" s="1"/>
  <c r="R282" i="17"/>
  <c r="S282" i="17" s="1"/>
  <c r="R266" i="17"/>
  <c r="S266" i="17" s="1"/>
  <c r="R250" i="17"/>
  <c r="S250" i="17" s="1"/>
  <c r="R234" i="17"/>
  <c r="S234" i="17" s="1"/>
  <c r="R218" i="17"/>
  <c r="S218" i="17" s="1"/>
  <c r="R202" i="17"/>
  <c r="S202" i="17" s="1"/>
  <c r="R186" i="17"/>
  <c r="S186" i="17" s="1"/>
  <c r="R170" i="17"/>
  <c r="S170" i="17" s="1"/>
  <c r="R154" i="17"/>
  <c r="S154" i="17" s="1"/>
  <c r="R138" i="17"/>
  <c r="S138" i="17" s="1"/>
  <c r="R122" i="17"/>
  <c r="S122" i="17" s="1"/>
  <c r="Q121" i="17"/>
  <c r="U121" i="17" s="1"/>
  <c r="Q13" i="17"/>
  <c r="U13" i="17" s="1"/>
  <c r="Q29" i="17"/>
  <c r="U29" i="17" s="1"/>
  <c r="Q45" i="17"/>
  <c r="U45" i="17" s="1"/>
  <c r="Q61" i="17"/>
  <c r="U61" i="17" s="1"/>
  <c r="Q77" i="17"/>
  <c r="U77" i="17" s="1"/>
  <c r="Q93" i="17"/>
  <c r="U93" i="17" s="1"/>
  <c r="Q109" i="17"/>
  <c r="U109" i="17" s="1"/>
  <c r="R23" i="17"/>
  <c r="S23" i="17" s="1"/>
  <c r="R31" i="17"/>
  <c r="S31" i="17" s="1"/>
  <c r="R39" i="17"/>
  <c r="S39" i="17" s="1"/>
  <c r="R47" i="17"/>
  <c r="S47" i="17" s="1"/>
  <c r="R55" i="17"/>
  <c r="S55" i="17" s="1"/>
  <c r="R63" i="17"/>
  <c r="S63" i="17" s="1"/>
  <c r="R71" i="17"/>
  <c r="S71" i="17" s="1"/>
  <c r="R79" i="17"/>
  <c r="S79" i="17" s="1"/>
  <c r="R87" i="17"/>
  <c r="S87" i="17" s="1"/>
  <c r="R95" i="17"/>
  <c r="S95" i="17" s="1"/>
  <c r="R103" i="17"/>
  <c r="S103" i="17" s="1"/>
  <c r="R16" i="17"/>
  <c r="S16" i="17" s="1"/>
  <c r="R32" i="17"/>
  <c r="S32" i="17" s="1"/>
  <c r="R48" i="17"/>
  <c r="S48" i="17" s="1"/>
  <c r="R64" i="17"/>
  <c r="S64" i="17" s="1"/>
  <c r="R80" i="17"/>
  <c r="S80" i="17" s="1"/>
  <c r="R96" i="17"/>
  <c r="S96" i="17" s="1"/>
  <c r="Q622" i="17"/>
  <c r="D632" i="17" s="1"/>
  <c r="R392" i="17"/>
  <c r="S392" i="17" s="1"/>
  <c r="R410" i="17"/>
  <c r="S410" i="17" s="1"/>
  <c r="Q338" i="17"/>
  <c r="U338" i="17" s="1"/>
  <c r="Q354" i="17"/>
  <c r="U354" i="17" s="1"/>
  <c r="Q370" i="17"/>
  <c r="U370" i="17" s="1"/>
  <c r="Q386" i="17"/>
  <c r="U386" i="17" s="1"/>
  <c r="Q402" i="17"/>
  <c r="U402" i="17" s="1"/>
  <c r="Q418" i="17"/>
  <c r="U418" i="17" s="1"/>
  <c r="Q434" i="17"/>
  <c r="U434" i="17" s="1"/>
  <c r="Q450" i="17"/>
  <c r="U450" i="17" s="1"/>
  <c r="Q466" i="17"/>
  <c r="U466" i="17" s="1"/>
  <c r="Q482" i="17"/>
  <c r="U482" i="17" s="1"/>
  <c r="Q498" i="17"/>
  <c r="U498" i="17" s="1"/>
  <c r="Q514" i="17"/>
  <c r="U514" i="17" s="1"/>
  <c r="Q427" i="17"/>
  <c r="U427" i="17" s="1"/>
  <c r="Q443" i="17"/>
  <c r="U443" i="17" s="1"/>
  <c r="Q459" i="17"/>
  <c r="U459" i="17" s="1"/>
  <c r="Q475" i="17"/>
  <c r="U475" i="17" s="1"/>
  <c r="Q491" i="17"/>
  <c r="U491" i="17" s="1"/>
  <c r="Q507" i="17"/>
  <c r="U507" i="17" s="1"/>
  <c r="R522" i="17"/>
  <c r="S522" i="17" s="1"/>
  <c r="R538" i="17"/>
  <c r="S538" i="17" s="1"/>
  <c r="R565" i="17"/>
  <c r="S565" i="17" s="1"/>
  <c r="Q522" i="17"/>
  <c r="U522" i="17" s="1"/>
  <c r="Q538" i="17"/>
  <c r="U538" i="17" s="1"/>
  <c r="Q564" i="17"/>
  <c r="U564" i="17" s="1"/>
  <c r="R544" i="17"/>
  <c r="S544" i="17" s="1"/>
  <c r="R560" i="17"/>
  <c r="S560" i="17" s="1"/>
  <c r="R576" i="17"/>
  <c r="S576" i="17" s="1"/>
  <c r="Q608" i="17"/>
  <c r="U608" i="17" s="1"/>
  <c r="Q605" i="17"/>
  <c r="U605" i="17" s="1"/>
  <c r="Q411" i="17"/>
  <c r="U411" i="17" s="1"/>
  <c r="R325" i="17"/>
  <c r="S325" i="17" s="1"/>
  <c r="R341" i="17"/>
  <c r="S341" i="17" s="1"/>
  <c r="R357" i="17"/>
  <c r="S357" i="17" s="1"/>
  <c r="R373" i="17"/>
  <c r="S373" i="17" s="1"/>
  <c r="R389" i="17"/>
  <c r="S389" i="17" s="1"/>
  <c r="R405" i="17"/>
  <c r="S405" i="17" s="1"/>
  <c r="R421" i="17"/>
  <c r="S421" i="17" s="1"/>
  <c r="R437" i="17"/>
  <c r="S437" i="17" s="1"/>
  <c r="R453" i="17"/>
  <c r="S453" i="17" s="1"/>
  <c r="R469" i="17"/>
  <c r="S469" i="17" s="1"/>
  <c r="R485" i="17"/>
  <c r="S485" i="17" s="1"/>
  <c r="R501" i="17"/>
  <c r="S501" i="17" s="1"/>
  <c r="R517" i="17"/>
  <c r="S517" i="17" s="1"/>
  <c r="R430" i="17"/>
  <c r="S430" i="17" s="1"/>
  <c r="R446" i="17"/>
  <c r="S446" i="17" s="1"/>
  <c r="R462" i="17"/>
  <c r="S462" i="17" s="1"/>
  <c r="R478" i="17"/>
  <c r="S478" i="17" s="1"/>
  <c r="R494" i="17"/>
  <c r="S494" i="17" s="1"/>
  <c r="R510" i="17"/>
  <c r="S510" i="17" s="1"/>
  <c r="Q525" i="17"/>
  <c r="U525" i="17" s="1"/>
  <c r="Q541" i="17"/>
  <c r="U541" i="17" s="1"/>
  <c r="R571" i="17"/>
  <c r="S571" i="17" s="1"/>
  <c r="R601" i="17"/>
  <c r="S601" i="17" s="1"/>
  <c r="Q569" i="17"/>
  <c r="U569" i="17" s="1"/>
  <c r="Q582" i="17"/>
  <c r="U582" i="17" s="1"/>
  <c r="R531" i="17"/>
  <c r="S531" i="17" s="1"/>
  <c r="R551" i="17"/>
  <c r="S551" i="17" s="1"/>
  <c r="R516" i="17"/>
  <c r="S516" i="17" s="1"/>
  <c r="R484" i="17"/>
  <c r="S484" i="17" s="1"/>
  <c r="R452" i="17"/>
  <c r="S452" i="17" s="1"/>
  <c r="R420" i="17"/>
  <c r="S420" i="17" s="1"/>
  <c r="R491" i="17"/>
  <c r="S491" i="17" s="1"/>
  <c r="R459" i="17"/>
  <c r="S459" i="17" s="1"/>
  <c r="R427" i="17"/>
  <c r="S427" i="17" s="1"/>
  <c r="R395" i="17"/>
  <c r="S395" i="17" s="1"/>
  <c r="R363" i="17"/>
  <c r="S363" i="17" s="1"/>
  <c r="R331" i="17"/>
  <c r="S331" i="17" s="1"/>
  <c r="Q611" i="17"/>
  <c r="U611" i="17" s="1"/>
  <c r="Q598" i="17"/>
  <c r="U598" i="17" s="1"/>
  <c r="R566" i="17"/>
  <c r="S566" i="17" s="1"/>
  <c r="Q576" i="17"/>
  <c r="U576" i="17" s="1"/>
  <c r="Q528" i="17"/>
  <c r="U528" i="17" s="1"/>
  <c r="R545" i="17"/>
  <c r="S545" i="17" s="1"/>
  <c r="Q513" i="17"/>
  <c r="U513" i="17" s="1"/>
  <c r="Q481" i="17"/>
  <c r="U481" i="17" s="1"/>
  <c r="Q449" i="17"/>
  <c r="U449" i="17" s="1"/>
  <c r="Q417" i="17"/>
  <c r="U417" i="17" s="1"/>
  <c r="Q488" i="17"/>
  <c r="U488" i="17" s="1"/>
  <c r="Q456" i="17"/>
  <c r="U456" i="17" s="1"/>
  <c r="Q424" i="17"/>
  <c r="U424" i="17" s="1"/>
  <c r="Q392" i="17"/>
  <c r="U392" i="17" s="1"/>
  <c r="Q360" i="17"/>
  <c r="U360" i="17" s="1"/>
  <c r="Q320" i="17"/>
  <c r="U320" i="17" s="1"/>
  <c r="R384" i="17"/>
  <c r="S384" i="17" s="1"/>
  <c r="R368" i="17"/>
  <c r="S368" i="17" s="1"/>
  <c r="R352" i="17"/>
  <c r="S352" i="17" s="1"/>
  <c r="R336" i="17"/>
  <c r="S336" i="17" s="1"/>
  <c r="R320" i="17"/>
  <c r="S320" i="17" s="1"/>
  <c r="Q304" i="17"/>
  <c r="U304" i="17" s="1"/>
  <c r="Q288" i="17"/>
  <c r="U288" i="17" s="1"/>
  <c r="Q272" i="17"/>
  <c r="U272" i="17" s="1"/>
  <c r="Q256" i="17"/>
  <c r="U256" i="17" s="1"/>
  <c r="Q240" i="17"/>
  <c r="U240" i="17" s="1"/>
  <c r="Q224" i="17"/>
  <c r="U224" i="17" s="1"/>
  <c r="Q208" i="17"/>
  <c r="U208" i="17" s="1"/>
  <c r="Q192" i="17"/>
  <c r="U192" i="17" s="1"/>
  <c r="Q176" i="17"/>
  <c r="U176" i="17" s="1"/>
  <c r="Q160" i="17"/>
  <c r="U160" i="17" s="1"/>
  <c r="Q144" i="17"/>
  <c r="U144" i="17" s="1"/>
  <c r="Q128" i="17"/>
  <c r="U128" i="17" s="1"/>
  <c r="Q112" i="17"/>
  <c r="U112" i="17" s="1"/>
  <c r="Q301" i="17"/>
  <c r="U301" i="17" s="1"/>
  <c r="Q285" i="17"/>
  <c r="U285" i="17" s="1"/>
  <c r="Q269" i="17"/>
  <c r="U269" i="17" s="1"/>
  <c r="Q253" i="17"/>
  <c r="U253" i="17" s="1"/>
  <c r="Q237" i="17"/>
  <c r="U237" i="17" s="1"/>
  <c r="Q221" i="17"/>
  <c r="U221" i="17" s="1"/>
  <c r="Q205" i="17"/>
  <c r="U205" i="17" s="1"/>
  <c r="Q189" i="17"/>
  <c r="U189" i="17" s="1"/>
  <c r="Q173" i="17"/>
  <c r="U173" i="17" s="1"/>
  <c r="Q157" i="17"/>
  <c r="U157" i="17" s="1"/>
  <c r="Q141" i="17"/>
  <c r="U141" i="17" s="1"/>
  <c r="Q125" i="17"/>
  <c r="U125" i="17" s="1"/>
  <c r="R412" i="17"/>
  <c r="S412" i="17" s="1"/>
  <c r="Q393" i="17"/>
  <c r="U393" i="17" s="1"/>
  <c r="Q377" i="17"/>
  <c r="U377" i="17" s="1"/>
  <c r="Q361" i="17"/>
  <c r="U361" i="17" s="1"/>
  <c r="Q345" i="17"/>
  <c r="U345" i="17" s="1"/>
  <c r="Q329" i="17"/>
  <c r="U329" i="17" s="1"/>
  <c r="R313" i="17"/>
  <c r="S313" i="17" s="1"/>
  <c r="R297" i="17"/>
  <c r="S297" i="17" s="1"/>
  <c r="R281" i="17"/>
  <c r="S281" i="17" s="1"/>
  <c r="R265" i="17"/>
  <c r="S265" i="17" s="1"/>
  <c r="R249" i="17"/>
  <c r="S249" i="17" s="1"/>
  <c r="R233" i="17"/>
  <c r="S233" i="17" s="1"/>
  <c r="R217" i="17"/>
  <c r="S217" i="17" s="1"/>
  <c r="R201" i="17"/>
  <c r="S201" i="17" s="1"/>
  <c r="R185" i="17"/>
  <c r="S185" i="17" s="1"/>
  <c r="R169" i="17"/>
  <c r="S169" i="17" s="1"/>
  <c r="R153" i="17"/>
  <c r="S153" i="17" s="1"/>
  <c r="R137" i="17"/>
  <c r="S137" i="17" s="1"/>
  <c r="R121" i="17"/>
  <c r="S121" i="17" s="1"/>
  <c r="R310" i="17"/>
  <c r="S310" i="17" s="1"/>
  <c r="R294" i="17"/>
  <c r="S294" i="17" s="1"/>
  <c r="R278" i="17"/>
  <c r="S278" i="17" s="1"/>
  <c r="R262" i="17"/>
  <c r="S262" i="17" s="1"/>
  <c r="R246" i="17"/>
  <c r="S246" i="17" s="1"/>
  <c r="R230" i="17"/>
  <c r="S230" i="17" s="1"/>
  <c r="R214" i="17"/>
  <c r="S214" i="17" s="1"/>
  <c r="R198" i="17"/>
  <c r="S198" i="17" s="1"/>
  <c r="R182" i="17"/>
  <c r="S182" i="17" s="1"/>
  <c r="R166" i="17"/>
  <c r="S166" i="17" s="1"/>
  <c r="R150" i="17"/>
  <c r="S150" i="17" s="1"/>
  <c r="R134" i="17"/>
  <c r="S134" i="17" s="1"/>
  <c r="R118" i="17"/>
  <c r="S118" i="17" s="1"/>
  <c r="R114" i="17"/>
  <c r="S114" i="17" s="1"/>
  <c r="Q17" i="17"/>
  <c r="U17" i="17" s="1"/>
  <c r="Q33" i="17"/>
  <c r="U33" i="17" s="1"/>
  <c r="Q49" i="17"/>
  <c r="U49" i="17" s="1"/>
  <c r="Q65" i="17"/>
  <c r="U65" i="17" s="1"/>
  <c r="Q81" i="17"/>
  <c r="U81" i="17" s="1"/>
  <c r="Q97" i="17"/>
  <c r="U97" i="17" s="1"/>
  <c r="R15" i="17"/>
  <c r="S15" i="17" s="1"/>
  <c r="R25" i="17"/>
  <c r="S25" i="17" s="1"/>
  <c r="R33" i="17"/>
  <c r="S33" i="17" s="1"/>
  <c r="R41" i="17"/>
  <c r="S41" i="17" s="1"/>
  <c r="R49" i="17"/>
  <c r="S49" i="17" s="1"/>
  <c r="R57" i="17"/>
  <c r="S57" i="17" s="1"/>
  <c r="R65" i="17"/>
  <c r="S65" i="17" s="1"/>
  <c r="R73" i="17"/>
  <c r="S73" i="17" s="1"/>
  <c r="R81" i="17"/>
  <c r="S81" i="17" s="1"/>
  <c r="R89" i="17"/>
  <c r="S89" i="17" s="1"/>
  <c r="R97" i="17"/>
  <c r="S97" i="17" s="1"/>
  <c r="R105" i="17"/>
  <c r="S105" i="17" s="1"/>
  <c r="R20" i="17"/>
  <c r="S20" i="17" s="1"/>
  <c r="R36" i="17"/>
  <c r="S36" i="17" s="1"/>
  <c r="R52" i="17"/>
  <c r="S52" i="17" s="1"/>
  <c r="R68" i="17"/>
  <c r="S68" i="17" s="1"/>
  <c r="R84" i="17"/>
  <c r="S84" i="17" s="1"/>
  <c r="R100" i="17"/>
  <c r="S100" i="17" s="1"/>
  <c r="R626" i="17"/>
  <c r="S626" i="17" s="1"/>
  <c r="R396" i="17"/>
  <c r="S396" i="17" s="1"/>
  <c r="Q316" i="17"/>
  <c r="U316" i="17" s="1"/>
  <c r="Q342" i="17"/>
  <c r="U342" i="17" s="1"/>
  <c r="Q358" i="17"/>
  <c r="U358" i="17" s="1"/>
  <c r="Q374" i="17"/>
  <c r="U374" i="17" s="1"/>
  <c r="Q390" i="17"/>
  <c r="U390" i="17" s="1"/>
  <c r="Q406" i="17"/>
  <c r="U406" i="17" s="1"/>
  <c r="Q422" i="17"/>
  <c r="U422" i="17" s="1"/>
  <c r="Q438" i="17"/>
  <c r="U438" i="17" s="1"/>
  <c r="Q454" i="17"/>
  <c r="U454" i="17" s="1"/>
  <c r="Q470" i="17"/>
  <c r="U470" i="17" s="1"/>
  <c r="Q486" i="17"/>
  <c r="U486" i="17" s="1"/>
  <c r="Q502" i="17"/>
  <c r="U502" i="17" s="1"/>
  <c r="Q518" i="17"/>
  <c r="U518" i="17" s="1"/>
  <c r="Q431" i="17"/>
  <c r="U431" i="17" s="1"/>
  <c r="Q447" i="17"/>
  <c r="U447" i="17" s="1"/>
  <c r="Q463" i="17"/>
  <c r="U463" i="17" s="1"/>
  <c r="Q479" i="17"/>
  <c r="U479" i="17" s="1"/>
  <c r="Q495" i="17"/>
  <c r="U495" i="17" s="1"/>
  <c r="Q511" i="17"/>
  <c r="U511" i="17" s="1"/>
  <c r="R526" i="17"/>
  <c r="S526" i="17" s="1"/>
  <c r="R542" i="17"/>
  <c r="S542" i="17" s="1"/>
  <c r="R573" i="17"/>
  <c r="S573" i="17" s="1"/>
  <c r="Q526" i="17"/>
  <c r="U526" i="17" s="1"/>
  <c r="Q542" i="17"/>
  <c r="U542" i="17" s="1"/>
  <c r="Q572" i="17"/>
  <c r="U572" i="17" s="1"/>
  <c r="R548" i="17"/>
  <c r="S548" i="17" s="1"/>
  <c r="R564" i="17"/>
  <c r="S564" i="17" s="1"/>
  <c r="R580" i="17"/>
  <c r="S580" i="17" s="1"/>
  <c r="Q596" i="17"/>
  <c r="U596" i="17" s="1"/>
  <c r="Q612" i="17"/>
  <c r="U612" i="17" s="1"/>
  <c r="Q609" i="17"/>
  <c r="U609" i="17" s="1"/>
  <c r="Q415" i="17"/>
  <c r="U415" i="17" s="1"/>
  <c r="R329" i="17"/>
  <c r="S329" i="17" s="1"/>
  <c r="R345" i="17"/>
  <c r="S345" i="17" s="1"/>
  <c r="R361" i="17"/>
  <c r="S361" i="17" s="1"/>
  <c r="R377" i="17"/>
  <c r="S377" i="17" s="1"/>
  <c r="R393" i="17"/>
  <c r="S393" i="17" s="1"/>
  <c r="R409" i="17"/>
  <c r="S409" i="17" s="1"/>
  <c r="R425" i="17"/>
  <c r="S425" i="17" s="1"/>
  <c r="R441" i="17"/>
  <c r="S441" i="17" s="1"/>
  <c r="R457" i="17"/>
  <c r="S457" i="17" s="1"/>
  <c r="R473" i="17"/>
  <c r="S473" i="17" s="1"/>
  <c r="R489" i="17"/>
  <c r="S489" i="17" s="1"/>
  <c r="R505" i="17"/>
  <c r="S505" i="17" s="1"/>
  <c r="R418" i="17"/>
  <c r="S418" i="17" s="1"/>
  <c r="R434" i="17"/>
  <c r="S434" i="17" s="1"/>
  <c r="R450" i="17"/>
  <c r="S450" i="17" s="1"/>
  <c r="R466" i="17"/>
  <c r="S466" i="17" s="1"/>
  <c r="R482" i="17"/>
  <c r="S482" i="17" s="1"/>
  <c r="R498" i="17"/>
  <c r="S498" i="17" s="1"/>
  <c r="R514" i="17"/>
  <c r="S514" i="17" s="1"/>
  <c r="Q529" i="17"/>
  <c r="U529" i="17" s="1"/>
  <c r="R547" i="17"/>
  <c r="S547" i="17" s="1"/>
  <c r="R579" i="17"/>
  <c r="S579" i="17" s="1"/>
  <c r="R521" i="17"/>
  <c r="S521" i="17" s="1"/>
  <c r="R537" i="17"/>
  <c r="S537" i="17" s="1"/>
  <c r="Q562" i="17"/>
  <c r="U562" i="17" s="1"/>
  <c r="Q594" i="17"/>
  <c r="U594" i="17" s="1"/>
  <c r="Q559" i="17"/>
  <c r="U559" i="17" s="1"/>
  <c r="Q575" i="17"/>
  <c r="U575" i="17" s="1"/>
  <c r="Q591" i="17"/>
  <c r="U591" i="17" s="1"/>
  <c r="R607" i="17"/>
  <c r="S607" i="17" s="1"/>
  <c r="R604" i="17"/>
  <c r="S604" i="17" s="1"/>
  <c r="R613" i="17"/>
  <c r="S613" i="17" s="1"/>
  <c r="Q549" i="17"/>
  <c r="U549" i="17" s="1"/>
  <c r="R575" i="17"/>
  <c r="S575" i="17" s="1"/>
  <c r="R496" i="17"/>
  <c r="S496" i="17" s="1"/>
  <c r="R432" i="17"/>
  <c r="S432" i="17" s="1"/>
  <c r="R471" i="17"/>
  <c r="S471" i="17" s="1"/>
  <c r="R407" i="17"/>
  <c r="S407" i="17" s="1"/>
  <c r="R343" i="17"/>
  <c r="S343" i="17" s="1"/>
  <c r="Q610" i="17"/>
  <c r="U610" i="17" s="1"/>
  <c r="R546" i="17"/>
  <c r="S546" i="17" s="1"/>
  <c r="R569" i="17"/>
  <c r="S569" i="17" s="1"/>
  <c r="Q493" i="17"/>
  <c r="U493" i="17" s="1"/>
  <c r="Q429" i="17"/>
  <c r="U429" i="17" s="1"/>
  <c r="Q468" i="17"/>
  <c r="U468" i="17" s="1"/>
  <c r="Q404" i="17"/>
  <c r="U404" i="17" s="1"/>
  <c r="Q340" i="17"/>
  <c r="U340" i="17" s="1"/>
  <c r="R374" i="17"/>
  <c r="S374" i="17" s="1"/>
  <c r="R342" i="17"/>
  <c r="S342" i="17" s="1"/>
  <c r="Q310" i="17"/>
  <c r="U310" i="17" s="1"/>
  <c r="Q278" i="17"/>
  <c r="U278" i="17" s="1"/>
  <c r="Q246" i="17"/>
  <c r="U246" i="17" s="1"/>
  <c r="Q214" i="17"/>
  <c r="U214" i="17" s="1"/>
  <c r="Q182" i="17"/>
  <c r="U182" i="17" s="1"/>
  <c r="Q150" i="17"/>
  <c r="U150" i="17" s="1"/>
  <c r="Q118" i="17"/>
  <c r="U118" i="17" s="1"/>
  <c r="Q291" i="17"/>
  <c r="U291" i="17" s="1"/>
  <c r="Q259" i="17"/>
  <c r="U259" i="17" s="1"/>
  <c r="Q227" i="17"/>
  <c r="U227" i="17" s="1"/>
  <c r="Q195" i="17"/>
  <c r="U195" i="17" s="1"/>
  <c r="Q163" i="17"/>
  <c r="U163" i="17" s="1"/>
  <c r="Q131" i="17"/>
  <c r="U131" i="17" s="1"/>
  <c r="Q399" i="17"/>
  <c r="U399" i="17" s="1"/>
  <c r="Q367" i="17"/>
  <c r="U367" i="17" s="1"/>
  <c r="Q335" i="17"/>
  <c r="U335" i="17" s="1"/>
  <c r="R303" i="17"/>
  <c r="S303" i="17" s="1"/>
  <c r="R271" i="17"/>
  <c r="S271" i="17" s="1"/>
  <c r="R239" i="17"/>
  <c r="S239" i="17" s="1"/>
  <c r="R207" i="17"/>
  <c r="S207" i="17" s="1"/>
  <c r="R175" i="17"/>
  <c r="S175" i="17" s="1"/>
  <c r="R143" i="17"/>
  <c r="S143" i="17" s="1"/>
  <c r="R111" i="17"/>
  <c r="S111" i="17" s="1"/>
  <c r="R284" i="17"/>
  <c r="S284" i="17" s="1"/>
  <c r="R252" i="17"/>
  <c r="S252" i="17" s="1"/>
  <c r="R220" i="17"/>
  <c r="S220" i="17" s="1"/>
  <c r="R188" i="17"/>
  <c r="S188" i="17" s="1"/>
  <c r="R156" i="17"/>
  <c r="S156" i="17" s="1"/>
  <c r="R124" i="17"/>
  <c r="S124" i="17" s="1"/>
  <c r="Q18" i="17"/>
  <c r="Q43" i="17"/>
  <c r="U43" i="17" s="1"/>
  <c r="Q75" i="17"/>
  <c r="U75" i="17" s="1"/>
  <c r="Q107" i="17"/>
  <c r="U107" i="17" s="1"/>
  <c r="Q30" i="17"/>
  <c r="U30" i="17" s="1"/>
  <c r="Q46" i="17"/>
  <c r="U46" i="17" s="1"/>
  <c r="Q62" i="17"/>
  <c r="U62" i="17" s="1"/>
  <c r="Q78" i="17"/>
  <c r="U78" i="17" s="1"/>
  <c r="Q94" i="17"/>
  <c r="U94" i="17" s="1"/>
  <c r="R14" i="17"/>
  <c r="S14" i="17" s="1"/>
  <c r="R46" i="17"/>
  <c r="S46" i="17" s="1"/>
  <c r="R78" i="17"/>
  <c r="S78" i="17" s="1"/>
  <c r="R622" i="17"/>
  <c r="S622" i="17" s="1"/>
  <c r="Q557" i="17"/>
  <c r="U557" i="17" s="1"/>
  <c r="R504" i="17"/>
  <c r="S504" i="17" s="1"/>
  <c r="R479" i="17"/>
  <c r="S479" i="17" s="1"/>
  <c r="R351" i="17"/>
  <c r="S351" i="17" s="1"/>
  <c r="R554" i="17"/>
  <c r="S554" i="17" s="1"/>
  <c r="Q501" i="17"/>
  <c r="U501" i="17" s="1"/>
  <c r="Q476" i="17"/>
  <c r="U476" i="17" s="1"/>
  <c r="Q348" i="17"/>
  <c r="U348" i="17" s="1"/>
  <c r="R346" i="17"/>
  <c r="S346" i="17" s="1"/>
  <c r="Q282" i="17"/>
  <c r="U282" i="17" s="1"/>
  <c r="Q218" i="17"/>
  <c r="U218" i="17" s="1"/>
  <c r="Q154" i="17"/>
  <c r="U154" i="17" s="1"/>
  <c r="Q295" i="17"/>
  <c r="U295" i="17" s="1"/>
  <c r="Q231" i="17"/>
  <c r="U231" i="17" s="1"/>
  <c r="Q167" i="17"/>
  <c r="U167" i="17" s="1"/>
  <c r="Q403" i="17"/>
  <c r="U403" i="17" s="1"/>
  <c r="Q339" i="17"/>
  <c r="U339" i="17" s="1"/>
  <c r="R275" i="17"/>
  <c r="S275" i="17" s="1"/>
  <c r="R211" i="17"/>
  <c r="S211" i="17" s="1"/>
  <c r="R147" i="17"/>
  <c r="S147" i="17" s="1"/>
  <c r="R288" i="17"/>
  <c r="S288" i="17" s="1"/>
  <c r="R224" i="17"/>
  <c r="S224" i="17" s="1"/>
  <c r="R160" i="17"/>
  <c r="S160" i="17" s="1"/>
  <c r="Q14" i="17"/>
  <c r="U14" i="17" s="1"/>
  <c r="Q71" i="17"/>
  <c r="U71" i="17" s="1"/>
  <c r="Q28" i="17"/>
  <c r="U28" i="17" s="1"/>
  <c r="Q60" i="17"/>
  <c r="U60" i="17" s="1"/>
  <c r="Q92" i="17"/>
  <c r="U92" i="17" s="1"/>
  <c r="R42" i="17"/>
  <c r="S42" i="17" s="1"/>
  <c r="R106" i="17"/>
  <c r="S106" i="17" s="1"/>
  <c r="R488" i="17"/>
  <c r="S488" i="17" s="1"/>
  <c r="R335" i="17"/>
  <c r="S335" i="17" s="1"/>
  <c r="Q485" i="17"/>
  <c r="U485" i="17" s="1"/>
  <c r="Q328" i="17"/>
  <c r="U328" i="17" s="1"/>
  <c r="Q274" i="17"/>
  <c r="U274" i="17" s="1"/>
  <c r="Q146" i="17"/>
  <c r="U146" i="17" s="1"/>
  <c r="Q223" i="17"/>
  <c r="U223" i="17" s="1"/>
  <c r="Q395" i="17"/>
  <c r="U395" i="17" s="1"/>
  <c r="R267" i="17"/>
  <c r="S267" i="17" s="1"/>
  <c r="R139" i="17"/>
  <c r="S139" i="17" s="1"/>
  <c r="R216" i="17"/>
  <c r="S216" i="17" s="1"/>
  <c r="Q15" i="17"/>
  <c r="U15" i="17" s="1"/>
  <c r="Q32" i="17"/>
  <c r="U32" i="17" s="1"/>
  <c r="Q96" i="17"/>
  <c r="U96" i="17" s="1"/>
  <c r="Q626" i="17"/>
  <c r="D636" i="17" s="1"/>
  <c r="R367" i="17"/>
  <c r="S367" i="17" s="1"/>
  <c r="Q364" i="17"/>
  <c r="U364" i="17" s="1"/>
  <c r="Q162" i="17"/>
  <c r="U162" i="17" s="1"/>
  <c r="R416" i="17"/>
  <c r="S416" i="17" s="1"/>
  <c r="R155" i="17"/>
  <c r="S155" i="17" s="1"/>
  <c r="Q117" i="17"/>
  <c r="Q88" i="17"/>
  <c r="U88" i="17" s="1"/>
  <c r="R431" i="17"/>
  <c r="S431" i="17" s="1"/>
  <c r="Q194" i="17"/>
  <c r="U194" i="17" s="1"/>
  <c r="R187" i="17"/>
  <c r="S187" i="17" s="1"/>
  <c r="Q72" i="17"/>
  <c r="U72" i="17" s="1"/>
  <c r="Q258" i="17"/>
  <c r="U258" i="17" s="1"/>
  <c r="Q40" i="17"/>
  <c r="U40" i="17" s="1"/>
  <c r="Q104" i="17"/>
  <c r="U104" i="17" s="1"/>
  <c r="R533" i="17"/>
  <c r="S533" i="17" s="1"/>
  <c r="Q554" i="17"/>
  <c r="U554" i="17" s="1"/>
  <c r="Q586" i="17"/>
  <c r="U586" i="17" s="1"/>
  <c r="Q555" i="17"/>
  <c r="U555" i="17" s="1"/>
  <c r="Q571" i="17"/>
  <c r="U571" i="17" s="1"/>
  <c r="Q587" i="17"/>
  <c r="U587" i="17" s="1"/>
  <c r="R603" i="17"/>
  <c r="S603" i="17" s="1"/>
  <c r="R600" i="17"/>
  <c r="S600" i="17" s="1"/>
  <c r="Q565" i="17"/>
  <c r="U565" i="17" s="1"/>
  <c r="R527" i="17"/>
  <c r="S527" i="17" s="1"/>
  <c r="R512" i="17"/>
  <c r="S512" i="17" s="1"/>
  <c r="R448" i="17"/>
  <c r="S448" i="17" s="1"/>
  <c r="R487" i="17"/>
  <c r="S487" i="17" s="1"/>
  <c r="R423" i="17"/>
  <c r="S423" i="17" s="1"/>
  <c r="R359" i="17"/>
  <c r="S359" i="17" s="1"/>
  <c r="Q607" i="17"/>
  <c r="U607" i="17" s="1"/>
  <c r="R562" i="17"/>
  <c r="S562" i="17" s="1"/>
  <c r="Q524" i="17"/>
  <c r="U524" i="17" s="1"/>
  <c r="Q509" i="17"/>
  <c r="U509" i="17" s="1"/>
  <c r="Q445" i="17"/>
  <c r="U445" i="17" s="1"/>
  <c r="Q484" i="17"/>
  <c r="U484" i="17" s="1"/>
  <c r="Q420" i="17"/>
  <c r="U420" i="17" s="1"/>
  <c r="Q356" i="17"/>
  <c r="U356" i="17" s="1"/>
  <c r="R382" i="17"/>
  <c r="S382" i="17" s="1"/>
  <c r="R350" i="17"/>
  <c r="S350" i="17" s="1"/>
  <c r="R318" i="17"/>
  <c r="S318" i="17" s="1"/>
  <c r="Q286" i="17"/>
  <c r="U286" i="17" s="1"/>
  <c r="Q254" i="17"/>
  <c r="U254" i="17" s="1"/>
  <c r="Q222" i="17"/>
  <c r="U222" i="17" s="1"/>
  <c r="Q190" i="17"/>
  <c r="U190" i="17" s="1"/>
  <c r="Q158" i="17"/>
  <c r="U158" i="17" s="1"/>
  <c r="Q126" i="17"/>
  <c r="U126" i="17" s="1"/>
  <c r="Q299" i="17"/>
  <c r="U299" i="17" s="1"/>
  <c r="Q267" i="17"/>
  <c r="U267" i="17" s="1"/>
  <c r="Q235" i="17"/>
  <c r="U235" i="17" s="1"/>
  <c r="Q203" i="17"/>
  <c r="U203" i="17" s="1"/>
  <c r="Q171" i="17"/>
  <c r="U171" i="17" s="1"/>
  <c r="Q139" i="17"/>
  <c r="U139" i="17" s="1"/>
  <c r="R408" i="17"/>
  <c r="S408" i="17" s="1"/>
  <c r="Q375" i="17"/>
  <c r="U375" i="17" s="1"/>
  <c r="Q343" i="17"/>
  <c r="U343" i="17" s="1"/>
  <c r="R311" i="17"/>
  <c r="S311" i="17" s="1"/>
  <c r="R279" i="17"/>
  <c r="S279" i="17" s="1"/>
  <c r="R247" i="17"/>
  <c r="S247" i="17" s="1"/>
  <c r="R215" i="17"/>
  <c r="S215" i="17" s="1"/>
  <c r="R183" i="17"/>
  <c r="S183" i="17" s="1"/>
  <c r="R151" i="17"/>
  <c r="S151" i="17" s="1"/>
  <c r="R119" i="17"/>
  <c r="S119" i="17" s="1"/>
  <c r="R292" i="17"/>
  <c r="S292" i="17" s="1"/>
  <c r="R260" i="17"/>
  <c r="S260" i="17" s="1"/>
  <c r="R228" i="17"/>
  <c r="S228" i="17" s="1"/>
  <c r="R196" i="17"/>
  <c r="S196" i="17" s="1"/>
  <c r="R164" i="17"/>
  <c r="S164" i="17" s="1"/>
  <c r="R132" i="17"/>
  <c r="S132" i="17" s="1"/>
  <c r="R112" i="17"/>
  <c r="S112" i="17" s="1"/>
  <c r="Q35" i="17"/>
  <c r="U35" i="17" s="1"/>
  <c r="Q67" i="17"/>
  <c r="U67" i="17" s="1"/>
  <c r="Q99" i="17"/>
  <c r="U99" i="17" s="1"/>
  <c r="Q26" i="17"/>
  <c r="U26" i="17" s="1"/>
  <c r="Q42" i="17"/>
  <c r="U42" i="17" s="1"/>
  <c r="Q58" i="17"/>
  <c r="U58" i="17" s="1"/>
  <c r="Q74" i="17"/>
  <c r="U74" i="17" s="1"/>
  <c r="Q90" i="17"/>
  <c r="U90" i="17" s="1"/>
  <c r="Q106" i="17"/>
  <c r="U106" i="17" s="1"/>
  <c r="R38" i="17"/>
  <c r="S38" i="17" s="1"/>
  <c r="R70" i="17"/>
  <c r="S70" i="17" s="1"/>
  <c r="R102" i="17"/>
  <c r="S102" i="17" s="1"/>
  <c r="Q589" i="17"/>
  <c r="U589" i="17" s="1"/>
  <c r="Q535" i="17"/>
  <c r="U535" i="17" s="1"/>
  <c r="R511" i="17"/>
  <c r="S511" i="17" s="1"/>
  <c r="R383" i="17"/>
  <c r="S383" i="17" s="1"/>
  <c r="R586" i="17"/>
  <c r="S586" i="17" s="1"/>
  <c r="R532" i="17"/>
  <c r="S532" i="17" s="1"/>
  <c r="Q508" i="17"/>
  <c r="U508" i="17" s="1"/>
  <c r="Q380" i="17"/>
  <c r="U380" i="17" s="1"/>
  <c r="R362" i="17"/>
  <c r="S362" i="17" s="1"/>
  <c r="Q298" i="17"/>
  <c r="U298" i="17" s="1"/>
  <c r="Q234" i="17"/>
  <c r="U234" i="17" s="1"/>
  <c r="Q170" i="17"/>
  <c r="U170" i="17" s="1"/>
  <c r="Q311" i="17"/>
  <c r="U311" i="17" s="1"/>
  <c r="Q247" i="17"/>
  <c r="U247" i="17" s="1"/>
  <c r="Q183" i="17"/>
  <c r="U183" i="17" s="1"/>
  <c r="Q330" i="17"/>
  <c r="Q355" i="17"/>
  <c r="U355" i="17" s="1"/>
  <c r="R291" i="17"/>
  <c r="S291" i="17" s="1"/>
  <c r="R227" i="17"/>
  <c r="S227" i="17" s="1"/>
  <c r="R163" i="17"/>
  <c r="S163" i="17" s="1"/>
  <c r="R304" i="17"/>
  <c r="S304" i="17" s="1"/>
  <c r="R240" i="17"/>
  <c r="S240" i="17" s="1"/>
  <c r="R176" i="17"/>
  <c r="S176" i="17" s="1"/>
  <c r="Q115" i="17"/>
  <c r="U115" i="17" s="1"/>
  <c r="Q55" i="17"/>
  <c r="U55" i="17" s="1"/>
  <c r="Q20" i="17"/>
  <c r="U20" i="17" s="1"/>
  <c r="Q52" i="17"/>
  <c r="U52" i="17" s="1"/>
  <c r="Q84" i="17"/>
  <c r="U84" i="17" s="1"/>
  <c r="R26" i="17"/>
  <c r="S26" i="17" s="1"/>
  <c r="R90" i="17"/>
  <c r="S90" i="17" s="1"/>
  <c r="R559" i="17"/>
  <c r="S559" i="17" s="1"/>
  <c r="R399" i="17"/>
  <c r="S399" i="17" s="1"/>
  <c r="R553" i="17"/>
  <c r="S553" i="17" s="1"/>
  <c r="Q396" i="17"/>
  <c r="U396" i="17" s="1"/>
  <c r="Q306" i="17"/>
  <c r="U306" i="17" s="1"/>
  <c r="Q178" i="17"/>
  <c r="U178" i="17" s="1"/>
  <c r="Q255" i="17"/>
  <c r="U255" i="17" s="1"/>
  <c r="Q127" i="17"/>
  <c r="U127" i="17" s="1"/>
  <c r="R299" i="17"/>
  <c r="S299" i="17" s="1"/>
  <c r="R171" i="17"/>
  <c r="S171" i="17" s="1"/>
  <c r="R248" i="17"/>
  <c r="S248" i="17" s="1"/>
  <c r="R120" i="17"/>
  <c r="S120" i="17" s="1"/>
  <c r="R13" i="17"/>
  <c r="S13" i="17" s="1"/>
  <c r="Q80" i="17"/>
  <c r="U80" i="17" s="1"/>
  <c r="R82" i="17"/>
  <c r="S82" i="17" s="1"/>
  <c r="R495" i="17"/>
  <c r="S495" i="17" s="1"/>
  <c r="Q492" i="17"/>
  <c r="U492" i="17" s="1"/>
  <c r="Q226" i="17"/>
  <c r="U226" i="17" s="1"/>
  <c r="Q175" i="17"/>
  <c r="U175" i="17" s="1"/>
  <c r="R219" i="17"/>
  <c r="S219" i="17" s="1"/>
  <c r="R168" i="17"/>
  <c r="S168" i="17" s="1"/>
  <c r="Q56" i="17"/>
  <c r="U56" i="17" s="1"/>
  <c r="R535" i="17"/>
  <c r="S535" i="17" s="1"/>
  <c r="R322" i="17"/>
  <c r="S322" i="17" s="1"/>
  <c r="Q315" i="17"/>
  <c r="U315" i="17" s="1"/>
  <c r="Q95" i="17"/>
  <c r="U95" i="17" s="1"/>
  <c r="Q453" i="17"/>
  <c r="U453" i="17" s="1"/>
  <c r="R200" i="17"/>
  <c r="S200" i="17" s="1"/>
  <c r="R123" i="17"/>
  <c r="S123" i="17" s="1"/>
  <c r="Q379" i="17"/>
  <c r="U379" i="17" s="1"/>
  <c r="R606" i="17"/>
  <c r="S606" i="17" s="1"/>
  <c r="Q593" i="17"/>
  <c r="U593" i="17" s="1"/>
  <c r="Q561" i="17"/>
  <c r="U561" i="17" s="1"/>
  <c r="Q566" i="17"/>
  <c r="U566" i="17" s="1"/>
  <c r="R523" i="17"/>
  <c r="S523" i="17" s="1"/>
  <c r="Q539" i="17"/>
  <c r="U539" i="17" s="1"/>
  <c r="R508" i="17"/>
  <c r="S508" i="17" s="1"/>
  <c r="R476" i="17"/>
  <c r="S476" i="17" s="1"/>
  <c r="R444" i="17"/>
  <c r="S444" i="17" s="1"/>
  <c r="R515" i="17"/>
  <c r="S515" i="17" s="1"/>
  <c r="R483" i="17"/>
  <c r="S483" i="17" s="1"/>
  <c r="R451" i="17"/>
  <c r="S451" i="17" s="1"/>
  <c r="R419" i="17"/>
  <c r="S419" i="17" s="1"/>
  <c r="R387" i="17"/>
  <c r="S387" i="17" s="1"/>
  <c r="R355" i="17"/>
  <c r="S355" i="17" s="1"/>
  <c r="R323" i="17"/>
  <c r="S323" i="17" s="1"/>
  <c r="Q603" i="17"/>
  <c r="U603" i="17" s="1"/>
  <c r="R590" i="17"/>
  <c r="S590" i="17" s="1"/>
  <c r="R558" i="17"/>
  <c r="S558" i="17" s="1"/>
  <c r="Q560" i="17"/>
  <c r="U560" i="17" s="1"/>
  <c r="R593" i="17"/>
  <c r="S593" i="17" s="1"/>
  <c r="R536" i="17"/>
  <c r="S536" i="17" s="1"/>
  <c r="Q505" i="17"/>
  <c r="U505" i="17" s="1"/>
  <c r="Q473" i="17"/>
  <c r="U473" i="17" s="1"/>
  <c r="Q441" i="17"/>
  <c r="U441" i="17" s="1"/>
  <c r="Q512" i="17"/>
  <c r="U512" i="17" s="1"/>
  <c r="Q480" i="17"/>
  <c r="U480" i="17" s="1"/>
  <c r="Q448" i="17"/>
  <c r="U448" i="17" s="1"/>
  <c r="Q416" i="17"/>
  <c r="U416" i="17" s="1"/>
  <c r="Q384" i="17"/>
  <c r="U384" i="17" s="1"/>
  <c r="Q352" i="17"/>
  <c r="U352" i="17" s="1"/>
  <c r="R406" i="17"/>
  <c r="S406" i="17" s="1"/>
  <c r="R380" i="17"/>
  <c r="S380" i="17" s="1"/>
  <c r="R364" i="17"/>
  <c r="S364" i="17" s="1"/>
  <c r="R348" i="17"/>
  <c r="S348" i="17" s="1"/>
  <c r="R332" i="17"/>
  <c r="S332" i="17" s="1"/>
  <c r="R316" i="17"/>
  <c r="S316" i="17" s="1"/>
  <c r="Q300" i="17"/>
  <c r="Q284" i="17"/>
  <c r="U284" i="17" s="1"/>
  <c r="Q268" i="17"/>
  <c r="U268" i="17" s="1"/>
  <c r="Q252" i="17"/>
  <c r="U252" i="17" s="1"/>
  <c r="Q236" i="17"/>
  <c r="U236" i="17" s="1"/>
  <c r="Q220" i="17"/>
  <c r="U220" i="17" s="1"/>
  <c r="Q204" i="17"/>
  <c r="U204" i="17" s="1"/>
  <c r="Q188" i="17"/>
  <c r="U188" i="17" s="1"/>
  <c r="Q172" i="17"/>
  <c r="U172" i="17" s="1"/>
  <c r="Q156" i="17"/>
  <c r="U156" i="17" s="1"/>
  <c r="Q140" i="17"/>
  <c r="U140" i="17" s="1"/>
  <c r="Q124" i="17"/>
  <c r="U124" i="17" s="1"/>
  <c r="Q313" i="17"/>
  <c r="U313" i="17" s="1"/>
  <c r="Q297" i="17"/>
  <c r="U297" i="17" s="1"/>
  <c r="Q281" i="17"/>
  <c r="U281" i="17" s="1"/>
  <c r="Q265" i="17"/>
  <c r="U265" i="17" s="1"/>
  <c r="Q249" i="17"/>
  <c r="U249" i="17" s="1"/>
  <c r="Q233" i="17"/>
  <c r="U233" i="17" s="1"/>
  <c r="Q217" i="17"/>
  <c r="U217" i="17" s="1"/>
  <c r="Q201" i="17"/>
  <c r="U201" i="17" s="1"/>
  <c r="Q185" i="17"/>
  <c r="U185" i="17" s="1"/>
  <c r="Q169" i="17"/>
  <c r="U169" i="17" s="1"/>
  <c r="Q153" i="17"/>
  <c r="U153" i="17" s="1"/>
  <c r="Q137" i="17"/>
  <c r="U137" i="17" s="1"/>
  <c r="Q334" i="17"/>
  <c r="U334" i="17" s="1"/>
  <c r="Q405" i="17"/>
  <c r="U405" i="17" s="1"/>
  <c r="Q389" i="17"/>
  <c r="U389" i="17" s="1"/>
  <c r="Q373" i="17"/>
  <c r="U373" i="17" s="1"/>
  <c r="Q357" i="17"/>
  <c r="U357" i="17" s="1"/>
  <c r="Q341" i="17"/>
  <c r="U341" i="17" s="1"/>
  <c r="Q325" i="17"/>
  <c r="U325" i="17" s="1"/>
  <c r="R309" i="17"/>
  <c r="S309" i="17" s="1"/>
  <c r="R293" i="17"/>
  <c r="S293" i="17" s="1"/>
  <c r="R277" i="17"/>
  <c r="S277" i="17" s="1"/>
  <c r="R261" i="17"/>
  <c r="S261" i="17" s="1"/>
  <c r="R245" i="17"/>
  <c r="S245" i="17" s="1"/>
  <c r="R229" i="17"/>
  <c r="S229" i="17" s="1"/>
  <c r="R213" i="17"/>
  <c r="S213" i="17" s="1"/>
  <c r="R197" i="17"/>
  <c r="S197" i="17" s="1"/>
  <c r="R181" i="17"/>
  <c r="S181" i="17" s="1"/>
  <c r="R165" i="17"/>
  <c r="S165" i="17" s="1"/>
  <c r="R149" i="17"/>
  <c r="S149" i="17" s="1"/>
  <c r="R133" i="17"/>
  <c r="S133" i="17" s="1"/>
  <c r="R117" i="17"/>
  <c r="S117" i="17" s="1"/>
  <c r="R306" i="17"/>
  <c r="S306" i="17" s="1"/>
  <c r="R290" i="17"/>
  <c r="S290" i="17" s="1"/>
  <c r="R274" i="17"/>
  <c r="S274" i="17" s="1"/>
  <c r="R258" i="17"/>
  <c r="S258" i="17" s="1"/>
  <c r="R242" i="17"/>
  <c r="S242" i="17" s="1"/>
  <c r="R226" i="17"/>
  <c r="S226" i="17" s="1"/>
  <c r="R210" i="17"/>
  <c r="S210" i="17" s="1"/>
  <c r="R194" i="17"/>
  <c r="S194" i="17" s="1"/>
  <c r="R178" i="17"/>
  <c r="S178" i="17" s="1"/>
  <c r="R162" i="17"/>
  <c r="S162" i="17" s="1"/>
  <c r="R146" i="17"/>
  <c r="S146" i="17" s="1"/>
  <c r="R130" i="17"/>
  <c r="S130" i="17" s="1"/>
  <c r="Q119" i="17"/>
  <c r="U119" i="17" s="1"/>
  <c r="R110" i="17"/>
  <c r="S110" i="17" s="1"/>
  <c r="Q21" i="17"/>
  <c r="U21" i="17" s="1"/>
  <c r="Q37" i="17"/>
  <c r="U37" i="17" s="1"/>
  <c r="Q53" i="17"/>
  <c r="U53" i="17" s="1"/>
  <c r="Q69" i="17"/>
  <c r="U69" i="17" s="1"/>
  <c r="Q85" i="17"/>
  <c r="U85" i="17" s="1"/>
  <c r="Q101" i="17"/>
  <c r="U101" i="17" s="1"/>
  <c r="R19" i="17"/>
  <c r="S19" i="17" s="1"/>
  <c r="R27" i="17"/>
  <c r="S27" i="17" s="1"/>
  <c r="R35" i="17"/>
  <c r="S35" i="17" s="1"/>
  <c r="R43" i="17"/>
  <c r="S43" i="17" s="1"/>
  <c r="R51" i="17"/>
  <c r="S51" i="17" s="1"/>
  <c r="R59" i="17"/>
  <c r="S59" i="17" s="1"/>
  <c r="R67" i="17"/>
  <c r="S67" i="17" s="1"/>
  <c r="R75" i="17"/>
  <c r="S75" i="17" s="1"/>
  <c r="R83" i="17"/>
  <c r="S83" i="17" s="1"/>
  <c r="R91" i="17"/>
  <c r="S91" i="17" s="1"/>
  <c r="R99" i="17"/>
  <c r="S99" i="17" s="1"/>
  <c r="R107" i="17"/>
  <c r="S107" i="17" s="1"/>
  <c r="R24" i="17"/>
  <c r="S24" i="17" s="1"/>
  <c r="R40" i="17"/>
  <c r="S40" i="17" s="1"/>
  <c r="R56" i="17"/>
  <c r="S56" i="17" s="1"/>
  <c r="R72" i="17"/>
  <c r="S72" i="17" s="1"/>
  <c r="R88" i="17"/>
  <c r="S88" i="17" s="1"/>
  <c r="R104" i="17"/>
  <c r="S104" i="17" s="1"/>
  <c r="R623" i="17"/>
  <c r="S623" i="17" s="1"/>
  <c r="R400" i="17"/>
  <c r="S400" i="17" s="1"/>
  <c r="Q324" i="17"/>
  <c r="U324" i="17" s="1"/>
  <c r="Q346" i="17"/>
  <c r="U346" i="17" s="1"/>
  <c r="Q362" i="17"/>
  <c r="U362" i="17" s="1"/>
  <c r="Q378" i="17"/>
  <c r="U378" i="17" s="1"/>
  <c r="Q394" i="17"/>
  <c r="U394" i="17" s="1"/>
  <c r="Q410" i="17"/>
  <c r="U410" i="17" s="1"/>
  <c r="Q426" i="17"/>
  <c r="U426" i="17" s="1"/>
  <c r="Q442" i="17"/>
  <c r="U442" i="17" s="1"/>
  <c r="Q458" i="17"/>
  <c r="U458" i="17" s="1"/>
  <c r="Q474" i="17"/>
  <c r="U474" i="17" s="1"/>
  <c r="Q490" i="17"/>
  <c r="U490" i="17" s="1"/>
  <c r="Q506" i="17"/>
  <c r="U506" i="17" s="1"/>
  <c r="Q419" i="17"/>
  <c r="U419" i="17" s="1"/>
  <c r="Q435" i="17"/>
  <c r="U435" i="17" s="1"/>
  <c r="Q451" i="17"/>
  <c r="U451" i="17" s="1"/>
  <c r="Q467" i="17"/>
  <c r="U467" i="17" s="1"/>
  <c r="Q483" i="17"/>
  <c r="U483" i="17" s="1"/>
  <c r="Q499" i="17"/>
  <c r="U499" i="17" s="1"/>
  <c r="Q515" i="17"/>
  <c r="U515" i="17" s="1"/>
  <c r="R530" i="17"/>
  <c r="S530" i="17" s="1"/>
  <c r="R549" i="17"/>
  <c r="S549" i="17" s="1"/>
  <c r="R581" i="17"/>
  <c r="S581" i="17" s="1"/>
  <c r="Q530" i="17"/>
  <c r="U530" i="17" s="1"/>
  <c r="Q548" i="17"/>
  <c r="U548" i="17" s="1"/>
  <c r="Q580" i="17"/>
  <c r="U580" i="17" s="1"/>
  <c r="R552" i="17"/>
  <c r="S552" i="17" s="1"/>
  <c r="R568" i="17"/>
  <c r="S568" i="17" s="1"/>
  <c r="R584" i="17"/>
  <c r="S584" i="17" s="1"/>
  <c r="Q600" i="17"/>
  <c r="U600" i="17" s="1"/>
  <c r="Q597" i="17"/>
  <c r="U597" i="17" s="1"/>
  <c r="Q613" i="17"/>
  <c r="R317" i="17"/>
  <c r="S317" i="17" s="1"/>
  <c r="R333" i="17"/>
  <c r="S333" i="17" s="1"/>
  <c r="R349" i="17"/>
  <c r="S349" i="17" s="1"/>
  <c r="R365" i="17"/>
  <c r="S365" i="17" s="1"/>
  <c r="R381" i="17"/>
  <c r="S381" i="17" s="1"/>
  <c r="R397" i="17"/>
  <c r="S397" i="17" s="1"/>
  <c r="R413" i="17"/>
  <c r="S413" i="17" s="1"/>
  <c r="R429" i="17"/>
  <c r="S429" i="17" s="1"/>
  <c r="R445" i="17"/>
  <c r="S445" i="17" s="1"/>
  <c r="R461" i="17"/>
  <c r="S461" i="17" s="1"/>
  <c r="R477" i="17"/>
  <c r="S477" i="17" s="1"/>
  <c r="R493" i="17"/>
  <c r="S493" i="17" s="1"/>
  <c r="R509" i="17"/>
  <c r="S509" i="17" s="1"/>
  <c r="R422" i="17"/>
  <c r="S422" i="17" s="1"/>
  <c r="R438" i="17"/>
  <c r="S438" i="17" s="1"/>
  <c r="R454" i="17"/>
  <c r="S454" i="17" s="1"/>
  <c r="R470" i="17"/>
  <c r="S470" i="17" s="1"/>
  <c r="R486" i="17"/>
  <c r="S486" i="17" s="1"/>
  <c r="R502" i="17"/>
  <c r="S502" i="17" s="1"/>
  <c r="R519" i="17"/>
  <c r="S519" i="17" s="1"/>
  <c r="Q533" i="17"/>
  <c r="U533" i="17" s="1"/>
  <c r="R555" i="17"/>
  <c r="S555" i="17" s="1"/>
  <c r="R587" i="17"/>
  <c r="S587" i="17" s="1"/>
  <c r="R598" i="17"/>
  <c r="S598" i="17" s="1"/>
  <c r="Q585" i="17"/>
  <c r="U585" i="17" s="1"/>
  <c r="Q553" i="17"/>
  <c r="U553" i="17" s="1"/>
  <c r="Q550" i="17"/>
  <c r="U550" i="17" s="1"/>
  <c r="R583" i="17"/>
  <c r="S583" i="17" s="1"/>
  <c r="Q531" i="17"/>
  <c r="U531" i="17" s="1"/>
  <c r="R500" i="17"/>
  <c r="S500" i="17" s="1"/>
  <c r="R468" i="17"/>
  <c r="S468" i="17" s="1"/>
  <c r="R436" i="17"/>
  <c r="S436" i="17" s="1"/>
  <c r="R507" i="17"/>
  <c r="S507" i="17" s="1"/>
  <c r="R475" i="17"/>
  <c r="S475" i="17" s="1"/>
  <c r="R443" i="17"/>
  <c r="S443" i="17" s="1"/>
  <c r="R411" i="17"/>
  <c r="S411" i="17" s="1"/>
  <c r="R379" i="17"/>
  <c r="S379" i="17" s="1"/>
  <c r="R347" i="17"/>
  <c r="S347" i="17" s="1"/>
  <c r="R315" i="17"/>
  <c r="S315" i="17" s="1"/>
  <c r="Q595" i="17"/>
  <c r="U595" i="17" s="1"/>
  <c r="R582" i="17"/>
  <c r="S582" i="17" s="1"/>
  <c r="R550" i="17"/>
  <c r="S550" i="17" s="1"/>
  <c r="Q544" i="17"/>
  <c r="U544" i="17" s="1"/>
  <c r="R577" i="17"/>
  <c r="S577" i="17" s="1"/>
  <c r="R528" i="17"/>
  <c r="S528" i="17" s="1"/>
  <c r="Q497" i="17"/>
  <c r="U497" i="17" s="1"/>
  <c r="Q465" i="17"/>
  <c r="U465" i="17" s="1"/>
  <c r="Q433" i="17"/>
  <c r="U433" i="17" s="1"/>
  <c r="Q504" i="17"/>
  <c r="U504" i="17" s="1"/>
  <c r="Q472" i="17"/>
  <c r="U472" i="17" s="1"/>
  <c r="Q440" i="17"/>
  <c r="U440" i="17" s="1"/>
  <c r="Q408" i="17"/>
  <c r="U408" i="17" s="1"/>
  <c r="Q376" i="17"/>
  <c r="U376" i="17" s="1"/>
  <c r="Q344" i="17"/>
  <c r="U344" i="17" s="1"/>
  <c r="R398" i="17"/>
  <c r="S398" i="17" s="1"/>
  <c r="R376" i="17"/>
  <c r="S376" i="17" s="1"/>
  <c r="R360" i="17"/>
  <c r="S360" i="17" s="1"/>
  <c r="R344" i="17"/>
  <c r="S344" i="17" s="1"/>
  <c r="R328" i="17"/>
  <c r="S328" i="17" s="1"/>
  <c r="Q312" i="17"/>
  <c r="U312" i="17" s="1"/>
  <c r="Q296" i="17"/>
  <c r="U296" i="17" s="1"/>
  <c r="Q280" i="17"/>
  <c r="U280" i="17" s="1"/>
  <c r="Q264" i="17"/>
  <c r="U264" i="17" s="1"/>
  <c r="Q248" i="17"/>
  <c r="U248" i="17" s="1"/>
  <c r="Q232" i="17"/>
  <c r="U232" i="17" s="1"/>
  <c r="Q216" i="17"/>
  <c r="U216" i="17" s="1"/>
  <c r="Q200" i="17"/>
  <c r="U200" i="17" s="1"/>
  <c r="Q184" i="17"/>
  <c r="U184" i="17" s="1"/>
  <c r="Q168" i="17"/>
  <c r="U168" i="17" s="1"/>
  <c r="Q152" i="17"/>
  <c r="U152" i="17" s="1"/>
  <c r="Q136" i="17"/>
  <c r="U136" i="17" s="1"/>
  <c r="Q120" i="17"/>
  <c r="U120" i="17" s="1"/>
  <c r="Q309" i="17"/>
  <c r="U309" i="17" s="1"/>
  <c r="Q293" i="17"/>
  <c r="Q277" i="17"/>
  <c r="U277" i="17" s="1"/>
  <c r="Q261" i="17"/>
  <c r="U261" i="17" s="1"/>
  <c r="Q245" i="17"/>
  <c r="U245" i="17" s="1"/>
  <c r="Q229" i="17"/>
  <c r="U229" i="17" s="1"/>
  <c r="Q213" i="17"/>
  <c r="U213" i="17" s="1"/>
  <c r="Q197" i="17"/>
  <c r="U197" i="17" s="1"/>
  <c r="Q181" i="17"/>
  <c r="U181" i="17" s="1"/>
  <c r="Q165" i="17"/>
  <c r="U165" i="17" s="1"/>
  <c r="Q149" i="17"/>
  <c r="U149" i="17" s="1"/>
  <c r="Q133" i="17"/>
  <c r="U133" i="17" s="1"/>
  <c r="Q326" i="17"/>
  <c r="U326" i="17" s="1"/>
  <c r="Q401" i="17"/>
  <c r="U401" i="17" s="1"/>
  <c r="Q385" i="17"/>
  <c r="U385" i="17" s="1"/>
  <c r="Q369" i="17"/>
  <c r="U369" i="17" s="1"/>
  <c r="Q353" i="17"/>
  <c r="U353" i="17" s="1"/>
  <c r="Q337" i="17"/>
  <c r="U337" i="17" s="1"/>
  <c r="Q321" i="17"/>
  <c r="U321" i="17" s="1"/>
  <c r="R305" i="17"/>
  <c r="S305" i="17" s="1"/>
  <c r="R289" i="17"/>
  <c r="S289" i="17" s="1"/>
  <c r="R273" i="17"/>
  <c r="S273" i="17" s="1"/>
  <c r="R257" i="17"/>
  <c r="S257" i="17" s="1"/>
  <c r="R241" i="17"/>
  <c r="S241" i="17" s="1"/>
  <c r="R225" i="17"/>
  <c r="S225" i="17" s="1"/>
  <c r="R209" i="17"/>
  <c r="S209" i="17" s="1"/>
  <c r="R193" i="17"/>
  <c r="S193" i="17" s="1"/>
  <c r="R177" i="17"/>
  <c r="S177" i="17" s="1"/>
  <c r="R161" i="17"/>
  <c r="S161" i="17" s="1"/>
  <c r="R145" i="17"/>
  <c r="S145" i="17" s="1"/>
  <c r="R129" i="17"/>
  <c r="S129" i="17" s="1"/>
  <c r="R113" i="17"/>
  <c r="S113" i="17" s="1"/>
  <c r="R302" i="17"/>
  <c r="S302" i="17" s="1"/>
  <c r="R286" i="17"/>
  <c r="S286" i="17" s="1"/>
  <c r="R270" i="17"/>
  <c r="S270" i="17" s="1"/>
  <c r="R254" i="17"/>
  <c r="S254" i="17" s="1"/>
  <c r="R238" i="17"/>
  <c r="S238" i="17" s="1"/>
  <c r="R222" i="17"/>
  <c r="S222" i="17" s="1"/>
  <c r="R206" i="17"/>
  <c r="S206" i="17" s="1"/>
  <c r="R190" i="17"/>
  <c r="S190" i="17" s="1"/>
  <c r="R174" i="17"/>
  <c r="S174" i="17" s="1"/>
  <c r="R158" i="17"/>
  <c r="S158" i="17" s="1"/>
  <c r="R142" i="17"/>
  <c r="S142" i="17" s="1"/>
  <c r="R126" i="17"/>
  <c r="S126" i="17" s="1"/>
  <c r="Q113" i="17"/>
  <c r="U113" i="17" s="1"/>
  <c r="Q16" i="17"/>
  <c r="U16" i="17" s="1"/>
  <c r="Q25" i="17"/>
  <c r="U25" i="17" s="1"/>
  <c r="Q41" i="17"/>
  <c r="U41" i="17" s="1"/>
  <c r="Q57" i="17"/>
  <c r="U57" i="17" s="1"/>
  <c r="Q73" i="17"/>
  <c r="U73" i="17" s="1"/>
  <c r="Q89" i="17"/>
  <c r="U89" i="17" s="1"/>
  <c r="Q105" i="17"/>
  <c r="U105" i="17" s="1"/>
  <c r="R21" i="17"/>
  <c r="S21" i="17" s="1"/>
  <c r="R29" i="17"/>
  <c r="S29" i="17" s="1"/>
  <c r="R37" i="17"/>
  <c r="S37" i="17" s="1"/>
  <c r="R45" i="17"/>
  <c r="S45" i="17" s="1"/>
  <c r="R53" i="17"/>
  <c r="S53" i="17" s="1"/>
  <c r="R61" i="17"/>
  <c r="S61" i="17" s="1"/>
  <c r="R69" i="17"/>
  <c r="S69" i="17" s="1"/>
  <c r="R77" i="17"/>
  <c r="S77" i="17" s="1"/>
  <c r="R85" i="17"/>
  <c r="S85" i="17" s="1"/>
  <c r="R93" i="17"/>
  <c r="S93" i="17" s="1"/>
  <c r="R101" i="17"/>
  <c r="S101" i="17" s="1"/>
  <c r="R109" i="17"/>
  <c r="S109" i="17" s="1"/>
  <c r="R28" i="17"/>
  <c r="S28" i="17" s="1"/>
  <c r="R44" i="17"/>
  <c r="S44" i="17" s="1"/>
  <c r="R60" i="17"/>
  <c r="S60" i="17" s="1"/>
  <c r="R76" i="17"/>
  <c r="S76" i="17" s="1"/>
  <c r="R92" i="17"/>
  <c r="S92" i="17" s="1"/>
  <c r="R108" i="17"/>
  <c r="S108" i="17" s="1"/>
  <c r="R388" i="17"/>
  <c r="S388" i="17" s="1"/>
  <c r="R404" i="17"/>
  <c r="S404" i="17" s="1"/>
  <c r="Q332" i="17"/>
  <c r="U332" i="17" s="1"/>
  <c r="Q350" i="17"/>
  <c r="U350" i="17" s="1"/>
  <c r="Q366" i="17"/>
  <c r="U366" i="17" s="1"/>
  <c r="Q382" i="17"/>
  <c r="U382" i="17" s="1"/>
  <c r="Q398" i="17"/>
  <c r="U398" i="17" s="1"/>
  <c r="Q414" i="17"/>
  <c r="U414" i="17" s="1"/>
  <c r="Q430" i="17"/>
  <c r="Q446" i="17"/>
  <c r="U446" i="17" s="1"/>
  <c r="Q462" i="17"/>
  <c r="U462" i="17" s="1"/>
  <c r="Q478" i="17"/>
  <c r="U478" i="17" s="1"/>
  <c r="Q494" i="17"/>
  <c r="U494" i="17" s="1"/>
  <c r="Q510" i="17"/>
  <c r="U510" i="17" s="1"/>
  <c r="Q423" i="17"/>
  <c r="U423" i="17" s="1"/>
  <c r="Q439" i="17"/>
  <c r="U439" i="17" s="1"/>
  <c r="Q455" i="17"/>
  <c r="U455" i="17" s="1"/>
  <c r="Q471" i="17"/>
  <c r="U471" i="17" s="1"/>
  <c r="Q487" i="17"/>
  <c r="Q503" i="17"/>
  <c r="U503" i="17" s="1"/>
  <c r="R518" i="17"/>
  <c r="S518" i="17" s="1"/>
  <c r="R534" i="17"/>
  <c r="S534" i="17" s="1"/>
  <c r="R557" i="17"/>
  <c r="S557" i="17" s="1"/>
  <c r="R589" i="17"/>
  <c r="S589" i="17" s="1"/>
  <c r="Q534" i="17"/>
  <c r="U534" i="17" s="1"/>
  <c r="Q556" i="17"/>
  <c r="U556" i="17" s="1"/>
  <c r="Q588" i="17"/>
  <c r="U588" i="17" s="1"/>
  <c r="R556" i="17"/>
  <c r="S556" i="17" s="1"/>
  <c r="R572" i="17"/>
  <c r="S572" i="17" s="1"/>
  <c r="R588" i="17"/>
  <c r="S588" i="17" s="1"/>
  <c r="Q604" i="17"/>
  <c r="U604" i="17" s="1"/>
  <c r="Q601" i="17"/>
  <c r="U601" i="17" s="1"/>
  <c r="Q407" i="17"/>
  <c r="U407" i="17" s="1"/>
  <c r="R321" i="17"/>
  <c r="S321" i="17" s="1"/>
  <c r="R337" i="17"/>
  <c r="S337" i="17" s="1"/>
  <c r="R353" i="17"/>
  <c r="S353" i="17" s="1"/>
  <c r="R369" i="17"/>
  <c r="S369" i="17" s="1"/>
  <c r="R385" i="17"/>
  <c r="S385" i="17" s="1"/>
  <c r="R401" i="17"/>
  <c r="S401" i="17" s="1"/>
  <c r="R417" i="17"/>
  <c r="S417" i="17" s="1"/>
  <c r="R433" i="17"/>
  <c r="S433" i="17" s="1"/>
  <c r="R449" i="17"/>
  <c r="S449" i="17" s="1"/>
  <c r="R465" i="17"/>
  <c r="S465" i="17" s="1"/>
  <c r="R481" i="17"/>
  <c r="S481" i="17" s="1"/>
  <c r="R497" i="17"/>
  <c r="S497" i="17" s="1"/>
  <c r="R513" i="17"/>
  <c r="S513" i="17" s="1"/>
  <c r="R426" i="17"/>
  <c r="S426" i="17" s="1"/>
  <c r="R442" i="17"/>
  <c r="S442" i="17" s="1"/>
  <c r="R458" i="17"/>
  <c r="S458" i="17" s="1"/>
  <c r="R474" i="17"/>
  <c r="S474" i="17" s="1"/>
  <c r="R490" i="17"/>
  <c r="S490" i="17" s="1"/>
  <c r="R506" i="17"/>
  <c r="S506" i="17" s="1"/>
  <c r="Q521" i="17"/>
  <c r="U521" i="17" s="1"/>
  <c r="Q537" i="17"/>
  <c r="U537" i="17" s="1"/>
  <c r="R563" i="17"/>
  <c r="S563" i="17" s="1"/>
  <c r="R525" i="17"/>
  <c r="S525" i="17" s="1"/>
  <c r="R529" i="17"/>
  <c r="S529" i="17" s="1"/>
  <c r="Q546" i="17"/>
  <c r="U546" i="17" s="1"/>
  <c r="Q578" i="17"/>
  <c r="U578" i="17" s="1"/>
  <c r="Q551" i="17"/>
  <c r="U551" i="17" s="1"/>
  <c r="Q567" i="17"/>
  <c r="U567" i="17" s="1"/>
  <c r="Q583" i="17"/>
  <c r="U583" i="17" s="1"/>
  <c r="R599" i="17"/>
  <c r="S599" i="17" s="1"/>
  <c r="R596" i="17"/>
  <c r="S596" i="17" s="1"/>
  <c r="R612" i="17"/>
  <c r="S612" i="17" s="1"/>
  <c r="Q581" i="17"/>
  <c r="U581" i="17" s="1"/>
  <c r="R543" i="17"/>
  <c r="S543" i="17" s="1"/>
  <c r="Q527" i="17"/>
  <c r="U527" i="17" s="1"/>
  <c r="R464" i="17"/>
  <c r="S464" i="17" s="1"/>
  <c r="R503" i="17"/>
  <c r="S503" i="17" s="1"/>
  <c r="R439" i="17"/>
  <c r="S439" i="17" s="1"/>
  <c r="R375" i="17"/>
  <c r="S375" i="17" s="1"/>
  <c r="Q413" i="17"/>
  <c r="U413" i="17" s="1"/>
  <c r="R578" i="17"/>
  <c r="S578" i="17" s="1"/>
  <c r="Q540" i="17"/>
  <c r="U540" i="17" s="1"/>
  <c r="R524" i="17"/>
  <c r="S524" i="17" s="1"/>
  <c r="Q461" i="17"/>
  <c r="U461" i="17" s="1"/>
  <c r="Q500" i="17"/>
  <c r="U500" i="17" s="1"/>
  <c r="Q436" i="17"/>
  <c r="U436" i="17" s="1"/>
  <c r="Q372" i="17"/>
  <c r="U372" i="17" s="1"/>
  <c r="R394" i="17"/>
  <c r="S394" i="17" s="1"/>
  <c r="R358" i="17"/>
  <c r="S358" i="17" s="1"/>
  <c r="R326" i="17"/>
  <c r="S326" i="17" s="1"/>
  <c r="Q294" i="17"/>
  <c r="U294" i="17" s="1"/>
  <c r="Q262" i="17"/>
  <c r="U262" i="17" s="1"/>
  <c r="Q230" i="17"/>
  <c r="U230" i="17" s="1"/>
  <c r="Q198" i="17"/>
  <c r="U198" i="17" s="1"/>
  <c r="Q166" i="17"/>
  <c r="U166" i="17" s="1"/>
  <c r="Q134" i="17"/>
  <c r="U134" i="17" s="1"/>
  <c r="Q307" i="17"/>
  <c r="U307" i="17" s="1"/>
  <c r="Q275" i="17"/>
  <c r="U275" i="17" s="1"/>
  <c r="Q243" i="17"/>
  <c r="U243" i="17" s="1"/>
  <c r="Q211" i="17"/>
  <c r="U211" i="17" s="1"/>
  <c r="Q179" i="17"/>
  <c r="U179" i="17" s="1"/>
  <c r="Q147" i="17"/>
  <c r="U147" i="17" s="1"/>
  <c r="Q322" i="17"/>
  <c r="U322" i="17" s="1"/>
  <c r="Q383" i="17"/>
  <c r="U383" i="17" s="1"/>
  <c r="Q351" i="17"/>
  <c r="U351" i="17" s="1"/>
  <c r="Q319" i="17"/>
  <c r="U319" i="17" s="1"/>
  <c r="R287" i="17"/>
  <c r="S287" i="17" s="1"/>
  <c r="R255" i="17"/>
  <c r="S255" i="17" s="1"/>
  <c r="R223" i="17"/>
  <c r="S223" i="17" s="1"/>
  <c r="R191" i="17"/>
  <c r="S191" i="17" s="1"/>
  <c r="R159" i="17"/>
  <c r="S159" i="17" s="1"/>
  <c r="R127" i="17"/>
  <c r="S127" i="17" s="1"/>
  <c r="R300" i="17"/>
  <c r="S300" i="17" s="1"/>
  <c r="R268" i="17"/>
  <c r="S268" i="17" s="1"/>
  <c r="R236" i="17"/>
  <c r="S236" i="17" s="1"/>
  <c r="R204" i="17"/>
  <c r="S204" i="17" s="1"/>
  <c r="R172" i="17"/>
  <c r="S172" i="17" s="1"/>
  <c r="R140" i="17"/>
  <c r="S140" i="17" s="1"/>
  <c r="Q111" i="17"/>
  <c r="U111" i="17" s="1"/>
  <c r="Q27" i="17"/>
  <c r="U27" i="17" s="1"/>
  <c r="Q59" i="17"/>
  <c r="U59" i="17" s="1"/>
  <c r="Q91" i="17"/>
  <c r="U91" i="17" s="1"/>
  <c r="Q22" i="17"/>
  <c r="Q38" i="17"/>
  <c r="U38" i="17" s="1"/>
  <c r="Q54" i="17"/>
  <c r="U54" i="17" s="1"/>
  <c r="Q70" i="17"/>
  <c r="U70" i="17" s="1"/>
  <c r="Q86" i="17"/>
  <c r="Q102" i="17"/>
  <c r="U102" i="17" s="1"/>
  <c r="R30" i="17"/>
  <c r="S30" i="17" s="1"/>
  <c r="R62" i="17"/>
  <c r="S62" i="17" s="1"/>
  <c r="R94" i="17"/>
  <c r="S94" i="17" s="1"/>
  <c r="R602" i="17"/>
  <c r="S602" i="17" s="1"/>
  <c r="R591" i="17"/>
  <c r="S591" i="17" s="1"/>
  <c r="R440" i="17"/>
  <c r="S440" i="17" s="1"/>
  <c r="R415" i="17"/>
  <c r="S415" i="17" s="1"/>
  <c r="Q599" i="17"/>
  <c r="U599" i="17" s="1"/>
  <c r="R585" i="17"/>
  <c r="S585" i="17" s="1"/>
  <c r="Q437" i="17"/>
  <c r="U437" i="17" s="1"/>
  <c r="Q412" i="17"/>
  <c r="U412" i="17" s="1"/>
  <c r="R378" i="17"/>
  <c r="S378" i="17" s="1"/>
  <c r="Q314" i="17"/>
  <c r="U314" i="17" s="1"/>
  <c r="Q250" i="17"/>
  <c r="U250" i="17" s="1"/>
  <c r="Q186" i="17"/>
  <c r="U186" i="17" s="1"/>
  <c r="Q122" i="17"/>
  <c r="U122" i="17" s="1"/>
  <c r="Q263" i="17"/>
  <c r="U263" i="17" s="1"/>
  <c r="Q199" i="17"/>
  <c r="U199" i="17" s="1"/>
  <c r="Q135" i="17"/>
  <c r="U135" i="17" s="1"/>
  <c r="Q371" i="17"/>
  <c r="U371" i="17" s="1"/>
  <c r="R307" i="17"/>
  <c r="S307" i="17" s="1"/>
  <c r="R243" i="17"/>
  <c r="S243" i="17" s="1"/>
  <c r="R179" i="17"/>
  <c r="S179" i="17" s="1"/>
  <c r="R115" i="17"/>
  <c r="S115" i="17" s="1"/>
  <c r="R256" i="17"/>
  <c r="S256" i="17" s="1"/>
  <c r="R192" i="17"/>
  <c r="S192" i="17" s="1"/>
  <c r="R128" i="17"/>
  <c r="S128" i="17" s="1"/>
  <c r="Q39" i="17"/>
  <c r="U39" i="17" s="1"/>
  <c r="Q103" i="17"/>
  <c r="U103" i="17" s="1"/>
  <c r="Q44" i="17"/>
  <c r="U44" i="17" s="1"/>
  <c r="Q76" i="17"/>
  <c r="U76" i="17" s="1"/>
  <c r="Q108" i="17"/>
  <c r="U108" i="17" s="1"/>
  <c r="R74" i="17"/>
  <c r="S74" i="17" s="1"/>
  <c r="Q590" i="17"/>
  <c r="U590" i="17" s="1"/>
  <c r="R463" i="17"/>
  <c r="S463" i="17" s="1"/>
  <c r="Q584" i="17"/>
  <c r="Q460" i="17"/>
  <c r="U460" i="17" s="1"/>
  <c r="R338" i="17"/>
  <c r="S338" i="17" s="1"/>
  <c r="Q210" i="17"/>
  <c r="U210" i="17" s="1"/>
  <c r="Q287" i="17"/>
  <c r="U287" i="17" s="1"/>
  <c r="Q159" i="17"/>
  <c r="U159" i="17" s="1"/>
  <c r="Q331" i="17"/>
  <c r="U331" i="17" s="1"/>
  <c r="R203" i="17"/>
  <c r="S203" i="17" s="1"/>
  <c r="R280" i="17"/>
  <c r="S280" i="17" s="1"/>
  <c r="R152" i="17"/>
  <c r="S152" i="17" s="1"/>
  <c r="Q79" i="17"/>
  <c r="U79" i="17" s="1"/>
  <c r="Q64" i="17"/>
  <c r="U64" i="17" s="1"/>
  <c r="R50" i="17"/>
  <c r="S50" i="17" s="1"/>
  <c r="Q519" i="17"/>
  <c r="U519" i="17" s="1"/>
  <c r="Q517" i="17"/>
  <c r="U517" i="17" s="1"/>
  <c r="Q290" i="17"/>
  <c r="U290" i="17" s="1"/>
  <c r="Q239" i="17"/>
  <c r="U239" i="17" s="1"/>
  <c r="R283" i="17"/>
  <c r="S283" i="17" s="1"/>
  <c r="R232" i="17"/>
  <c r="S232" i="17" s="1"/>
  <c r="Q24" i="17"/>
  <c r="U24" i="17" s="1"/>
  <c r="R98" i="17"/>
  <c r="S98" i="17" s="1"/>
  <c r="Q428" i="17"/>
  <c r="U428" i="17" s="1"/>
  <c r="Q143" i="17"/>
  <c r="U143" i="17" s="1"/>
  <c r="R136" i="17"/>
  <c r="S136" i="17" s="1"/>
  <c r="R456" i="17"/>
  <c r="S456" i="17" s="1"/>
  <c r="R251" i="17"/>
  <c r="S251" i="17" s="1"/>
  <c r="Q130" i="17"/>
  <c r="Q31" i="17"/>
  <c r="U31" i="17" s="1"/>
  <c r="R541" i="17"/>
  <c r="S541" i="17" s="1"/>
  <c r="Q570" i="17"/>
  <c r="U570" i="17" s="1"/>
  <c r="Q547" i="17"/>
  <c r="U547" i="17" s="1"/>
  <c r="Q563" i="17"/>
  <c r="U563" i="17" s="1"/>
  <c r="Q579" i="17"/>
  <c r="U579" i="17" s="1"/>
  <c r="R595" i="17"/>
  <c r="S595" i="17" s="1"/>
  <c r="R611" i="17"/>
  <c r="S611" i="17" s="1"/>
  <c r="R608" i="17"/>
  <c r="S608" i="17" s="1"/>
  <c r="R597" i="17"/>
  <c r="S597" i="17" s="1"/>
  <c r="Q574" i="17"/>
  <c r="U574" i="17" s="1"/>
  <c r="Q543" i="17"/>
  <c r="U543" i="17" s="1"/>
  <c r="R480" i="17"/>
  <c r="S480" i="17" s="1"/>
  <c r="Q520" i="17"/>
  <c r="U520" i="17" s="1"/>
  <c r="R455" i="17"/>
  <c r="S455" i="17" s="1"/>
  <c r="R391" i="17"/>
  <c r="S391" i="17" s="1"/>
  <c r="R327" i="17"/>
  <c r="S327" i="17" s="1"/>
  <c r="R594" i="17"/>
  <c r="S594" i="17" s="1"/>
  <c r="Q568" i="17"/>
  <c r="U568" i="17" s="1"/>
  <c r="R540" i="17"/>
  <c r="S540" i="17" s="1"/>
  <c r="Q477" i="17"/>
  <c r="U477" i="17" s="1"/>
  <c r="Q516" i="17"/>
  <c r="U516" i="17" s="1"/>
  <c r="Q452" i="17"/>
  <c r="U452" i="17" s="1"/>
  <c r="Q388" i="17"/>
  <c r="U388" i="17" s="1"/>
  <c r="R414" i="17"/>
  <c r="S414" i="17" s="1"/>
  <c r="R366" i="17"/>
  <c r="S366" i="17" s="1"/>
  <c r="R334" i="17"/>
  <c r="S334" i="17" s="1"/>
  <c r="Q302" i="17"/>
  <c r="U302" i="17" s="1"/>
  <c r="Q270" i="17"/>
  <c r="U270" i="17" s="1"/>
  <c r="Q238" i="17"/>
  <c r="Q206" i="17"/>
  <c r="U206" i="17" s="1"/>
  <c r="Q174" i="17"/>
  <c r="U174" i="17" s="1"/>
  <c r="Q142" i="17"/>
  <c r="U142" i="17" s="1"/>
  <c r="Q110" i="17"/>
  <c r="Q283" i="17"/>
  <c r="U283" i="17" s="1"/>
  <c r="Q251" i="17"/>
  <c r="U251" i="17" s="1"/>
  <c r="Q219" i="17"/>
  <c r="U219" i="17" s="1"/>
  <c r="Q187" i="17"/>
  <c r="U187" i="17" s="1"/>
  <c r="Q155" i="17"/>
  <c r="U155" i="17" s="1"/>
  <c r="Q123" i="17"/>
  <c r="U123" i="17" s="1"/>
  <c r="Q391" i="17"/>
  <c r="Q359" i="17"/>
  <c r="U359" i="17" s="1"/>
  <c r="Q327" i="17"/>
  <c r="U327" i="17" s="1"/>
  <c r="R295" i="17"/>
  <c r="S295" i="17" s="1"/>
  <c r="R263" i="17"/>
  <c r="S263" i="17" s="1"/>
  <c r="R231" i="17"/>
  <c r="S231" i="17" s="1"/>
  <c r="R199" i="17"/>
  <c r="S199" i="17" s="1"/>
  <c r="R167" i="17"/>
  <c r="S167" i="17" s="1"/>
  <c r="R135" i="17"/>
  <c r="S135" i="17" s="1"/>
  <c r="R308" i="17"/>
  <c r="S308" i="17" s="1"/>
  <c r="R276" i="17"/>
  <c r="S276" i="17" s="1"/>
  <c r="R244" i="17"/>
  <c r="S244" i="17" s="1"/>
  <c r="R212" i="17"/>
  <c r="S212" i="17" s="1"/>
  <c r="R180" i="17"/>
  <c r="S180" i="17" s="1"/>
  <c r="R148" i="17"/>
  <c r="S148" i="17" s="1"/>
  <c r="R116" i="17"/>
  <c r="S116" i="17" s="1"/>
  <c r="Q19" i="17"/>
  <c r="U19" i="17" s="1"/>
  <c r="Q51" i="17"/>
  <c r="U51" i="17" s="1"/>
  <c r="Q83" i="17"/>
  <c r="U83" i="17" s="1"/>
  <c r="R17" i="17"/>
  <c r="S17" i="17" s="1"/>
  <c r="Q34" i="17"/>
  <c r="U34" i="17" s="1"/>
  <c r="Q50" i="17"/>
  <c r="U50" i="17" s="1"/>
  <c r="Q66" i="17"/>
  <c r="U66" i="17" s="1"/>
  <c r="Q82" i="17"/>
  <c r="U82" i="17" s="1"/>
  <c r="Q98" i="17"/>
  <c r="U98" i="17" s="1"/>
  <c r="R22" i="17"/>
  <c r="S22" i="17" s="1"/>
  <c r="R54" i="17"/>
  <c r="S54" i="17" s="1"/>
  <c r="R86" i="17"/>
  <c r="S86" i="17" s="1"/>
  <c r="Q623" i="17"/>
  <c r="D633" i="17" s="1"/>
  <c r="Q558" i="17"/>
  <c r="U558" i="17" s="1"/>
  <c r="R472" i="17"/>
  <c r="S472" i="17" s="1"/>
  <c r="R447" i="17"/>
  <c r="S447" i="17" s="1"/>
  <c r="R319" i="17"/>
  <c r="S319" i="17" s="1"/>
  <c r="Q552" i="17"/>
  <c r="U552" i="17" s="1"/>
  <c r="Q469" i="17"/>
  <c r="Q444" i="17"/>
  <c r="U444" i="17" s="1"/>
  <c r="R402" i="17"/>
  <c r="S402" i="17" s="1"/>
  <c r="R330" i="17"/>
  <c r="S330" i="17" s="1"/>
  <c r="Q266" i="17"/>
  <c r="U266" i="17" s="1"/>
  <c r="Q202" i="17"/>
  <c r="U202" i="17" s="1"/>
  <c r="Q138" i="17"/>
  <c r="U138" i="17" s="1"/>
  <c r="Q279" i="17"/>
  <c r="U279" i="17" s="1"/>
  <c r="Q215" i="17"/>
  <c r="U215" i="17" s="1"/>
  <c r="Q151" i="17"/>
  <c r="U151" i="17" s="1"/>
  <c r="Q387" i="17"/>
  <c r="U387" i="17" s="1"/>
  <c r="Q323" i="17"/>
  <c r="U323" i="17" s="1"/>
  <c r="R259" i="17"/>
  <c r="S259" i="17" s="1"/>
  <c r="R195" i="17"/>
  <c r="S195" i="17" s="1"/>
  <c r="R131" i="17"/>
  <c r="S131" i="17" s="1"/>
  <c r="R272" i="17"/>
  <c r="S272" i="17" s="1"/>
  <c r="R208" i="17"/>
  <c r="S208" i="17" s="1"/>
  <c r="R144" i="17"/>
  <c r="S144" i="17" s="1"/>
  <c r="Q23" i="17"/>
  <c r="U23" i="17" s="1"/>
  <c r="Q87" i="17"/>
  <c r="U87" i="17" s="1"/>
  <c r="Q36" i="17"/>
  <c r="U36" i="17" s="1"/>
  <c r="Q68" i="17"/>
  <c r="U68" i="17" s="1"/>
  <c r="Q100" i="17"/>
  <c r="U100" i="17" s="1"/>
  <c r="R58" i="17"/>
  <c r="S58" i="17" s="1"/>
  <c r="R605" i="17"/>
  <c r="S605" i="17" s="1"/>
  <c r="R424" i="17"/>
  <c r="S424" i="17" s="1"/>
  <c r="Q602" i="17"/>
  <c r="U602" i="17" s="1"/>
  <c r="Q421" i="17"/>
  <c r="U421" i="17" s="1"/>
  <c r="R370" i="17"/>
  <c r="S370" i="17" s="1"/>
  <c r="Q242" i="17"/>
  <c r="U242" i="17" s="1"/>
  <c r="Q114" i="17"/>
  <c r="U114" i="17" s="1"/>
  <c r="Q191" i="17"/>
  <c r="U191" i="17" s="1"/>
  <c r="Q363" i="17"/>
  <c r="U363" i="17" s="1"/>
  <c r="R235" i="17"/>
  <c r="S235" i="17" s="1"/>
  <c r="R312" i="17"/>
  <c r="S312" i="17" s="1"/>
  <c r="R184" i="17"/>
  <c r="S184" i="17" s="1"/>
  <c r="Q47" i="17"/>
  <c r="U47" i="17" s="1"/>
  <c r="Q48" i="17"/>
  <c r="U48" i="17" s="1"/>
  <c r="R18" i="17"/>
  <c r="S18" i="17" s="1"/>
  <c r="Q573" i="17"/>
  <c r="U573" i="17" s="1"/>
  <c r="R570" i="17"/>
  <c r="S570" i="17" s="1"/>
  <c r="R354" i="17"/>
  <c r="S354" i="17" s="1"/>
  <c r="Q303" i="17"/>
  <c r="U303" i="17" s="1"/>
  <c r="Q347" i="17"/>
  <c r="U347" i="17" s="1"/>
  <c r="R296" i="17"/>
  <c r="S296" i="17" s="1"/>
  <c r="Q63" i="17"/>
  <c r="U63" i="17" s="1"/>
  <c r="R34" i="17"/>
  <c r="S34" i="17" s="1"/>
  <c r="Q532" i="17"/>
  <c r="U532" i="17" s="1"/>
  <c r="Q271" i="17"/>
  <c r="U271" i="17" s="1"/>
  <c r="R264" i="17"/>
  <c r="S264" i="17" s="1"/>
  <c r="R66" i="17"/>
  <c r="S66" i="17" s="1"/>
  <c r="Q207" i="17"/>
  <c r="U207" i="17" s="1"/>
  <c r="R386" i="17"/>
  <c r="S386" i="17" s="1"/>
  <c r="R610" i="17"/>
  <c r="S610" i="17" s="1"/>
  <c r="X583" i="17"/>
  <c r="X430" i="17"/>
  <c r="X190" i="17"/>
  <c r="Y240" i="17"/>
  <c r="X315" i="17"/>
  <c r="X194" i="17"/>
  <c r="X195" i="17"/>
  <c r="X463" i="17"/>
  <c r="Y187" i="17"/>
  <c r="X559" i="17"/>
  <c r="X368" i="17"/>
  <c r="Y559" i="17"/>
  <c r="Y574" i="17"/>
  <c r="X208" i="17"/>
  <c r="Y579" i="17"/>
  <c r="Y530" i="17"/>
  <c r="Y177" i="17"/>
  <c r="X251" i="17"/>
  <c r="Y426" i="17"/>
  <c r="Y490" i="17"/>
  <c r="X561" i="17"/>
  <c r="X322" i="17"/>
  <c r="X566" i="17"/>
  <c r="Y421" i="17"/>
  <c r="X495" i="17"/>
  <c r="X557" i="17"/>
  <c r="X626" i="17"/>
  <c r="Y155" i="17"/>
  <c r="X258" i="17"/>
  <c r="Y318" i="17"/>
  <c r="X130" i="17"/>
  <c r="Y551" i="17"/>
  <c r="X241" i="17"/>
  <c r="Y469" i="17"/>
  <c r="X81" i="17"/>
  <c r="X511" i="17"/>
  <c r="X162" i="17"/>
  <c r="X555" i="17"/>
  <c r="X524" i="17"/>
  <c r="Y382" i="17"/>
  <c r="X254" i="17"/>
  <c r="X126" i="17"/>
  <c r="X35" i="17"/>
  <c r="X589" i="17"/>
  <c r="Y291" i="17"/>
  <c r="Y163" i="17"/>
  <c r="X127" i="17"/>
  <c r="X226" i="17"/>
  <c r="Y322" i="17"/>
  <c r="Y305" i="17"/>
  <c r="Y203" i="17"/>
  <c r="Y333" i="17"/>
  <c r="Y381" i="17"/>
  <c r="Y502" i="17"/>
  <c r="X471" i="17"/>
  <c r="Y533" i="17"/>
  <c r="Y335" i="17"/>
  <c r="Y351" i="17"/>
  <c r="Y367" i="17"/>
  <c r="Y383" i="17"/>
  <c r="Y399" i="17"/>
  <c r="Y431" i="17"/>
  <c r="Y586" i="17"/>
  <c r="Y554" i="17"/>
  <c r="Y532" i="17"/>
  <c r="X508" i="17"/>
  <c r="X476" i="17"/>
  <c r="X380" i="17"/>
  <c r="X348" i="17"/>
  <c r="X509" i="17"/>
  <c r="X445" i="17"/>
  <c r="Y553" i="17"/>
  <c r="X56" i="17"/>
  <c r="X611" i="17"/>
  <c r="X316" i="17"/>
  <c r="Y606" i="17"/>
  <c r="Y444" i="17"/>
  <c r="Y483" i="17"/>
  <c r="Y558" i="17"/>
  <c r="X480" i="17"/>
  <c r="X416" i="17"/>
  <c r="X352" i="17"/>
  <c r="Y406" i="17"/>
  <c r="X362" i="17"/>
  <c r="X426" i="17"/>
  <c r="X458" i="17"/>
  <c r="X490" i="17"/>
  <c r="X548" i="17"/>
  <c r="Y568" i="17"/>
  <c r="Y438" i="17"/>
  <c r="Y470" i="17"/>
  <c r="Y500" i="17"/>
  <c r="Y241" i="17"/>
  <c r="Y474" i="17"/>
  <c r="Y563" i="17"/>
  <c r="Y529" i="17"/>
  <c r="X551" i="17"/>
  <c r="Y503" i="17"/>
  <c r="Y358" i="17"/>
  <c r="X294" i="17"/>
  <c r="X230" i="17"/>
  <c r="X166" i="17"/>
  <c r="X307" i="17"/>
  <c r="Y602" i="17"/>
  <c r="Y591" i="17"/>
  <c r="X331" i="17"/>
  <c r="X64" i="17"/>
  <c r="X290" i="17"/>
  <c r="Y283" i="17"/>
  <c r="Y136" i="17"/>
  <c r="X574" i="17"/>
  <c r="X520" i="17"/>
  <c r="Y391" i="17"/>
  <c r="X215" i="17"/>
  <c r="X100" i="17"/>
  <c r="Y605" i="17"/>
  <c r="X48" i="17"/>
  <c r="Y354" i="17"/>
  <c r="X303" i="17"/>
  <c r="X271" i="17"/>
  <c r="Y81" i="17"/>
  <c r="Y150" i="17"/>
  <c r="X523" i="17"/>
  <c r="X522" i="17"/>
  <c r="Y565" i="17"/>
  <c r="X255" i="17"/>
  <c r="X17" i="17"/>
  <c r="X203" i="17"/>
  <c r="X432" i="17"/>
  <c r="X496" i="17"/>
  <c r="X417" i="17"/>
  <c r="X513" i="17"/>
  <c r="Y520" i="17"/>
  <c r="X330" i="17"/>
  <c r="Y592" i="17"/>
  <c r="M624" i="17"/>
  <c r="N624" i="17"/>
  <c r="X407" i="17"/>
  <c r="X497" i="17"/>
  <c r="X275" i="17"/>
  <c r="X134" i="17"/>
  <c r="X198" i="17"/>
  <c r="X262" i="17"/>
  <c r="Y326" i="17"/>
  <c r="X384" i="17"/>
  <c r="X448" i="17"/>
  <c r="X512" i="17"/>
  <c r="Y442" i="17"/>
  <c r="Y458" i="17"/>
  <c r="Y506" i="17"/>
  <c r="Y536" i="17"/>
  <c r="X560" i="17"/>
  <c r="Y590" i="17"/>
  <c r="X593" i="17"/>
  <c r="Y400" i="17"/>
  <c r="X394" i="17"/>
  <c r="X600" i="17"/>
  <c r="X613" i="17"/>
  <c r="Y360" i="17"/>
  <c r="X296" i="17"/>
  <c r="X232" i="17"/>
  <c r="X168" i="17"/>
  <c r="X159" i="17"/>
  <c r="X16" i="17"/>
  <c r="X219" i="17"/>
  <c r="X155" i="17"/>
  <c r="X57" i="17"/>
  <c r="X41" i="17"/>
  <c r="Y376" i="17"/>
  <c r="X248" i="17"/>
  <c r="X136" i="17"/>
  <c r="X277" i="17"/>
  <c r="X213" i="17"/>
  <c r="Y612" i="17"/>
  <c r="Y549" i="17"/>
  <c r="X531" i="17"/>
  <c r="Y475" i="17"/>
  <c r="Y443" i="17"/>
  <c r="Y379" i="17"/>
  <c r="Y315" i="17"/>
  <c r="X325" i="17"/>
  <c r="Y309" i="17"/>
  <c r="Y293" i="17"/>
  <c r="Y277" i="17"/>
  <c r="Y261" i="17"/>
  <c r="Y245" i="17"/>
  <c r="Y229" i="17"/>
  <c r="Y213" i="17"/>
  <c r="Y197" i="17"/>
  <c r="Y181" i="17"/>
  <c r="Y165" i="17"/>
  <c r="Y149" i="17"/>
  <c r="Y133" i="17"/>
  <c r="Y117" i="17"/>
  <c r="Y306" i="17"/>
  <c r="Y290" i="17"/>
  <c r="Y274" i="17"/>
  <c r="Y258" i="17"/>
  <c r="Y242" i="17"/>
  <c r="Y226" i="17"/>
  <c r="Y210" i="17"/>
  <c r="Y194" i="17"/>
  <c r="Y178" i="17"/>
  <c r="Y162" i="17"/>
  <c r="X113" i="17"/>
  <c r="X578" i="17"/>
  <c r="X546" i="17"/>
  <c r="X515" i="17"/>
  <c r="X499" i="17"/>
  <c r="X483" i="17"/>
  <c r="X467" i="17"/>
  <c r="X383" i="17"/>
  <c r="X351" i="17"/>
  <c r="X319" i="17"/>
  <c r="Y287" i="17"/>
  <c r="Y255" i="17"/>
  <c r="Y223" i="17"/>
  <c r="Y191" i="17"/>
  <c r="Y159" i="17"/>
  <c r="X197" i="17"/>
  <c r="X165" i="17"/>
  <c r="X34" i="17"/>
  <c r="X50" i="17"/>
  <c r="X66" i="17"/>
  <c r="X82" i="17"/>
  <c r="X98" i="17"/>
  <c r="X425" i="17"/>
  <c r="X457" i="17"/>
  <c r="X489" i="17"/>
  <c r="X207" i="17"/>
  <c r="X328" i="17"/>
  <c r="X360" i="17"/>
  <c r="X392" i="17"/>
  <c r="X424" i="17"/>
  <c r="X456" i="17"/>
  <c r="X488" i="17"/>
  <c r="Y434" i="17"/>
  <c r="Y498" i="17"/>
  <c r="X576" i="17"/>
  <c r="Y543" i="17"/>
  <c r="Y566" i="17"/>
  <c r="X598" i="17"/>
  <c r="X553" i="17"/>
  <c r="X585" i="17"/>
  <c r="X160" i="17"/>
  <c r="X192" i="17"/>
  <c r="X224" i="17"/>
  <c r="X256" i="17"/>
  <c r="X288" i="17"/>
  <c r="Y320" i="17"/>
  <c r="Y352" i="17"/>
  <c r="Y384" i="17"/>
  <c r="X474" i="17"/>
  <c r="X506" i="17"/>
  <c r="Y552" i="17"/>
  <c r="Y584" i="17"/>
  <c r="X144" i="17"/>
  <c r="X112" i="17"/>
  <c r="X285" i="17"/>
  <c r="X253" i="17"/>
  <c r="X221" i="17"/>
  <c r="Y515" i="17"/>
  <c r="X27" i="17"/>
  <c r="X91" i="17"/>
  <c r="Y17" i="17"/>
  <c r="X143" i="17"/>
  <c r="X36" i="17"/>
  <c r="X25" i="17"/>
  <c r="Y74" i="17"/>
  <c r="X312" i="17"/>
  <c r="X577" i="17"/>
  <c r="Y339" i="17"/>
  <c r="X592" i="17"/>
  <c r="Y390" i="17"/>
  <c r="X148" i="17"/>
  <c r="X289" i="17"/>
  <c r="X225" i="17"/>
  <c r="X397" i="17"/>
  <c r="X450" i="17"/>
  <c r="X459" i="17"/>
  <c r="Y538" i="17"/>
  <c r="X538" i="17"/>
  <c r="X605" i="17"/>
  <c r="X411" i="17"/>
  <c r="Y357" i="17"/>
  <c r="Y437" i="17"/>
  <c r="Y453" i="17"/>
  <c r="Y485" i="17"/>
  <c r="Y501" i="17"/>
  <c r="Y531" i="17"/>
  <c r="X449" i="17"/>
  <c r="Y336" i="17"/>
  <c r="X173" i="17"/>
  <c r="X33" i="17"/>
  <c r="Y68" i="17"/>
  <c r="X518" i="17"/>
  <c r="X431" i="17"/>
  <c r="X447" i="17"/>
  <c r="X479" i="17"/>
  <c r="Y466" i="17"/>
  <c r="Y521" i="17"/>
  <c r="X575" i="17"/>
  <c r="Y471" i="17"/>
  <c r="X493" i="17"/>
  <c r="Y374" i="17"/>
  <c r="X310" i="17"/>
  <c r="X246" i="17"/>
  <c r="X182" i="17"/>
  <c r="X118" i="17"/>
  <c r="X107" i="17"/>
  <c r="X274" i="17"/>
  <c r="X146" i="17"/>
  <c r="X395" i="17"/>
  <c r="Y267" i="17"/>
  <c r="X587" i="17"/>
  <c r="Y600" i="17"/>
  <c r="Y423" i="17"/>
  <c r="Y350" i="17"/>
  <c r="X286" i="17"/>
  <c r="X222" i="17"/>
  <c r="X158" i="17"/>
  <c r="X299" i="17"/>
  <c r="X267" i="17"/>
  <c r="Y151" i="17"/>
  <c r="Y112" i="17"/>
  <c r="X535" i="17"/>
  <c r="Y511" i="17"/>
  <c r="X247" i="17"/>
  <c r="X355" i="17"/>
  <c r="Y227" i="17"/>
  <c r="Y304" i="17"/>
  <c r="Y90" i="17"/>
  <c r="X306" i="17"/>
  <c r="X178" i="17"/>
  <c r="Y299" i="17"/>
  <c r="Y248" i="17"/>
  <c r="Y120" i="17"/>
  <c r="X379" i="17"/>
  <c r="X19" i="17"/>
  <c r="Y61" i="17"/>
  <c r="Y109" i="17"/>
  <c r="X137" i="17"/>
  <c r="Y110" i="17"/>
  <c r="Y142" i="17"/>
  <c r="Y158" i="17"/>
  <c r="Y190" i="17"/>
  <c r="Y238" i="17"/>
  <c r="Y270" i="17"/>
  <c r="Y286" i="17"/>
  <c r="Y113" i="17"/>
  <c r="Y456" i="17"/>
  <c r="X590" i="17"/>
  <c r="Y557" i="17"/>
  <c r="Y589" i="17"/>
  <c r="X573" i="17"/>
  <c r="X85" i="17"/>
  <c r="Y264" i="17"/>
  <c r="Y296" i="17"/>
  <c r="Y179" i="17"/>
  <c r="Y251" i="17"/>
  <c r="Y317" i="17"/>
  <c r="Y365" i="17"/>
  <c r="Y422" i="17"/>
  <c r="Y454" i="17"/>
  <c r="Y486" i="17"/>
  <c r="X533" i="17"/>
  <c r="X532" i="17"/>
  <c r="X540" i="17"/>
  <c r="X603" i="17"/>
  <c r="X287" i="17"/>
  <c r="X114" i="17"/>
  <c r="X210" i="17"/>
  <c r="X242" i="17"/>
  <c r="Y338" i="17"/>
  <c r="Y370" i="17"/>
  <c r="Y583" i="17"/>
  <c r="Y596" i="17"/>
  <c r="Y598" i="17"/>
  <c r="X189" i="17"/>
  <c r="Y41" i="17"/>
  <c r="Y49" i="17"/>
  <c r="Y57" i="17"/>
  <c r="Y105" i="17"/>
  <c r="Y20" i="17"/>
  <c r="Y36" i="17"/>
  <c r="Y84" i="17"/>
  <c r="X60" i="17"/>
  <c r="Y139" i="17"/>
  <c r="Y216" i="17"/>
  <c r="X139" i="17"/>
  <c r="Y176" i="17"/>
  <c r="X175" i="17"/>
  <c r="X51" i="17"/>
  <c r="Y66" i="17"/>
  <c r="X76" i="17"/>
  <c r="X69" i="17"/>
  <c r="Y280" i="17"/>
  <c r="Y232" i="17"/>
  <c r="Y152" i="17"/>
  <c r="X157" i="17"/>
  <c r="Y89" i="17"/>
  <c r="X68" i="17"/>
  <c r="Y42" i="17"/>
  <c r="X622" i="17"/>
  <c r="X318" i="17"/>
  <c r="Y372" i="17"/>
  <c r="Y356" i="17"/>
  <c r="Y340" i="17"/>
  <c r="Y324" i="17"/>
  <c r="X308" i="17"/>
  <c r="X292" i="17"/>
  <c r="X276" i="17"/>
  <c r="X260" i="17"/>
  <c r="X244" i="17"/>
  <c r="X228" i="17"/>
  <c r="X212" i="17"/>
  <c r="X196" i="17"/>
  <c r="X180" i="17"/>
  <c r="X164" i="17"/>
  <c r="X370" i="17"/>
  <c r="X607" i="17"/>
  <c r="Y562" i="17"/>
  <c r="X484" i="17"/>
  <c r="X420" i="17"/>
  <c r="X356" i="17"/>
  <c r="X485" i="17"/>
  <c r="X453" i="17"/>
  <c r="X317" i="17"/>
  <c r="Y301" i="17"/>
  <c r="Y285" i="17"/>
  <c r="Y269" i="17"/>
  <c r="Y253" i="17"/>
  <c r="Y237" i="17"/>
  <c r="Y221" i="17"/>
  <c r="Y205" i="17"/>
  <c r="Y189" i="17"/>
  <c r="Y173" i="17"/>
  <c r="Y157" i="17"/>
  <c r="Y141" i="17"/>
  <c r="Y125" i="17"/>
  <c r="Y314" i="17"/>
  <c r="Y298" i="17"/>
  <c r="Y282" i="17"/>
  <c r="Y266" i="17"/>
  <c r="Y250" i="17"/>
  <c r="Y234" i="17"/>
  <c r="Y218" i="17"/>
  <c r="Y202" i="17"/>
  <c r="Y186" i="17"/>
  <c r="Y170" i="17"/>
  <c r="X193" i="17"/>
  <c r="X161" i="17"/>
  <c r="X129" i="17"/>
  <c r="X14" i="17"/>
  <c r="X30" i="17"/>
  <c r="X46" i="17"/>
  <c r="X62" i="17"/>
  <c r="X78" i="17"/>
  <c r="X94" i="17"/>
  <c r="X609" i="17"/>
  <c r="X612" i="17"/>
  <c r="X596" i="17"/>
  <c r="Y580" i="17"/>
  <c r="Y564" i="17"/>
  <c r="Y548" i="17"/>
  <c r="Y571" i="17"/>
  <c r="Y541" i="17"/>
  <c r="Y448" i="17"/>
  <c r="Y432" i="17"/>
  <c r="Y519" i="17"/>
  <c r="X502" i="17"/>
  <c r="X486" i="17"/>
  <c r="X470" i="17"/>
  <c r="X454" i="17"/>
  <c r="X438" i="17"/>
  <c r="X406" i="17"/>
  <c r="X390" i="17"/>
  <c r="X374" i="17"/>
  <c r="X358" i="17"/>
  <c r="X342" i="17"/>
  <c r="X326" i="17"/>
  <c r="Y412" i="17"/>
  <c r="X268" i="17"/>
  <c r="X252" i="17"/>
  <c r="X236" i="17"/>
  <c r="X220" i="17"/>
  <c r="X204" i="17"/>
  <c r="X188" i="17"/>
  <c r="X172" i="17"/>
  <c r="X156" i="17"/>
  <c r="X608" i="17"/>
  <c r="Y544" i="17"/>
  <c r="Y428" i="17"/>
  <c r="X466" i="17"/>
  <c r="X402" i="17"/>
  <c r="Y613" i="17"/>
  <c r="X549" i="17"/>
  <c r="X610" i="17"/>
  <c r="Y546" i="17"/>
  <c r="Y539" i="17"/>
  <c r="X568" i="17"/>
  <c r="Y462" i="17"/>
  <c r="X468" i="17"/>
  <c r="X404" i="17"/>
  <c r="X340" i="17"/>
  <c r="Y346" i="17"/>
  <c r="X282" i="17"/>
  <c r="X218" i="17"/>
  <c r="X154" i="17"/>
  <c r="X295" i="17"/>
  <c r="X469" i="17"/>
  <c r="X353" i="17"/>
  <c r="X177" i="17"/>
  <c r="X145" i="17"/>
  <c r="X259" i="17"/>
  <c r="X227" i="17"/>
  <c r="Y608" i="17"/>
  <c r="Y595" i="17"/>
  <c r="X563" i="17"/>
  <c r="X529" i="17"/>
  <c r="X399" i="17"/>
  <c r="X367" i="17"/>
  <c r="X335" i="17"/>
  <c r="Y303" i="17"/>
  <c r="Y271" i="17"/>
  <c r="Y239" i="17"/>
  <c r="Y207" i="17"/>
  <c r="Y175" i="17"/>
  <c r="X125" i="17"/>
  <c r="Y15" i="17"/>
  <c r="Y23" i="17"/>
  <c r="Y31" i="17"/>
  <c r="Y39" i="17"/>
  <c r="Y47" i="17"/>
  <c r="Y55" i="17"/>
  <c r="Y63" i="17"/>
  <c r="Y71" i="17"/>
  <c r="Y79" i="17"/>
  <c r="Y87" i="17"/>
  <c r="Y95" i="17"/>
  <c r="Y103" i="17"/>
  <c r="X18" i="17"/>
  <c r="X26" i="17"/>
  <c r="X42" i="17"/>
  <c r="X58" i="17"/>
  <c r="X74" i="17"/>
  <c r="X90" i="17"/>
  <c r="X106" i="17"/>
  <c r="X333" i="17"/>
  <c r="X349" i="17"/>
  <c r="Y327" i="17"/>
  <c r="Y343" i="17"/>
  <c r="Y359" i="17"/>
  <c r="Y375" i="17"/>
  <c r="X481" i="17"/>
  <c r="X527" i="17"/>
  <c r="X526" i="17"/>
  <c r="X542" i="17"/>
  <c r="X591" i="17"/>
  <c r="Y604" i="17"/>
  <c r="X291" i="17"/>
  <c r="X150" i="17"/>
  <c r="X214" i="17"/>
  <c r="X278" i="17"/>
  <c r="Y342" i="17"/>
  <c r="X320" i="17"/>
  <c r="X336" i="17"/>
  <c r="X400" i="17"/>
  <c r="X464" i="17"/>
  <c r="Y535" i="17"/>
  <c r="X606" i="17"/>
  <c r="X545" i="17"/>
  <c r="Y609" i="17"/>
  <c r="X209" i="17"/>
  <c r="X257" i="17"/>
  <c r="X273" i="17"/>
  <c r="X116" i="17"/>
  <c r="X132" i="17"/>
  <c r="X176" i="17"/>
  <c r="X240" i="17"/>
  <c r="X272" i="17"/>
  <c r="X304" i="17"/>
  <c r="Y368" i="17"/>
  <c r="Y420" i="17"/>
  <c r="Y452" i="17"/>
  <c r="Y484" i="17"/>
  <c r="Y516" i="17"/>
  <c r="X514" i="17"/>
  <c r="X386" i="17"/>
  <c r="X128" i="17"/>
  <c r="X301" i="17"/>
  <c r="X269" i="17"/>
  <c r="X237" i="17"/>
  <c r="X205" i="17"/>
  <c r="X602" i="17"/>
  <c r="Y570" i="17"/>
  <c r="X552" i="17"/>
  <c r="X492" i="17"/>
  <c r="X460" i="17"/>
  <c r="X428" i="17"/>
  <c r="X396" i="17"/>
  <c r="X364" i="17"/>
  <c r="X332" i="17"/>
  <c r="Y402" i="17"/>
  <c r="X461" i="17"/>
  <c r="Y467" i="17"/>
  <c r="Y435" i="17"/>
  <c r="Y371" i="17"/>
  <c r="X409" i="17"/>
  <c r="X345" i="17"/>
  <c r="Y289" i="17"/>
  <c r="Y273" i="17"/>
  <c r="Y225" i="17"/>
  <c r="Y209" i="17"/>
  <c r="Y161" i="17"/>
  <c r="Y145" i="17"/>
  <c r="Y262" i="17"/>
  <c r="Y230" i="17"/>
  <c r="X185" i="17"/>
  <c r="X121" i="17"/>
  <c r="X235" i="17"/>
  <c r="Y585" i="17"/>
  <c r="X554" i="17"/>
  <c r="X455" i="17"/>
  <c r="X423" i="17"/>
  <c r="Y429" i="17"/>
  <c r="Y397" i="17"/>
  <c r="X403" i="17"/>
  <c r="X371" i="17"/>
  <c r="Y275" i="17"/>
  <c r="Y243" i="17"/>
  <c r="Y147" i="17"/>
  <c r="Y115" i="17"/>
  <c r="Y224" i="17"/>
  <c r="Y192" i="17"/>
  <c r="X171" i="17"/>
  <c r="Y13" i="17"/>
  <c r="Y29" i="17"/>
  <c r="Y77" i="17"/>
  <c r="Y93" i="17"/>
  <c r="Y44" i="17"/>
  <c r="X43" i="17"/>
  <c r="X75" i="17"/>
  <c r="X101" i="17"/>
  <c r="X32" i="17"/>
  <c r="X80" i="17"/>
  <c r="X96" i="17"/>
  <c r="Y18" i="17"/>
  <c r="Y50" i="17"/>
  <c r="X49" i="17"/>
  <c r="X97" i="17"/>
  <c r="Y254" i="17"/>
  <c r="Y222" i="17"/>
  <c r="X169" i="17"/>
  <c r="Y569" i="17"/>
  <c r="X541" i="17"/>
  <c r="Y517" i="17"/>
  <c r="Y389" i="17"/>
  <c r="X363" i="17"/>
  <c r="Y235" i="17"/>
  <c r="Y312" i="17"/>
  <c r="Y184" i="17"/>
  <c r="Y33" i="17"/>
  <c r="Y97" i="17"/>
  <c r="Y52" i="17"/>
  <c r="X83" i="17"/>
  <c r="Y626" i="17"/>
  <c r="X20" i="17"/>
  <c r="X84" i="17"/>
  <c r="Y26" i="17"/>
  <c r="Y73" i="17"/>
  <c r="X28" i="17"/>
  <c r="X92" i="17"/>
  <c r="X570" i="17"/>
  <c r="Y405" i="17"/>
  <c r="Y25" i="17"/>
  <c r="Y200" i="17"/>
  <c r="Y123" i="17"/>
  <c r="X199" i="17"/>
  <c r="X67" i="17"/>
  <c r="X263" i="17"/>
  <c r="X63" i="17"/>
  <c r="X314" i="17"/>
  <c r="Y577" i="17"/>
  <c r="Y409" i="17"/>
  <c r="Y220" i="17"/>
  <c r="Y542" i="17"/>
  <c r="Y316" i="17"/>
  <c r="X581" i="17"/>
  <c r="Y494" i="17"/>
  <c r="X186" i="17"/>
  <c r="X582" i="17"/>
  <c r="X435" i="17"/>
  <c r="Y480" i="17"/>
  <c r="Y380" i="17"/>
  <c r="X338" i="17"/>
  <c r="X184" i="17"/>
  <c r="Y430" i="17"/>
  <c r="Y378" i="17"/>
  <c r="X250" i="17"/>
  <c r="X122" i="17"/>
  <c r="X567" i="17"/>
  <c r="Y114" i="17"/>
  <c r="Y473" i="17"/>
  <c r="Y345" i="17"/>
  <c r="Y284" i="17"/>
  <c r="Y156" i="17"/>
  <c r="X437" i="17"/>
  <c r="Y32" i="17"/>
  <c r="X119" i="17"/>
  <c r="Y70" i="17"/>
  <c r="Y525" i="17"/>
  <c r="Y512" i="17"/>
  <c r="X422" i="17"/>
  <c r="Y348" i="17"/>
  <c r="X284" i="17"/>
  <c r="X564" i="17"/>
  <c r="X309" i="17"/>
  <c r="X245" i="17"/>
  <c r="Y578" i="17"/>
  <c r="Y524" i="17"/>
  <c r="X500" i="17"/>
  <c r="X436" i="17"/>
  <c r="X372" i="17"/>
  <c r="Y410" i="17"/>
  <c r="Y146" i="17"/>
  <c r="X528" i="17"/>
  <c r="Y505" i="17"/>
  <c r="Y441" i="17"/>
  <c r="Y377" i="17"/>
  <c r="X415" i="17"/>
  <c r="Y143" i="17"/>
  <c r="Y411" i="17"/>
  <c r="X385" i="17"/>
  <c r="Y96" i="17"/>
  <c r="X77" i="17"/>
  <c r="X37" i="17"/>
  <c r="X539" i="17"/>
  <c r="Y476" i="17"/>
  <c r="Y451" i="17"/>
  <c r="Y130" i="17"/>
  <c r="X419" i="17"/>
  <c r="X451" i="17"/>
  <c r="Y445" i="17"/>
  <c r="Y461" i="17"/>
  <c r="Y493" i="17"/>
  <c r="Y509" i="17"/>
  <c r="Y347" i="17"/>
  <c r="X321" i="17"/>
  <c r="Y257" i="17"/>
  <c r="Y193" i="17"/>
  <c r="Y129" i="17"/>
  <c r="Y302" i="17"/>
  <c r="Y206" i="17"/>
  <c r="Y174" i="17"/>
  <c r="Y126" i="17"/>
  <c r="X73" i="17"/>
  <c r="Y45" i="17"/>
  <c r="Y60" i="17"/>
  <c r="Y76" i="17"/>
  <c r="Y108" i="17"/>
  <c r="X111" i="17"/>
  <c r="X44" i="17"/>
  <c r="X108" i="17"/>
  <c r="X572" i="17"/>
  <c r="Y526" i="17"/>
  <c r="Y496" i="17"/>
  <c r="Y464" i="17"/>
  <c r="Y396" i="17"/>
  <c r="Y364" i="17"/>
  <c r="Y332" i="17"/>
  <c r="X300" i="17"/>
  <c r="Y492" i="17"/>
  <c r="X223" i="17"/>
  <c r="Y573" i="17"/>
  <c r="X543" i="17"/>
  <c r="X465" i="17"/>
  <c r="X433" i="17"/>
  <c r="Y487" i="17"/>
  <c r="Y455" i="17"/>
  <c r="Y439" i="17"/>
  <c r="Y407" i="17"/>
  <c r="X413" i="17"/>
  <c r="X381" i="17"/>
  <c r="Y545" i="17"/>
  <c r="Y489" i="17"/>
  <c r="Y457" i="17"/>
  <c r="Y425" i="17"/>
  <c r="Y393" i="17"/>
  <c r="Y361" i="17"/>
  <c r="Y329" i="17"/>
  <c r="Y111" i="17"/>
  <c r="Y252" i="17"/>
  <c r="Y188" i="17"/>
  <c r="Y124" i="17"/>
  <c r="X501" i="17"/>
  <c r="X429" i="17"/>
  <c r="Y499" i="17"/>
  <c r="Y403" i="17"/>
  <c r="X377" i="17"/>
  <c r="Y121" i="17"/>
  <c r="Y294" i="17"/>
  <c r="Y198" i="17"/>
  <c r="Y166" i="17"/>
  <c r="Y134" i="17"/>
  <c r="Y603" i="17"/>
  <c r="X525" i="17"/>
  <c r="X487" i="17"/>
  <c r="Y373" i="17"/>
  <c r="Y341" i="17"/>
  <c r="Y325" i="17"/>
  <c r="X347" i="17"/>
  <c r="Y307" i="17"/>
  <c r="Y211" i="17"/>
  <c r="Y171" i="17"/>
  <c r="Y288" i="17"/>
  <c r="Y256" i="17"/>
  <c r="Y168" i="17"/>
  <c r="Y128" i="17"/>
  <c r="X123" i="17"/>
  <c r="Y65" i="17"/>
  <c r="X99" i="17"/>
  <c r="X131" i="17"/>
  <c r="Y64" i="17"/>
  <c r="X31" i="17"/>
  <c r="X95" i="17"/>
  <c r="X191" i="17"/>
  <c r="Y38" i="17"/>
  <c r="Y102" i="17"/>
  <c r="X52" i="17"/>
  <c r="Y82" i="17"/>
  <c r="Y106" i="17"/>
  <c r="X414" i="17"/>
  <c r="X398" i="17"/>
  <c r="X382" i="17"/>
  <c r="X366" i="17"/>
  <c r="X350" i="17"/>
  <c r="X334" i="17"/>
  <c r="Y404" i="17"/>
  <c r="Y388" i="17"/>
  <c r="Y344" i="17"/>
  <c r="X280" i="17"/>
  <c r="X216" i="17"/>
  <c r="X152" i="17"/>
  <c r="X120" i="17"/>
  <c r="X293" i="17"/>
  <c r="X261" i="17"/>
  <c r="X229" i="17"/>
  <c r="Y594" i="17"/>
  <c r="Y540" i="17"/>
  <c r="X516" i="17"/>
  <c r="X452" i="17"/>
  <c r="X388" i="17"/>
  <c r="X324" i="17"/>
  <c r="Y394" i="17"/>
  <c r="X517" i="17"/>
  <c r="X421" i="17"/>
  <c r="Y427" i="17"/>
  <c r="Y395" i="17"/>
  <c r="Y363" i="17"/>
  <c r="Y331" i="17"/>
  <c r="X401" i="17"/>
  <c r="X369" i="17"/>
  <c r="X337" i="17"/>
  <c r="Y561" i="17"/>
  <c r="X536" i="17"/>
  <c r="X181" i="17"/>
  <c r="X149" i="17"/>
  <c r="Y19" i="17"/>
  <c r="Y27" i="17"/>
  <c r="Y35" i="17"/>
  <c r="Y43" i="17"/>
  <c r="Y51" i="17"/>
  <c r="Y59" i="17"/>
  <c r="Y67" i="17"/>
  <c r="Y75" i="17"/>
  <c r="Y83" i="17"/>
  <c r="Y91" i="17"/>
  <c r="Y99" i="17"/>
  <c r="Y107" i="17"/>
  <c r="X133" i="17"/>
  <c r="X22" i="17"/>
  <c r="X38" i="17"/>
  <c r="X54" i="17"/>
  <c r="X70" i="17"/>
  <c r="X86" i="17"/>
  <c r="X102" i="17"/>
  <c r="X341" i="17"/>
  <c r="X357" i="17"/>
  <c r="X373" i="17"/>
  <c r="X389" i="17"/>
  <c r="X405" i="17"/>
  <c r="Y319" i="17"/>
  <c r="Y415" i="17"/>
  <c r="Y447" i="17"/>
  <c r="X441" i="17"/>
  <c r="X473" i="17"/>
  <c r="X505" i="17"/>
  <c r="Y593" i="17"/>
  <c r="Y398" i="17"/>
  <c r="Y414" i="17"/>
  <c r="X344" i="17"/>
  <c r="X376" i="17"/>
  <c r="X408" i="17"/>
  <c r="X440" i="17"/>
  <c r="X472" i="17"/>
  <c r="X504" i="17"/>
  <c r="Y528" i="17"/>
  <c r="X544" i="17"/>
  <c r="Y550" i="17"/>
  <c r="Y582" i="17"/>
  <c r="X595" i="17"/>
  <c r="X201" i="17"/>
  <c r="X217" i="17"/>
  <c r="X233" i="17"/>
  <c r="X249" i="17"/>
  <c r="X265" i="17"/>
  <c r="X281" i="17"/>
  <c r="X297" i="17"/>
  <c r="X313" i="17"/>
  <c r="X124" i="17"/>
  <c r="X140" i="17"/>
  <c r="X346" i="17"/>
  <c r="X378" i="17"/>
  <c r="X410" i="17"/>
  <c r="Y328" i="17"/>
  <c r="X264" i="17"/>
  <c r="X200" i="17"/>
  <c r="X599" i="17"/>
  <c r="X584" i="17"/>
  <c r="X444" i="17"/>
  <c r="X412" i="17"/>
  <c r="Y386" i="17"/>
  <c r="X477" i="17"/>
  <c r="Y419" i="17"/>
  <c r="Y387" i="17"/>
  <c r="Y355" i="17"/>
  <c r="Y323" i="17"/>
  <c r="X153" i="17"/>
  <c r="Y21" i="17"/>
  <c r="Y37" i="17"/>
  <c r="Y53" i="17"/>
  <c r="Y69" i="17"/>
  <c r="Y85" i="17"/>
  <c r="Y101" i="17"/>
  <c r="X24" i="17"/>
  <c r="Y127" i="17"/>
  <c r="Y300" i="17"/>
  <c r="Y268" i="17"/>
  <c r="Y236" i="17"/>
  <c r="Y204" i="17"/>
  <c r="Y172" i="17"/>
  <c r="Y140" i="17"/>
  <c r="Y507" i="17"/>
  <c r="X163" i="17"/>
  <c r="Y16" i="17"/>
  <c r="Y48" i="17"/>
  <c r="Y80" i="17"/>
  <c r="X15" i="17"/>
  <c r="X47" i="17"/>
  <c r="X79" i="17"/>
  <c r="Y622" i="17"/>
  <c r="X109" i="17"/>
  <c r="X151" i="17"/>
  <c r="Y22" i="17"/>
  <c r="Y54" i="17"/>
  <c r="Y86" i="17"/>
  <c r="X21" i="17"/>
  <c r="X53" i="17"/>
  <c r="X105" i="17"/>
  <c r="Y572" i="17"/>
  <c r="Y518" i="17"/>
  <c r="X494" i="17"/>
  <c r="Y433" i="17"/>
  <c r="Y279" i="17"/>
  <c r="Y228" i="17"/>
  <c r="J625" i="17"/>
  <c r="I625" i="17"/>
  <c r="C625" i="17"/>
  <c r="O625" i="17"/>
  <c r="D625" i="17"/>
  <c r="F625" i="17"/>
  <c r="P625" i="17"/>
  <c r="K625" i="17"/>
  <c r="E625" i="17"/>
  <c r="L625" i="17"/>
  <c r="I624" i="17"/>
  <c r="K624" i="17"/>
  <c r="C624" i="17"/>
  <c r="F624" i="17"/>
  <c r="P624" i="17"/>
  <c r="L624" i="17"/>
  <c r="J624" i="17"/>
  <c r="D624" i="17"/>
  <c r="E624" i="17"/>
  <c r="O624" i="17"/>
  <c r="X418" i="17"/>
  <c r="X354" i="17"/>
  <c r="Y392" i="17"/>
  <c r="X393" i="17"/>
  <c r="X361" i="17"/>
  <c r="X329" i="17"/>
  <c r="Y313" i="17"/>
  <c r="Y297" i="17"/>
  <c r="Y281" i="17"/>
  <c r="Y265" i="17"/>
  <c r="Y249" i="17"/>
  <c r="Y233" i="17"/>
  <c r="Y217" i="17"/>
  <c r="Y201" i="17"/>
  <c r="Y185" i="17"/>
  <c r="Y169" i="17"/>
  <c r="Y153" i="17"/>
  <c r="Y137" i="17"/>
  <c r="Y310" i="17"/>
  <c r="Y278" i="17"/>
  <c r="Y246" i="17"/>
  <c r="Y214" i="17"/>
  <c r="Y182" i="17"/>
  <c r="X141" i="17"/>
  <c r="X40" i="17"/>
  <c r="X72" i="17"/>
  <c r="X88" i="17"/>
  <c r="X104" i="17"/>
  <c r="N625" i="17"/>
  <c r="X604" i="17"/>
  <c r="Y587" i="17"/>
  <c r="X556" i="17"/>
  <c r="Y488" i="17"/>
  <c r="Y424" i="17"/>
  <c r="X462" i="17"/>
  <c r="Y601" i="17"/>
  <c r="X569" i="17"/>
  <c r="Y575" i="17"/>
  <c r="Y527" i="17"/>
  <c r="Y514" i="17"/>
  <c r="Y482" i="17"/>
  <c r="Y450" i="17"/>
  <c r="Y418" i="17"/>
  <c r="Y366" i="17"/>
  <c r="Y334" i="17"/>
  <c r="X302" i="17"/>
  <c r="X270" i="17"/>
  <c r="X238" i="17"/>
  <c r="X206" i="17"/>
  <c r="X174" i="17"/>
  <c r="X142" i="17"/>
  <c r="X110" i="17"/>
  <c r="X283" i="17"/>
  <c r="X597" i="17"/>
  <c r="Y560" i="17"/>
  <c r="Y547" i="17"/>
  <c r="X580" i="17"/>
  <c r="Y508" i="17"/>
  <c r="Y468" i="17"/>
  <c r="Y436" i="17"/>
  <c r="X482" i="17"/>
  <c r="X442" i="17"/>
  <c r="Y416" i="17"/>
  <c r="X239" i="17"/>
  <c r="Y607" i="17"/>
  <c r="X534" i="17"/>
  <c r="X558" i="17"/>
  <c r="X519" i="17"/>
  <c r="Y479" i="17"/>
  <c r="Y138" i="17"/>
  <c r="Y611" i="17"/>
  <c r="X521" i="17"/>
  <c r="Y497" i="17"/>
  <c r="Y369" i="17"/>
  <c r="X343" i="17"/>
  <c r="Y215" i="17"/>
  <c r="Y292" i="17"/>
  <c r="Y164" i="17"/>
  <c r="X601" i="17"/>
  <c r="Y588" i="17"/>
  <c r="Y556" i="17"/>
  <c r="Y555" i="17"/>
  <c r="X588" i="17"/>
  <c r="Y534" i="17"/>
  <c r="Y504" i="17"/>
  <c r="Y472" i="17"/>
  <c r="Y440" i="17"/>
  <c r="X510" i="17"/>
  <c r="X478" i="17"/>
  <c r="X446" i="17"/>
  <c r="Y576" i="17"/>
  <c r="Y537" i="17"/>
  <c r="Y522" i="17"/>
  <c r="Y460" i="17"/>
  <c r="X498" i="17"/>
  <c r="X434" i="17"/>
  <c r="Y408" i="17"/>
  <c r="Y610" i="17"/>
  <c r="Y597" i="17"/>
  <c r="X565" i="17"/>
  <c r="Y567" i="17"/>
  <c r="Y523" i="17"/>
  <c r="Y510" i="17"/>
  <c r="Y478" i="17"/>
  <c r="Y446" i="17"/>
  <c r="Y362" i="17"/>
  <c r="Y330" i="17"/>
  <c r="X298" i="17"/>
  <c r="X266" i="17"/>
  <c r="X234" i="17"/>
  <c r="X202" i="17"/>
  <c r="X170" i="17"/>
  <c r="X138" i="17"/>
  <c r="X311" i="17"/>
  <c r="X279" i="17"/>
  <c r="X231" i="17"/>
  <c r="Y599" i="17"/>
  <c r="Y581" i="17"/>
  <c r="X530" i="17"/>
  <c r="X550" i="17"/>
  <c r="Y495" i="17"/>
  <c r="Y463" i="17"/>
  <c r="X243" i="17"/>
  <c r="X547" i="17"/>
  <c r="X562" i="17"/>
  <c r="X491" i="17"/>
  <c r="X427" i="17"/>
  <c r="Y465" i="17"/>
  <c r="Y401" i="17"/>
  <c r="Y337" i="17"/>
  <c r="X375" i="17"/>
  <c r="Y311" i="17"/>
  <c r="Y247" i="17"/>
  <c r="Y183" i="17"/>
  <c r="Y119" i="17"/>
  <c r="Y260" i="17"/>
  <c r="Y196" i="17"/>
  <c r="Y132" i="17"/>
  <c r="X55" i="17"/>
  <c r="Y24" i="17"/>
  <c r="X135" i="17"/>
  <c r="Y62" i="17"/>
  <c r="Y88" i="17"/>
  <c r="X623" i="17"/>
  <c r="X29" i="17"/>
  <c r="X147" i="17"/>
  <c r="Y56" i="17"/>
  <c r="X23" i="17"/>
  <c r="X87" i="17"/>
  <c r="Y30" i="17"/>
  <c r="Y94" i="17"/>
  <c r="X61" i="17"/>
  <c r="Y154" i="17"/>
  <c r="Y122" i="17"/>
  <c r="X187" i="17"/>
  <c r="X211" i="17"/>
  <c r="X579" i="17"/>
  <c r="X594" i="17"/>
  <c r="X537" i="17"/>
  <c r="X507" i="17"/>
  <c r="X475" i="17"/>
  <c r="X443" i="17"/>
  <c r="Y513" i="17"/>
  <c r="Y481" i="17"/>
  <c r="Y449" i="17"/>
  <c r="Y417" i="17"/>
  <c r="Y385" i="17"/>
  <c r="Y353" i="17"/>
  <c r="Y321" i="17"/>
  <c r="X391" i="17"/>
  <c r="X359" i="17"/>
  <c r="X327" i="17"/>
  <c r="Y295" i="17"/>
  <c r="Y263" i="17"/>
  <c r="Y231" i="17"/>
  <c r="Y199" i="17"/>
  <c r="Y167" i="17"/>
  <c r="Y135" i="17"/>
  <c r="Y308" i="17"/>
  <c r="Y276" i="17"/>
  <c r="Y244" i="17"/>
  <c r="Y212" i="17"/>
  <c r="Y180" i="17"/>
  <c r="Y148" i="17"/>
  <c r="Y116" i="17"/>
  <c r="Y491" i="17"/>
  <c r="Y459" i="17"/>
  <c r="Y118" i="17"/>
  <c r="X179" i="17"/>
  <c r="X571" i="17"/>
  <c r="X586" i="17"/>
  <c r="X503" i="17"/>
  <c r="X439" i="17"/>
  <c r="Y477" i="17"/>
  <c r="Y413" i="17"/>
  <c r="Y349" i="17"/>
  <c r="X387" i="17"/>
  <c r="X323" i="17"/>
  <c r="Y259" i="17"/>
  <c r="Y195" i="17"/>
  <c r="Y131" i="17"/>
  <c r="Y272" i="17"/>
  <c r="Y208" i="17"/>
  <c r="Y144" i="17"/>
  <c r="Y28" i="17"/>
  <c r="Y92" i="17"/>
  <c r="X59" i="17"/>
  <c r="X183" i="17"/>
  <c r="X115" i="17"/>
  <c r="Y40" i="17"/>
  <c r="Y72" i="17"/>
  <c r="Y104" i="17"/>
  <c r="X39" i="17"/>
  <c r="X71" i="17"/>
  <c r="X103" i="17"/>
  <c r="X93" i="17"/>
  <c r="X167" i="17"/>
  <c r="Y14" i="17"/>
  <c r="Y46" i="17"/>
  <c r="Y78" i="17"/>
  <c r="X13" i="17"/>
  <c r="X45" i="17"/>
  <c r="X89" i="17"/>
  <c r="X117" i="17"/>
  <c r="Y34" i="17"/>
  <c r="Y98" i="17"/>
  <c r="X65" i="17"/>
  <c r="Y623" i="17"/>
  <c r="AB627" i="17" l="1"/>
  <c r="R627" i="17"/>
  <c r="S627" i="17" s="1"/>
  <c r="AA627" i="17"/>
  <c r="AD468" i="17"/>
  <c r="AE468" i="17" s="1"/>
  <c r="U469" i="17"/>
  <c r="AD390" i="17"/>
  <c r="AE390" i="17" s="1"/>
  <c r="U391" i="17"/>
  <c r="AD85" i="17"/>
  <c r="AE85" i="17" s="1"/>
  <c r="U86" i="17"/>
  <c r="AD21" i="17"/>
  <c r="AE21" i="17" s="1"/>
  <c r="U22" i="17"/>
  <c r="AD292" i="17"/>
  <c r="AE292" i="17" s="1"/>
  <c r="U293" i="17"/>
  <c r="AD613" i="17"/>
  <c r="AE613" i="17" s="1"/>
  <c r="U613" i="17"/>
  <c r="AD299" i="17"/>
  <c r="AE299" i="17" s="1"/>
  <c r="U300" i="17"/>
  <c r="AD329" i="17"/>
  <c r="AE329" i="17" s="1"/>
  <c r="U330" i="17"/>
  <c r="AD17" i="17"/>
  <c r="AE17" i="17" s="1"/>
  <c r="U18" i="17"/>
  <c r="AD109" i="17"/>
  <c r="AE109" i="17" s="1"/>
  <c r="U110" i="17"/>
  <c r="AD237" i="17"/>
  <c r="AE237" i="17" s="1"/>
  <c r="U238" i="17"/>
  <c r="AD129" i="17"/>
  <c r="AE129" i="17" s="1"/>
  <c r="U130" i="17"/>
  <c r="AD584" i="17"/>
  <c r="AE584" i="17" s="1"/>
  <c r="U584" i="17"/>
  <c r="AD487" i="17"/>
  <c r="AE487" i="17" s="1"/>
  <c r="U487" i="17"/>
  <c r="AD429" i="17"/>
  <c r="AE429" i="17" s="1"/>
  <c r="U430" i="17"/>
  <c r="AD116" i="17"/>
  <c r="AE116" i="17" s="1"/>
  <c r="U117" i="17"/>
  <c r="AD257" i="17"/>
  <c r="AE257" i="17" s="1"/>
  <c r="AD223" i="17"/>
  <c r="AE223" i="17" s="1"/>
  <c r="X625" i="17"/>
  <c r="AD216" i="17"/>
  <c r="AE216" i="17" s="1"/>
  <c r="AD123" i="17"/>
  <c r="AE123" i="17" s="1"/>
  <c r="AD226" i="17"/>
  <c r="AE226" i="17" s="1"/>
  <c r="AD511" i="17"/>
  <c r="AE511" i="17" s="1"/>
  <c r="AD422" i="17"/>
  <c r="AE422" i="17" s="1"/>
  <c r="AD114" i="17"/>
  <c r="AE114" i="17" s="1"/>
  <c r="AD315" i="17"/>
  <c r="AE315" i="17" s="1"/>
  <c r="AD259" i="17"/>
  <c r="AE259" i="17" s="1"/>
  <c r="AD499" i="17"/>
  <c r="AE499" i="17" s="1"/>
  <c r="AD256" i="17"/>
  <c r="AE256" i="17" s="1"/>
  <c r="AD437" i="17"/>
  <c r="AE437" i="17" s="1"/>
  <c r="AD353" i="17"/>
  <c r="AE353" i="17" s="1"/>
  <c r="AD454" i="17"/>
  <c r="AE454" i="17" s="1"/>
  <c r="AD55" i="17"/>
  <c r="AE55" i="17" s="1"/>
  <c r="AD405" i="17"/>
  <c r="AE405" i="17" s="1"/>
  <c r="AD269" i="17"/>
  <c r="AE269" i="17" s="1"/>
  <c r="AD68" i="17"/>
  <c r="AE68" i="17" s="1"/>
  <c r="AD105" i="17"/>
  <c r="AE105" i="17" s="1"/>
  <c r="AD32" i="17"/>
  <c r="AE32" i="17" s="1"/>
  <c r="AD449" i="17"/>
  <c r="AE449" i="17" s="1"/>
  <c r="AD385" i="17"/>
  <c r="AE385" i="17" s="1"/>
  <c r="AD147" i="17"/>
  <c r="AE147" i="17" s="1"/>
  <c r="AD488" i="17"/>
  <c r="AE488" i="17" s="1"/>
  <c r="AD341" i="17"/>
  <c r="AE341" i="17" s="1"/>
  <c r="AD540" i="17"/>
  <c r="AE540" i="17" s="1"/>
  <c r="AD263" i="17"/>
  <c r="AE263" i="17" s="1"/>
  <c r="AD507" i="17"/>
  <c r="AE507" i="17" s="1"/>
  <c r="AD97" i="17"/>
  <c r="AE97" i="17" s="1"/>
  <c r="AD64" i="17"/>
  <c r="AE64" i="17" s="1"/>
  <c r="AD527" i="17"/>
  <c r="AE527" i="17" s="1"/>
  <c r="AD555" i="17"/>
  <c r="AE555" i="17" s="1"/>
  <c r="AD445" i="17"/>
  <c r="AE445" i="17" s="1"/>
  <c r="AD400" i="17"/>
  <c r="AE400" i="17" s="1"/>
  <c r="AD514" i="17"/>
  <c r="AE514" i="17" s="1"/>
  <c r="AD333" i="17"/>
  <c r="AE333" i="17" s="1"/>
  <c r="AD342" i="17"/>
  <c r="AE342" i="17" s="1"/>
  <c r="AD525" i="17"/>
  <c r="AE525" i="17" s="1"/>
  <c r="AD234" i="17"/>
  <c r="AE234" i="17" s="1"/>
  <c r="AD253" i="17"/>
  <c r="AE253" i="17" s="1"/>
  <c r="AD143" i="17"/>
  <c r="AE143" i="17" s="1"/>
  <c r="AD490" i="17"/>
  <c r="AE490" i="17" s="1"/>
  <c r="AD369" i="17"/>
  <c r="AE369" i="17" s="1"/>
  <c r="AD419" i="17"/>
  <c r="AE419" i="17" s="1"/>
  <c r="AD307" i="17"/>
  <c r="AE307" i="17" s="1"/>
  <c r="AD81" i="17"/>
  <c r="AE81" i="17" s="1"/>
  <c r="AD471" i="17"/>
  <c r="AE471" i="17" s="1"/>
  <c r="AD537" i="17"/>
  <c r="AE537" i="17" s="1"/>
  <c r="AD241" i="17"/>
  <c r="AE241" i="17" s="1"/>
  <c r="AD551" i="17"/>
  <c r="AE551" i="17" s="1"/>
  <c r="AD383" i="17"/>
  <c r="AE383" i="17" s="1"/>
  <c r="AD331" i="17"/>
  <c r="AE331" i="17" s="1"/>
  <c r="AD274" i="17"/>
  <c r="AE274" i="17" s="1"/>
  <c r="AD47" i="17"/>
  <c r="AE47" i="17" s="1"/>
  <c r="AD567" i="17"/>
  <c r="AE567" i="17" s="1"/>
  <c r="AD413" i="17"/>
  <c r="AE413" i="17" s="1"/>
  <c r="AD322" i="17"/>
  <c r="AE322" i="17" s="1"/>
  <c r="AD151" i="17"/>
  <c r="AE151" i="17" s="1"/>
  <c r="AD539" i="17"/>
  <c r="AE539" i="17" s="1"/>
  <c r="AD170" i="17"/>
  <c r="AE170" i="17" s="1"/>
  <c r="AD27" i="17"/>
  <c r="AE27" i="17" s="1"/>
  <c r="AD231" i="17"/>
  <c r="AE231" i="17" s="1"/>
  <c r="AD16" i="17"/>
  <c r="AE16" i="17" s="1"/>
  <c r="AD175" i="17"/>
  <c r="AE175" i="17" s="1"/>
  <c r="AD466" i="17"/>
  <c r="AE466" i="17" s="1"/>
  <c r="AD60" i="17"/>
  <c r="AE60" i="17" s="1"/>
  <c r="AD28" i="17"/>
  <c r="AE28" i="17" s="1"/>
  <c r="AD304" i="17"/>
  <c r="AE304" i="17" s="1"/>
  <c r="AD195" i="17"/>
  <c r="AE195" i="17" s="1"/>
  <c r="R624" i="17"/>
  <c r="S624" i="17" s="1"/>
  <c r="AA624" i="17"/>
  <c r="E634" i="17" s="1"/>
  <c r="R625" i="17"/>
  <c r="S625" i="17" s="1"/>
  <c r="AA625" i="17"/>
  <c r="E635" i="17" s="1"/>
  <c r="AD372" i="17"/>
  <c r="AE372" i="17" s="1"/>
  <c r="AD280" i="17"/>
  <c r="AE280" i="17" s="1"/>
  <c r="AD590" i="17"/>
  <c r="AE590" i="17" s="1"/>
  <c r="AD71" i="17"/>
  <c r="AE71" i="17" s="1"/>
  <c r="AD493" i="17"/>
  <c r="AE493" i="17" s="1"/>
  <c r="AD319" i="17"/>
  <c r="AE319" i="17" s="1"/>
  <c r="AD73" i="17"/>
  <c r="AE73" i="17" s="1"/>
  <c r="AD111" i="17"/>
  <c r="AE111" i="17" s="1"/>
  <c r="AD131" i="17"/>
  <c r="AE131" i="17" s="1"/>
  <c r="AD427" i="17"/>
  <c r="AE427" i="17" s="1"/>
  <c r="AD298" i="17"/>
  <c r="AE298" i="17" s="1"/>
  <c r="Q627" i="17"/>
  <c r="AB624" i="17"/>
  <c r="Q624" i="17"/>
  <c r="D634" i="17" s="1"/>
  <c r="Q625" i="17"/>
  <c r="D635" i="17" s="1"/>
  <c r="AD394" i="17"/>
  <c r="AE394" i="17" s="1"/>
  <c r="AD72" i="17"/>
  <c r="AE72" i="17" s="1"/>
  <c r="AD378" i="17"/>
  <c r="AE378" i="17" s="1"/>
  <c r="AD246" i="17"/>
  <c r="AE246" i="17" s="1"/>
  <c r="AD80" i="17"/>
  <c r="AE80" i="17" s="1"/>
  <c r="AD305" i="17"/>
  <c r="AE305" i="17" s="1"/>
  <c r="AD348" i="17"/>
  <c r="AE348" i="17" s="1"/>
  <c r="AD411" i="17"/>
  <c r="AE411" i="17" s="1"/>
  <c r="AD276" i="17"/>
  <c r="AE276" i="17" s="1"/>
  <c r="AD472" i="17"/>
  <c r="AE472" i="17" s="1"/>
  <c r="AD63" i="17"/>
  <c r="AE63" i="17" s="1"/>
  <c r="AD477" i="17"/>
  <c r="AE477" i="17" s="1"/>
  <c r="AD475" i="17"/>
  <c r="AE475" i="17" s="1"/>
  <c r="AD347" i="17"/>
  <c r="AE347" i="17" s="1"/>
  <c r="AD447" i="17"/>
  <c r="AE447" i="17" s="1"/>
  <c r="AD513" i="17"/>
  <c r="AE513" i="17" s="1"/>
  <c r="AD586" i="17"/>
  <c r="AE586" i="17" s="1"/>
  <c r="AD476" i="17"/>
  <c r="AE476" i="17" s="1"/>
  <c r="AD371" i="17"/>
  <c r="AE371" i="17" s="1"/>
  <c r="AD431" i="17"/>
  <c r="AE431" i="17" s="1"/>
  <c r="AD140" i="17"/>
  <c r="AE140" i="17" s="1"/>
  <c r="AD349" i="17"/>
  <c r="AE349" i="17" s="1"/>
  <c r="AD316" i="17"/>
  <c r="AE316" i="17" s="1"/>
  <c r="AD232" i="17"/>
  <c r="AE232" i="17" s="1"/>
  <c r="AD296" i="17"/>
  <c r="AE296" i="17" s="1"/>
  <c r="AD535" i="17"/>
  <c r="AE535" i="17" s="1"/>
  <c r="AD139" i="17"/>
  <c r="AE139" i="17" s="1"/>
  <c r="AD439" i="17"/>
  <c r="AE439" i="17" s="1"/>
  <c r="AD503" i="17"/>
  <c r="AE503" i="17" s="1"/>
  <c r="AD303" i="17"/>
  <c r="AE303" i="17" s="1"/>
  <c r="AD290" i="17"/>
  <c r="AE290" i="17" s="1"/>
  <c r="AD301" i="17"/>
  <c r="AE301" i="17" s="1"/>
  <c r="AD239" i="17"/>
  <c r="AE239" i="17" s="1"/>
  <c r="AD375" i="17"/>
  <c r="AE375" i="17" s="1"/>
  <c r="AD407" i="17"/>
  <c r="AE407" i="17" s="1"/>
  <c r="AD587" i="17"/>
  <c r="AE587" i="17" s="1"/>
  <c r="AD158" i="17"/>
  <c r="AE158" i="17" s="1"/>
  <c r="AD57" i="17"/>
  <c r="AE57" i="17" s="1"/>
  <c r="AD67" i="17"/>
  <c r="AE67" i="17" s="1"/>
  <c r="AD344" i="17"/>
  <c r="AE344" i="17" s="1"/>
  <c r="AD258" i="17"/>
  <c r="AE258" i="17" s="1"/>
  <c r="AD251" i="17"/>
  <c r="AE251" i="17" s="1"/>
  <c r="AD504" i="17"/>
  <c r="AE504" i="17" s="1"/>
  <c r="AD566" i="17"/>
  <c r="AE566" i="17" s="1"/>
  <c r="AD399" i="17"/>
  <c r="AE399" i="17" s="1"/>
  <c r="AD112" i="17"/>
  <c r="AE112" i="17" s="1"/>
  <c r="AD203" i="17"/>
  <c r="AE203" i="17" s="1"/>
  <c r="AD465" i="17"/>
  <c r="AE465" i="17" s="1"/>
  <c r="AD286" i="17"/>
  <c r="AE286" i="17" s="1"/>
  <c r="AD208" i="17"/>
  <c r="AE208" i="17" s="1"/>
  <c r="AD512" i="17"/>
  <c r="AE512" i="17" s="1"/>
  <c r="AD412" i="17"/>
  <c r="AE412" i="17" s="1"/>
  <c r="AD121" i="17"/>
  <c r="AE121" i="17" s="1"/>
  <c r="AD571" i="17"/>
  <c r="AE571" i="17" s="1"/>
  <c r="AD600" i="17"/>
  <c r="AE600" i="17" s="1"/>
  <c r="AD15" i="17"/>
  <c r="AE15" i="17" s="1"/>
  <c r="AD168" i="17"/>
  <c r="AE168" i="17" s="1"/>
  <c r="AD393" i="17"/>
  <c r="AE393" i="17" s="1"/>
  <c r="AD554" i="17"/>
  <c r="AE554" i="17" s="1"/>
  <c r="AD458" i="17"/>
  <c r="AE458" i="17" s="1"/>
  <c r="AD314" i="17"/>
  <c r="AE314" i="17" s="1"/>
  <c r="AD36" i="17"/>
  <c r="AE36" i="17" s="1"/>
  <c r="AD346" i="17"/>
  <c r="AE346" i="17" s="1"/>
  <c r="AD592" i="17"/>
  <c r="AE592" i="17" s="1"/>
  <c r="AD376" i="17"/>
  <c r="AE376" i="17" s="1"/>
  <c r="AD377" i="17"/>
  <c r="AE377" i="17" s="1"/>
  <c r="AD240" i="17"/>
  <c r="AE240" i="17" s="1"/>
  <c r="AD330" i="17"/>
  <c r="AE330" i="17" s="1"/>
  <c r="AD354" i="17"/>
  <c r="AE354" i="17" s="1"/>
  <c r="AD209" i="17"/>
  <c r="AE209" i="17" s="1"/>
  <c r="AD379" i="17"/>
  <c r="AE379" i="17" s="1"/>
  <c r="AD167" i="17"/>
  <c r="AE167" i="17" s="1"/>
  <c r="AD495" i="17"/>
  <c r="AE495" i="17" s="1"/>
  <c r="AD275" i="17"/>
  <c r="AE275" i="17" s="1"/>
  <c r="AD508" i="17"/>
  <c r="AE508" i="17" s="1"/>
  <c r="AD560" i="17"/>
  <c r="AE560" i="17" s="1"/>
  <c r="AD497" i="17"/>
  <c r="AE497" i="17" s="1"/>
  <c r="AD599" i="17"/>
  <c r="AE599" i="17" s="1"/>
  <c r="AD277" i="17"/>
  <c r="AE277" i="17" s="1"/>
  <c r="AD443" i="17"/>
  <c r="AE443" i="17" s="1"/>
  <c r="AD127" i="17"/>
  <c r="AE127" i="17" s="1"/>
  <c r="AD355" i="17"/>
  <c r="AE355" i="17" s="1"/>
  <c r="AD583" i="17"/>
  <c r="AE583" i="17" s="1"/>
  <c r="AD594" i="17"/>
  <c r="AE594" i="17" s="1"/>
  <c r="AD595" i="17"/>
  <c r="AE595" i="17" s="1"/>
  <c r="AD547" i="17"/>
  <c r="AE547" i="17" s="1"/>
  <c r="AD563" i="17"/>
  <c r="AE563" i="17" s="1"/>
  <c r="AD320" i="17"/>
  <c r="AE320" i="17" s="1"/>
  <c r="AD591" i="17"/>
  <c r="AE591" i="17" s="1"/>
  <c r="AD559" i="17"/>
  <c r="AE559" i="17" s="1"/>
  <c r="AD183" i="17"/>
  <c r="AE183" i="17" s="1"/>
  <c r="AD593" i="17"/>
  <c r="AE593" i="17" s="1"/>
  <c r="AD205" i="17"/>
  <c r="AE205" i="17" s="1"/>
  <c r="AD89" i="17"/>
  <c r="AE89" i="17" s="1"/>
  <c r="AD154" i="17"/>
  <c r="AE154" i="17" s="1"/>
  <c r="AD338" i="17"/>
  <c r="AE338" i="17" s="1"/>
  <c r="AD402" i="17"/>
  <c r="AE402" i="17" s="1"/>
  <c r="AD577" i="17"/>
  <c r="AE577" i="17" s="1"/>
  <c r="AD284" i="17"/>
  <c r="AE284" i="17" s="1"/>
  <c r="AD602" i="17"/>
  <c r="AE602" i="17" s="1"/>
  <c r="AD428" i="17"/>
  <c r="AE428" i="17" s="1"/>
  <c r="AD396" i="17"/>
  <c r="AE396" i="17" s="1"/>
  <c r="AD35" i="17"/>
  <c r="AE35" i="17" s="1"/>
  <c r="AD573" i="17"/>
  <c r="AE573" i="17" s="1"/>
  <c r="AD182" i="17"/>
  <c r="AE182" i="17" s="1"/>
  <c r="AD532" i="17"/>
  <c r="AE532" i="17" s="1"/>
  <c r="AD557" i="17"/>
  <c r="AE557" i="17" s="1"/>
  <c r="AD550" i="17"/>
  <c r="AE550" i="17" s="1"/>
  <c r="AD217" i="17"/>
  <c r="AE217" i="17" s="1"/>
  <c r="AD321" i="17"/>
  <c r="AE321" i="17" s="1"/>
  <c r="AD481" i="17"/>
  <c r="AE481" i="17" s="1"/>
  <c r="AD332" i="17"/>
  <c r="AE332" i="17" s="1"/>
  <c r="AD496" i="17"/>
  <c r="AE496" i="17" s="1"/>
  <c r="AD339" i="17"/>
  <c r="AE339" i="17" s="1"/>
  <c r="AD300" i="17"/>
  <c r="AE300" i="17" s="1"/>
  <c r="AD77" i="17"/>
  <c r="AE77" i="17" s="1"/>
  <c r="AD45" i="17"/>
  <c r="AE45" i="17" s="1"/>
  <c r="AD13" i="17"/>
  <c r="AE13" i="17" s="1"/>
  <c r="AD102" i="17"/>
  <c r="AE102" i="17" s="1"/>
  <c r="AD91" i="17"/>
  <c r="AE91" i="17" s="1"/>
  <c r="AD178" i="17"/>
  <c r="AE178" i="17" s="1"/>
  <c r="AD442" i="17"/>
  <c r="AE442" i="17" s="1"/>
  <c r="AD552" i="17"/>
  <c r="AE552" i="17" s="1"/>
  <c r="AD173" i="17"/>
  <c r="AE173" i="17" s="1"/>
  <c r="AD574" i="17"/>
  <c r="AE574" i="17" s="1"/>
  <c r="AD520" i="17"/>
  <c r="AE520" i="17" s="1"/>
  <c r="AD242" i="17"/>
  <c r="AE242" i="17" s="1"/>
  <c r="AD31" i="17"/>
  <c r="AE31" i="17" s="1"/>
  <c r="AD367" i="17"/>
  <c r="AE367" i="17" s="1"/>
  <c r="AD43" i="17"/>
  <c r="AE43" i="17" s="1"/>
  <c r="AD51" i="17"/>
  <c r="AE51" i="17" s="1"/>
  <c r="AD523" i="17"/>
  <c r="AE523" i="17" s="1"/>
  <c r="AD79" i="17"/>
  <c r="AE79" i="17" s="1"/>
  <c r="AD313" i="17"/>
  <c r="AE313" i="17" s="1"/>
  <c r="AD220" i="17"/>
  <c r="AE220" i="17" s="1"/>
  <c r="AD150" i="17"/>
  <c r="AE150" i="17" s="1"/>
  <c r="AD408" i="17"/>
  <c r="AE408" i="17" s="1"/>
  <c r="AD41" i="17"/>
  <c r="AE41" i="17" s="1"/>
  <c r="AD384" i="17"/>
  <c r="AE384" i="17" s="1"/>
  <c r="AD92" i="17"/>
  <c r="AE92" i="17" s="1"/>
  <c r="AD106" i="17"/>
  <c r="AE106" i="17" s="1"/>
  <c r="AD98" i="17"/>
  <c r="AE98" i="17" s="1"/>
  <c r="AD66" i="17"/>
  <c r="AE66" i="17" s="1"/>
  <c r="AD194" i="17"/>
  <c r="AE194" i="17" s="1"/>
  <c r="AD366" i="17"/>
  <c r="AE366" i="17" s="1"/>
  <c r="AD450" i="17"/>
  <c r="AE450" i="17" s="1"/>
  <c r="AD526" i="17"/>
  <c r="AE526" i="17" s="1"/>
  <c r="AD589" i="17"/>
  <c r="AE589" i="17" s="1"/>
  <c r="AD565" i="17"/>
  <c r="AE565" i="17" s="1"/>
  <c r="AD581" i="17"/>
  <c r="AE581" i="17" s="1"/>
  <c r="AD169" i="17"/>
  <c r="AE169" i="17" s="1"/>
  <c r="AD273" i="17"/>
  <c r="AE273" i="17" s="1"/>
  <c r="AD548" i="17"/>
  <c r="AE548" i="17" s="1"/>
  <c r="AD588" i="17"/>
  <c r="AE588" i="17" s="1"/>
  <c r="AD306" i="17"/>
  <c r="AE306" i="17" s="1"/>
  <c r="AD157" i="17"/>
  <c r="AE157" i="17" s="1"/>
  <c r="AD189" i="17"/>
  <c r="AE189" i="17" s="1"/>
  <c r="AD221" i="17"/>
  <c r="AE221" i="17" s="1"/>
  <c r="AD99" i="17"/>
  <c r="AE99" i="17" s="1"/>
  <c r="AD444" i="17"/>
  <c r="AE444" i="17" s="1"/>
  <c r="AD128" i="17"/>
  <c r="AE128" i="17" s="1"/>
  <c r="AD144" i="17"/>
  <c r="AE144" i="17" s="1"/>
  <c r="AD464" i="17"/>
  <c r="AE464" i="17" s="1"/>
  <c r="AD395" i="17"/>
  <c r="AE395" i="17" s="1"/>
  <c r="AD491" i="17"/>
  <c r="AE491" i="17" s="1"/>
  <c r="AD191" i="17"/>
  <c r="AE191" i="17" s="1"/>
  <c r="AD247" i="17"/>
  <c r="AE247" i="17" s="1"/>
  <c r="AD361" i="17"/>
  <c r="AE361" i="17" s="1"/>
  <c r="AD417" i="17"/>
  <c r="AE417" i="17" s="1"/>
  <c r="AD343" i="17"/>
  <c r="AE343" i="17" s="1"/>
  <c r="AD415" i="17"/>
  <c r="AE415" i="17" s="1"/>
  <c r="AD479" i="17"/>
  <c r="AE479" i="17" s="1"/>
  <c r="AD248" i="17"/>
  <c r="AE248" i="17" s="1"/>
  <c r="AD264" i="17"/>
  <c r="AE264" i="17" s="1"/>
  <c r="AD278" i="17"/>
  <c r="AE278" i="17" s="1"/>
  <c r="AD198" i="17"/>
  <c r="AE198" i="17" s="1"/>
  <c r="AD219" i="17"/>
  <c r="AE219" i="17" s="1"/>
  <c r="AD531" i="17"/>
  <c r="AE531" i="17" s="1"/>
  <c r="AD459" i="17"/>
  <c r="AE459" i="17" s="1"/>
  <c r="AD460" i="17"/>
  <c r="AE460" i="17" s="1"/>
  <c r="AD272" i="17"/>
  <c r="AE272" i="17" s="1"/>
  <c r="AD236" i="17"/>
  <c r="AE236" i="17" s="1"/>
  <c r="AD463" i="17"/>
  <c r="AE463" i="17" s="1"/>
  <c r="AD605" i="17"/>
  <c r="AE605" i="17" s="1"/>
  <c r="AD104" i="17"/>
  <c r="AE104" i="17" s="1"/>
  <c r="AD118" i="17"/>
  <c r="AE118" i="17" s="1"/>
  <c r="AD435" i="17"/>
  <c r="AE435" i="17" s="1"/>
  <c r="AD309" i="17"/>
  <c r="AE309" i="17" s="1"/>
  <c r="AD312" i="17"/>
  <c r="AE312" i="17" s="1"/>
  <c r="AD166" i="17"/>
  <c r="AE166" i="17" s="1"/>
  <c r="AD432" i="17"/>
  <c r="AE432" i="17" s="1"/>
  <c r="AD40" i="17"/>
  <c r="AE40" i="17" s="1"/>
  <c r="AD126" i="17"/>
  <c r="AE126" i="17" s="1"/>
  <c r="AD190" i="17"/>
  <c r="AE190" i="17" s="1"/>
  <c r="AD108" i="17"/>
  <c r="AE108" i="17" s="1"/>
  <c r="AD76" i="17"/>
  <c r="AE76" i="17" s="1"/>
  <c r="AD162" i="17"/>
  <c r="AE162" i="17" s="1"/>
  <c r="AD250" i="17"/>
  <c r="AE250" i="17" s="1"/>
  <c r="AD334" i="17"/>
  <c r="AE334" i="17" s="1"/>
  <c r="AD418" i="17"/>
  <c r="AE418" i="17" s="1"/>
  <c r="AD536" i="17"/>
  <c r="AE536" i="17" s="1"/>
  <c r="AD222" i="17"/>
  <c r="AE222" i="17" s="1"/>
  <c r="AD254" i="17"/>
  <c r="AE254" i="17" s="1"/>
  <c r="AD530" i="17"/>
  <c r="AE530" i="17" s="1"/>
  <c r="AD230" i="17"/>
  <c r="AE230" i="17" s="1"/>
  <c r="AD262" i="17"/>
  <c r="AE262" i="17" s="1"/>
  <c r="AD302" i="17"/>
  <c r="AE302" i="17" s="1"/>
  <c r="AD249" i="17"/>
  <c r="AE249" i="17" s="1"/>
  <c r="AD281" i="17"/>
  <c r="AE281" i="17" s="1"/>
  <c r="AD433" i="17"/>
  <c r="AE433" i="17" s="1"/>
  <c r="AD245" i="17"/>
  <c r="AE245" i="17" s="1"/>
  <c r="AD285" i="17"/>
  <c r="AE285" i="17" s="1"/>
  <c r="AD576" i="17"/>
  <c r="AE576" i="17" s="1"/>
  <c r="AD184" i="17"/>
  <c r="AE184" i="17" s="1"/>
  <c r="AD492" i="17"/>
  <c r="AE492" i="17" s="1"/>
  <c r="AD192" i="17"/>
  <c r="AE192" i="17" s="1"/>
  <c r="AD364" i="17"/>
  <c r="AE364" i="17" s="1"/>
  <c r="AD380" i="17"/>
  <c r="AE380" i="17" s="1"/>
  <c r="AD416" i="17"/>
  <c r="AE416" i="17" s="1"/>
  <c r="AD448" i="17"/>
  <c r="AE448" i="17" s="1"/>
  <c r="AD311" i="17"/>
  <c r="AE311" i="17" s="1"/>
  <c r="AD575" i="17"/>
  <c r="AE575" i="17" s="1"/>
  <c r="AD224" i="17"/>
  <c r="AE224" i="17" s="1"/>
  <c r="AD171" i="17"/>
  <c r="AE171" i="17" s="1"/>
  <c r="AD336" i="17"/>
  <c r="AE336" i="17" s="1"/>
  <c r="AD606" i="17"/>
  <c r="AE606" i="17" s="1"/>
  <c r="AD271" i="17"/>
  <c r="AE271" i="17" s="1"/>
  <c r="AD461" i="17"/>
  <c r="AE461" i="17" s="1"/>
  <c r="AD601" i="17"/>
  <c r="AE601" i="17" s="1"/>
  <c r="AD363" i="17"/>
  <c r="AE363" i="17" s="1"/>
  <c r="AD351" i="17"/>
  <c r="AE351" i="17" s="1"/>
  <c r="AD480" i="17"/>
  <c r="AE480" i="17" s="1"/>
  <c r="AD100" i="17"/>
  <c r="AE100" i="17" s="1"/>
  <c r="AD335" i="17"/>
  <c r="AE335" i="17" s="1"/>
  <c r="AD294" i="17"/>
  <c r="AE294" i="17" s="1"/>
  <c r="AD267" i="17"/>
  <c r="AE267" i="17" s="1"/>
  <c r="AD365" i="17"/>
  <c r="AE365" i="17" s="1"/>
  <c r="AD543" i="17"/>
  <c r="AE543" i="17" s="1"/>
  <c r="AD52" i="17"/>
  <c r="AE52" i="17" s="1"/>
  <c r="AD14" i="17"/>
  <c r="AE14" i="17" s="1"/>
  <c r="AD436" i="17"/>
  <c r="AE436" i="17" s="1"/>
  <c r="AD500" i="17"/>
  <c r="AE500" i="17" s="1"/>
  <c r="AD310" i="17"/>
  <c r="AE310" i="17" s="1"/>
  <c r="AD564" i="17"/>
  <c r="AE564" i="17" s="1"/>
  <c r="AD604" i="17"/>
  <c r="AE604" i="17" s="1"/>
  <c r="AD107" i="17"/>
  <c r="AE107" i="17" s="1"/>
  <c r="AD34" i="17"/>
  <c r="AE34" i="17" s="1"/>
  <c r="AD96" i="17"/>
  <c r="AE96" i="17" s="1"/>
  <c r="AD110" i="17"/>
  <c r="AE110" i="17" s="1"/>
  <c r="AD84" i="17"/>
  <c r="AE84" i="17" s="1"/>
  <c r="AD44" i="17"/>
  <c r="AE44" i="17" s="1"/>
  <c r="AD146" i="17"/>
  <c r="AE146" i="17" s="1"/>
  <c r="AD122" i="17"/>
  <c r="AE122" i="17" s="1"/>
  <c r="AD138" i="17"/>
  <c r="AE138" i="17" s="1"/>
  <c r="AD370" i="17"/>
  <c r="AE370" i="17" s="1"/>
  <c r="AD386" i="17"/>
  <c r="AE386" i="17" s="1"/>
  <c r="AD519" i="17"/>
  <c r="AE519" i="17" s="1"/>
  <c r="AD524" i="17"/>
  <c r="AE524" i="17" s="1"/>
  <c r="AD426" i="17"/>
  <c r="AE426" i="17" s="1"/>
  <c r="AD434" i="17"/>
  <c r="AE434" i="17" s="1"/>
  <c r="AD561" i="17"/>
  <c r="AE561" i="17" s="1"/>
  <c r="AD518" i="17"/>
  <c r="AE518" i="17" s="1"/>
  <c r="AD522" i="17"/>
  <c r="AE522" i="17" s="1"/>
  <c r="AD538" i="17"/>
  <c r="AE538" i="17" s="1"/>
  <c r="AD214" i="17"/>
  <c r="AE214" i="17" s="1"/>
  <c r="AD113" i="17"/>
  <c r="AE113" i="17" s="1"/>
  <c r="AD153" i="17"/>
  <c r="AE153" i="17" s="1"/>
  <c r="AD225" i="17"/>
  <c r="AE225" i="17" s="1"/>
  <c r="AD289" i="17"/>
  <c r="AE289" i="17" s="1"/>
  <c r="AD572" i="17"/>
  <c r="AE572" i="17" s="1"/>
  <c r="AD505" i="17"/>
  <c r="AE505" i="17" s="1"/>
  <c r="AD282" i="17"/>
  <c r="AE282" i="17" s="1"/>
  <c r="AD197" i="17"/>
  <c r="AE197" i="17" s="1"/>
  <c r="AD603" i="17"/>
  <c r="AE603" i="17" s="1"/>
  <c r="AD75" i="17"/>
  <c r="AE75" i="17" s="1"/>
  <c r="AD609" i="17"/>
  <c r="AE609" i="17" s="1"/>
  <c r="AD252" i="17"/>
  <c r="AE252" i="17" s="1"/>
  <c r="AD345" i="17"/>
  <c r="AE345" i="17" s="1"/>
  <c r="AD357" i="17"/>
  <c r="AE357" i="17" s="1"/>
  <c r="AD61" i="17"/>
  <c r="AE61" i="17" s="1"/>
  <c r="AD53" i="17"/>
  <c r="AE53" i="17" s="1"/>
  <c r="AD163" i="17"/>
  <c r="AE163" i="17" s="1"/>
  <c r="AD288" i="17"/>
  <c r="AE288" i="17" s="1"/>
  <c r="AD59" i="17"/>
  <c r="AE59" i="17" s="1"/>
  <c r="AD283" i="17"/>
  <c r="AE283" i="17" s="1"/>
  <c r="AD207" i="17"/>
  <c r="AE207" i="17" s="1"/>
  <c r="AD39" i="17"/>
  <c r="AE39" i="17" s="1"/>
  <c r="AD210" i="17"/>
  <c r="AE210" i="17" s="1"/>
  <c r="AD186" i="17"/>
  <c r="AE186" i="17" s="1"/>
  <c r="AD528" i="17"/>
  <c r="AE528" i="17" s="1"/>
  <c r="AD78" i="17"/>
  <c r="AE78" i="17" s="1"/>
  <c r="AD489" i="17"/>
  <c r="AE489" i="17" s="1"/>
  <c r="AD33" i="17"/>
  <c r="AE33" i="17" s="1"/>
  <c r="AD196" i="17"/>
  <c r="AE196" i="17" s="1"/>
  <c r="AD360" i="17"/>
  <c r="AE360" i="17" s="1"/>
  <c r="AD409" i="17"/>
  <c r="AE409" i="17" s="1"/>
  <c r="AD509" i="17"/>
  <c r="AE509" i="17" s="1"/>
  <c r="AD86" i="17"/>
  <c r="AE86" i="17" s="1"/>
  <c r="AD22" i="17"/>
  <c r="AE22" i="17" s="1"/>
  <c r="AD297" i="17"/>
  <c r="AE297" i="17" s="1"/>
  <c r="AD179" i="17"/>
  <c r="AE179" i="17" s="1"/>
  <c r="AD373" i="17"/>
  <c r="AE373" i="17" s="1"/>
  <c r="AD546" i="17"/>
  <c r="AE546" i="17" s="1"/>
  <c r="AD238" i="17"/>
  <c r="AE238" i="17" s="1"/>
  <c r="AD562" i="17"/>
  <c r="AE562" i="17" s="1"/>
  <c r="AD541" i="17"/>
  <c r="AE541" i="17" s="1"/>
  <c r="AD187" i="17"/>
  <c r="AE187" i="17" s="1"/>
  <c r="AD608" i="17"/>
  <c r="AE608" i="17" s="1"/>
  <c r="AD325" i="17"/>
  <c r="AE325" i="17" s="1"/>
  <c r="AD469" i="17"/>
  <c r="AE469" i="17" s="1"/>
  <c r="AD467" i="17"/>
  <c r="AE467" i="17" s="1"/>
  <c r="AD56" i="17"/>
  <c r="AE56" i="17" s="1"/>
  <c r="AD174" i="17"/>
  <c r="AE174" i="17" s="1"/>
  <c r="AD46" i="17"/>
  <c r="AE46" i="17" s="1"/>
  <c r="AD410" i="17"/>
  <c r="AE410" i="17" s="1"/>
  <c r="AD438" i="17"/>
  <c r="AE438" i="17" s="1"/>
  <c r="AD446" i="17"/>
  <c r="AE446" i="17" s="1"/>
  <c r="AD478" i="17"/>
  <c r="AE478" i="17" s="1"/>
  <c r="AD486" i="17"/>
  <c r="AE486" i="17" s="1"/>
  <c r="AD510" i="17"/>
  <c r="AE510" i="17" s="1"/>
  <c r="AD553" i="17"/>
  <c r="AE553" i="17" s="1"/>
  <c r="AD585" i="17"/>
  <c r="AE585" i="17" s="1"/>
  <c r="AD120" i="17"/>
  <c r="AE120" i="17" s="1"/>
  <c r="AD358" i="17"/>
  <c r="AE358" i="17" s="1"/>
  <c r="AD406" i="17"/>
  <c r="AE406" i="17" s="1"/>
  <c r="AD506" i="17"/>
  <c r="AE506" i="17" s="1"/>
  <c r="AD542" i="17"/>
  <c r="AE542" i="17" s="1"/>
  <c r="AD266" i="17"/>
  <c r="AE266" i="17" s="1"/>
  <c r="AD233" i="17"/>
  <c r="AE233" i="17" s="1"/>
  <c r="AD457" i="17"/>
  <c r="AE457" i="17" s="1"/>
  <c r="AD165" i="17"/>
  <c r="AE165" i="17" s="1"/>
  <c r="AD261" i="17"/>
  <c r="AE261" i="17" s="1"/>
  <c r="AD172" i="17"/>
  <c r="AE172" i="17" s="1"/>
  <c r="AD188" i="17"/>
  <c r="AE188" i="17" s="1"/>
  <c r="AD204" i="17"/>
  <c r="AE204" i="17" s="1"/>
  <c r="AD308" i="17"/>
  <c r="AE308" i="17" s="1"/>
  <c r="AD87" i="17"/>
  <c r="AE87" i="17" s="1"/>
  <c r="AD227" i="17"/>
  <c r="AE227" i="17" s="1"/>
  <c r="AD159" i="17"/>
  <c r="AE159" i="17" s="1"/>
  <c r="AD243" i="17"/>
  <c r="AE243" i="17" s="1"/>
  <c r="AD65" i="17"/>
  <c r="AE65" i="17" s="1"/>
  <c r="AD521" i="17"/>
  <c r="AE521" i="17" s="1"/>
  <c r="AD135" i="17"/>
  <c r="AE135" i="17" s="1"/>
  <c r="AD25" i="17"/>
  <c r="AE25" i="17" s="1"/>
  <c r="AD83" i="17"/>
  <c r="AE83" i="17" s="1"/>
  <c r="AD136" i="17"/>
  <c r="AE136" i="17" s="1"/>
  <c r="AD48" i="17"/>
  <c r="AE48" i="17" s="1"/>
  <c r="AD20" i="17"/>
  <c r="AE20" i="17" s="1"/>
  <c r="AD134" i="17"/>
  <c r="AE134" i="17" s="1"/>
  <c r="AD569" i="17"/>
  <c r="AE569" i="17" s="1"/>
  <c r="AD570" i="17"/>
  <c r="AE570" i="17" s="1"/>
  <c r="AD326" i="17"/>
  <c r="AE326" i="17" s="1"/>
  <c r="AD350" i="17"/>
  <c r="AE350" i="17" s="1"/>
  <c r="AD374" i="17"/>
  <c r="AE374" i="17" s="1"/>
  <c r="AD545" i="17"/>
  <c r="AE545" i="17" s="1"/>
  <c r="AD578" i="17"/>
  <c r="AE578" i="17" s="1"/>
  <c r="AD534" i="17"/>
  <c r="AE534" i="17" s="1"/>
  <c r="AD558" i="17"/>
  <c r="AE558" i="17" s="1"/>
  <c r="AD549" i="17"/>
  <c r="AE549" i="17" s="1"/>
  <c r="AD582" i="17"/>
  <c r="AE582" i="17" s="1"/>
  <c r="AD177" i="17"/>
  <c r="AE177" i="17" s="1"/>
  <c r="AD185" i="17"/>
  <c r="AE185" i="17" s="1"/>
  <c r="AD473" i="17"/>
  <c r="AE473" i="17" s="1"/>
  <c r="AD579" i="17"/>
  <c r="AE579" i="17" s="1"/>
  <c r="AD117" i="17"/>
  <c r="AE117" i="17" s="1"/>
  <c r="AD125" i="17"/>
  <c r="AE125" i="17" s="1"/>
  <c r="AD213" i="17"/>
  <c r="AE213" i="17" s="1"/>
  <c r="AD568" i="17"/>
  <c r="AE568" i="17" s="1"/>
  <c r="AD501" i="17"/>
  <c r="AE501" i="17" s="1"/>
  <c r="AD103" i="17"/>
  <c r="AE103" i="17" s="1"/>
  <c r="AD95" i="17"/>
  <c r="AE95" i="17" s="1"/>
  <c r="AD19" i="17"/>
  <c r="AE19" i="17" s="1"/>
  <c r="AD49" i="17"/>
  <c r="AE49" i="17" s="1"/>
  <c r="AD37" i="17"/>
  <c r="AE37" i="17" s="1"/>
  <c r="AD176" i="17"/>
  <c r="AE176" i="17" s="1"/>
  <c r="AD212" i="17"/>
  <c r="AE212" i="17" s="1"/>
  <c r="AD199" i="17"/>
  <c r="AE199" i="17" s="1"/>
  <c r="AD295" i="17"/>
  <c r="AE295" i="17" s="1"/>
  <c r="AD423" i="17"/>
  <c r="AE423" i="17" s="1"/>
  <c r="AD115" i="17"/>
  <c r="AE115" i="17" s="1"/>
  <c r="AD155" i="17"/>
  <c r="AE155" i="17" s="1"/>
  <c r="AD381" i="17"/>
  <c r="AE381" i="17" s="1"/>
  <c r="AD206" i="17"/>
  <c r="AE206" i="17" s="1"/>
  <c r="AD533" i="17"/>
  <c r="AE533" i="17" s="1"/>
  <c r="AD359" i="17"/>
  <c r="AE359" i="17" s="1"/>
  <c r="AD529" i="17"/>
  <c r="AE529" i="17" s="1"/>
  <c r="AD403" i="17"/>
  <c r="AE403" i="17" s="1"/>
  <c r="AD235" i="17"/>
  <c r="AE235" i="17" s="1"/>
  <c r="AD142" i="17"/>
  <c r="AE142" i="17" s="1"/>
  <c r="AD70" i="17"/>
  <c r="AE70" i="17" s="1"/>
  <c r="AD130" i="17"/>
  <c r="AE130" i="17" s="1"/>
  <c r="AD90" i="17"/>
  <c r="AE90" i="17" s="1"/>
  <c r="AD82" i="17"/>
  <c r="AE82" i="17" s="1"/>
  <c r="AD74" i="17"/>
  <c r="AE74" i="17" s="1"/>
  <c r="AD58" i="17"/>
  <c r="AE58" i="17" s="1"/>
  <c r="AD50" i="17"/>
  <c r="AE50" i="17" s="1"/>
  <c r="AD42" i="17"/>
  <c r="AE42" i="17" s="1"/>
  <c r="AD26" i="17"/>
  <c r="AE26" i="17" s="1"/>
  <c r="AD18" i="17"/>
  <c r="AE18" i="17" s="1"/>
  <c r="AD362" i="17"/>
  <c r="AE362" i="17" s="1"/>
  <c r="AD430" i="17"/>
  <c r="AE430" i="17" s="1"/>
  <c r="AD462" i="17"/>
  <c r="AE462" i="17" s="1"/>
  <c r="AD470" i="17"/>
  <c r="AE470" i="17" s="1"/>
  <c r="AD494" i="17"/>
  <c r="AE494" i="17" s="1"/>
  <c r="AD502" i="17"/>
  <c r="AE502" i="17" s="1"/>
  <c r="AD202" i="17"/>
  <c r="AE202" i="17" s="1"/>
  <c r="AD218" i="17"/>
  <c r="AE218" i="17" s="1"/>
  <c r="AD474" i="17"/>
  <c r="AE474" i="17" s="1"/>
  <c r="AD482" i="17"/>
  <c r="AE482" i="17" s="1"/>
  <c r="AD498" i="17"/>
  <c r="AE498" i="17" s="1"/>
  <c r="AD270" i="17"/>
  <c r="AE270" i="17" s="1"/>
  <c r="AD137" i="17"/>
  <c r="AE137" i="17" s="1"/>
  <c r="AD145" i="17"/>
  <c r="AE145" i="17" s="1"/>
  <c r="AD556" i="17"/>
  <c r="AE556" i="17" s="1"/>
  <c r="AD580" i="17"/>
  <c r="AE580" i="17" s="1"/>
  <c r="AD596" i="17"/>
  <c r="AE596" i="17" s="1"/>
  <c r="AD612" i="17"/>
  <c r="AE612" i="17" s="1"/>
  <c r="AD23" i="17"/>
  <c r="AE23" i="17" s="1"/>
  <c r="AD156" i="17"/>
  <c r="AE156" i="17" s="1"/>
  <c r="AD352" i="17"/>
  <c r="AE352" i="17" s="1"/>
  <c r="AD516" i="17"/>
  <c r="AE516" i="17" s="1"/>
  <c r="AD598" i="17"/>
  <c r="AE598" i="17" s="1"/>
  <c r="AD268" i="17"/>
  <c r="AE268" i="17" s="1"/>
  <c r="AD287" i="17"/>
  <c r="AE287" i="17" s="1"/>
  <c r="AD101" i="17"/>
  <c r="AE101" i="17" s="1"/>
  <c r="AD611" i="17"/>
  <c r="AE611" i="17" s="1"/>
  <c r="AD211" i="17"/>
  <c r="AE211" i="17" s="1"/>
  <c r="AD404" i="17"/>
  <c r="AE404" i="17" s="1"/>
  <c r="AD323" i="17"/>
  <c r="AE323" i="17" s="1"/>
  <c r="AD451" i="17"/>
  <c r="AE451" i="17" s="1"/>
  <c r="AD255" i="17"/>
  <c r="AE255" i="17" s="1"/>
  <c r="AD260" i="17"/>
  <c r="AE260" i="17" s="1"/>
  <c r="AD215" i="17"/>
  <c r="AE215" i="17" s="1"/>
  <c r="AD610" i="17"/>
  <c r="AE610" i="17" s="1"/>
  <c r="Y624" i="17"/>
  <c r="X624" i="17"/>
  <c r="Y625" i="17"/>
  <c r="AD132" i="17"/>
  <c r="AE132" i="17" s="1"/>
  <c r="AD164" i="17"/>
  <c r="AE164" i="17" s="1"/>
  <c r="AD180" i="17"/>
  <c r="AE180" i="17" s="1"/>
  <c r="AD424" i="17"/>
  <c r="AE424" i="17" s="1"/>
  <c r="AD244" i="17"/>
  <c r="AE244" i="17" s="1"/>
  <c r="AD391" i="17"/>
  <c r="AE391" i="17" s="1"/>
  <c r="AD200" i="17"/>
  <c r="AE200" i="17" s="1"/>
  <c r="AD291" i="17"/>
  <c r="AE291" i="17" s="1"/>
  <c r="AD388" i="17"/>
  <c r="AE388" i="17" s="1"/>
  <c r="AD24" i="17"/>
  <c r="AE24" i="17" s="1"/>
  <c r="AD88" i="17"/>
  <c r="AE88" i="17" s="1"/>
  <c r="AD94" i="17"/>
  <c r="AE94" i="17" s="1"/>
  <c r="AD62" i="17"/>
  <c r="AE62" i="17" s="1"/>
  <c r="AD54" i="17"/>
  <c r="AE54" i="17" s="1"/>
  <c r="AD38" i="17"/>
  <c r="AE38" i="17" s="1"/>
  <c r="AD30" i="17"/>
  <c r="AE30" i="17" s="1"/>
  <c r="AD318" i="17"/>
  <c r="AE318" i="17" s="1"/>
  <c r="AD382" i="17"/>
  <c r="AE382" i="17" s="1"/>
  <c r="AD398" i="17"/>
  <c r="AE398" i="17" s="1"/>
  <c r="AD133" i="17"/>
  <c r="AE133" i="17" s="1"/>
  <c r="AD544" i="17"/>
  <c r="AE544" i="17" s="1"/>
  <c r="AD453" i="17"/>
  <c r="AE453" i="17" s="1"/>
  <c r="AD93" i="17"/>
  <c r="AE93" i="17" s="1"/>
  <c r="AD29" i="17"/>
  <c r="AE29" i="17" s="1"/>
  <c r="AD124" i="17"/>
  <c r="AE124" i="17" s="1"/>
  <c r="AD148" i="17"/>
  <c r="AE148" i="17" s="1"/>
  <c r="AD160" i="17"/>
  <c r="AE160" i="17" s="1"/>
  <c r="AD440" i="17"/>
  <c r="AE440" i="17" s="1"/>
  <c r="AD483" i="17"/>
  <c r="AE483" i="17" s="1"/>
  <c r="AD228" i="17"/>
  <c r="AE228" i="17" s="1"/>
  <c r="AD279" i="17"/>
  <c r="AE279" i="17" s="1"/>
  <c r="AD337" i="17"/>
  <c r="AE337" i="17" s="1"/>
  <c r="AD401" i="17"/>
  <c r="AE401" i="17" s="1"/>
  <c r="AD327" i="17"/>
  <c r="AE327" i="17" s="1"/>
  <c r="AD455" i="17"/>
  <c r="AE455" i="17" s="1"/>
  <c r="AD597" i="17"/>
  <c r="AE597" i="17" s="1"/>
  <c r="AD317" i="17"/>
  <c r="AE317" i="17" s="1"/>
  <c r="AD389" i="17"/>
  <c r="AE389" i="17" s="1"/>
  <c r="AD397" i="17"/>
  <c r="AE397" i="17" s="1"/>
  <c r="AD161" i="17"/>
  <c r="AE161" i="17" s="1"/>
  <c r="AD193" i="17"/>
  <c r="AE193" i="17" s="1"/>
  <c r="AD201" i="17"/>
  <c r="AE201" i="17" s="1"/>
  <c r="AD265" i="17"/>
  <c r="AE265" i="17" s="1"/>
  <c r="AD517" i="17"/>
  <c r="AE517" i="17" s="1"/>
  <c r="AD425" i="17"/>
  <c r="AE425" i="17" s="1"/>
  <c r="AD441" i="17"/>
  <c r="AE441" i="17" s="1"/>
  <c r="AD607" i="17"/>
  <c r="AE607" i="17" s="1"/>
  <c r="AD149" i="17"/>
  <c r="AE149" i="17" s="1"/>
  <c r="AD181" i="17"/>
  <c r="AE181" i="17" s="1"/>
  <c r="AD229" i="17"/>
  <c r="AE229" i="17" s="1"/>
  <c r="AD293" i="17"/>
  <c r="AE293" i="17" s="1"/>
  <c r="AD152" i="17"/>
  <c r="AE152" i="17" s="1"/>
  <c r="AD328" i="17"/>
  <c r="AE328" i="17" s="1"/>
  <c r="AD392" i="17"/>
  <c r="AE392" i="17" s="1"/>
  <c r="AD356" i="17"/>
  <c r="AE356" i="17" s="1"/>
  <c r="AD420" i="17"/>
  <c r="AE420" i="17" s="1"/>
  <c r="AD484" i="17"/>
  <c r="AE484" i="17" s="1"/>
  <c r="AD69" i="17"/>
  <c r="AE69" i="17" s="1"/>
  <c r="AD324" i="17"/>
  <c r="AE324" i="17" s="1"/>
  <c r="AD340" i="17"/>
  <c r="AE340" i="17" s="1"/>
  <c r="AD456" i="17"/>
  <c r="AE456" i="17" s="1"/>
  <c r="AD387" i="17"/>
  <c r="AE387" i="17" s="1"/>
  <c r="AD515" i="17"/>
  <c r="AE515" i="17" s="1"/>
  <c r="AD119" i="17"/>
  <c r="AE119" i="17" s="1"/>
  <c r="AD414" i="17"/>
  <c r="AE414" i="17" s="1"/>
  <c r="AD452" i="17"/>
  <c r="AE452" i="17" s="1"/>
  <c r="AD141" i="17"/>
  <c r="AE141" i="17" s="1"/>
  <c r="AD421" i="17"/>
  <c r="AE421" i="17" s="1"/>
  <c r="AD485" i="17"/>
  <c r="AE485" i="17" s="1"/>
  <c r="AD368" i="17"/>
  <c r="AE368" i="17" s="1"/>
  <c r="AB625" i="17" l="1"/>
  <c r="AE7" i="17"/>
  <c r="Q4" i="17" s="1"/>
  <c r="AE9" i="17"/>
  <c r="Q5" i="17" s="1"/>
  <c r="B453" i="2" l="1"/>
  <c r="A453" i="2"/>
  <c r="A639" i="17"/>
  <c r="A640" i="17"/>
  <c r="D453" i="2"/>
  <c r="A617" i="17"/>
  <c r="F617" i="17" l="1"/>
  <c r="H617" i="17"/>
  <c r="G617" i="17"/>
  <c r="K617" i="17"/>
  <c r="I617" i="17"/>
  <c r="M617" i="17"/>
  <c r="C617" i="17"/>
  <c r="O617" i="17"/>
  <c r="J617" i="17"/>
  <c r="P617" i="17"/>
  <c r="A618" i="17"/>
  <c r="A619" i="17" s="1"/>
  <c r="L617" i="17"/>
  <c r="E617" i="17"/>
  <c r="N617" i="17"/>
  <c r="D617" i="17"/>
  <c r="R617" i="17" l="1"/>
  <c r="Q617" i="17"/>
  <c r="AB617" i="17"/>
  <c r="AA617" i="17"/>
  <c r="X617" i="17"/>
  <c r="Y617" i="17"/>
  <c r="R619" i="17" l="1"/>
  <c r="R620" i="17"/>
  <c r="S617" i="17"/>
  <c r="A454" i="2" s="1"/>
  <c r="B45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Timothy Hegarty</author>
    <author>BDATSC</author>
  </authors>
  <commentList>
    <comment ref="A3" authorId="0" shapeId="0" xr:uid="{00000000-0006-0000-0000-000001000000}">
      <text>
        <r>
          <rPr>
            <b/>
            <sz val="12"/>
            <color indexed="10"/>
            <rFont val="Tahoma"/>
            <family val="2"/>
          </rPr>
          <t>Welcome to the LM5176 Quickstart Design Tool</t>
        </r>
        <r>
          <rPr>
            <sz val="9"/>
            <color indexed="81"/>
            <rFont val="Tahoma"/>
            <family val="2"/>
          </rPr>
          <t xml:space="preserve">
This stand-alone tool facilitates and assists the power supply engineer with design of a DC/DC buck-boost converter based on the </t>
        </r>
        <r>
          <rPr>
            <b/>
            <sz val="9"/>
            <color indexed="81"/>
            <rFont val="Tahoma"/>
            <family val="2"/>
          </rPr>
          <t>LM5176 current-mode buck-boost controller</t>
        </r>
        <r>
          <rPr>
            <sz val="9"/>
            <color indexed="81"/>
            <rFont val="Tahoma"/>
            <family val="2"/>
          </rPr>
          <t xml:space="preserve">. As such, the user can expeditiously arrive at an optimized design by virtue of the following:
- Determine filter inductance and input and output filter capacitances
- Select components for soft-start, input UVLO and dither
- Optimize compensation values, slope compensation, and pole/zero placement in terms of control loop stability using crossover frequency as a performance metric
- Inspect converter efficiency and component power dissipations vs. line and load
- Analyze efficiency based on selected MOSFET parameters
- Review auto-generated schematic and BOM list
</t>
        </r>
        <r>
          <rPr>
            <b/>
            <sz val="9"/>
            <color indexed="81"/>
            <rFont val="Tahoma"/>
            <family val="2"/>
          </rPr>
          <t>IMPORTANT:</t>
        </r>
        <r>
          <rPr>
            <sz val="9"/>
            <color indexed="81"/>
            <rFont val="Tahoma"/>
            <family val="2"/>
          </rPr>
          <t xml:space="preserve"> You must enable macros if Microsoft EXCEL asks as the file is being opened.
U.S. English notation is used throughout.
</t>
        </r>
        <r>
          <rPr>
            <u/>
            <sz val="9"/>
            <color indexed="12"/>
            <rFont val="Tahoma"/>
            <family val="2"/>
          </rPr>
          <t>http://www.ti.com/widevin/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Rev 1.0, Vijay Choudhary, Texas Instruments, Inc.</t>
        </r>
      </text>
    </comment>
    <comment ref="F6" authorId="0" shapeId="0" xr:uid="{00000000-0006-0000-0000-000003000000}">
      <text>
        <r>
          <rPr>
            <b/>
            <u/>
            <sz val="9"/>
            <color indexed="81"/>
            <rFont val="Tahoma"/>
            <family val="2"/>
          </rPr>
          <t>Minimum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minimum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7" authorId="0" shapeId="0" xr:uid="{00000000-0006-0000-0000-000004000000}">
      <text>
        <r>
          <rPr>
            <b/>
            <u/>
            <sz val="9"/>
            <color indexed="81"/>
            <rFont val="Tahoma"/>
            <family val="2"/>
          </rPr>
          <t>Nominal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nominal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V</t>
        </r>
        <r>
          <rPr>
            <b/>
            <vertAlign val="subscript"/>
            <sz val="9"/>
            <color indexed="10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V</t>
        </r>
        <r>
          <rPr>
            <b/>
            <vertAlign val="subscript"/>
            <sz val="9"/>
            <color indexed="10"/>
            <rFont val="Tahoma"/>
            <family val="2"/>
          </rPr>
          <t>IN(min)</t>
        </r>
      </text>
    </comment>
    <comment ref="F8" authorId="0" shapeId="0" xr:uid="{00000000-0006-0000-0000-000005000000}">
      <text>
        <r>
          <rPr>
            <b/>
            <u/>
            <sz val="9"/>
            <color indexed="81"/>
            <rFont val="Tahoma"/>
            <family val="2"/>
          </rPr>
          <t>Maximum Input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maximum operating input voltage.
The LM5176 input voltage operating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9" authorId="0" shapeId="0" xr:uid="{00000000-0006-0000-0000-000006000000}">
      <text>
        <r>
          <rPr>
            <b/>
            <u/>
            <sz val="9"/>
            <color indexed="81"/>
            <rFont val="Tahoma"/>
            <family val="2"/>
          </rPr>
          <t>Output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desired output voltage.</t>
        </r>
        <r>
          <rPr>
            <b/>
            <sz val="9"/>
            <color indexed="81"/>
            <rFont val="Tahoma"/>
            <family val="2"/>
          </rPr>
          <t xml:space="preserve">
The text in the cell is flagged red if:
</t>
        </r>
        <r>
          <rPr>
            <b/>
            <sz val="9"/>
            <color indexed="10"/>
            <rFont val="Tahoma"/>
            <family val="2"/>
          </rPr>
          <t>-The output voltage is above 55V 
-The output voltage is below 0.8V</t>
        </r>
      </text>
    </comment>
    <comment ref="F11" authorId="0" shapeId="0" xr:uid="{00000000-0006-0000-0000-000007000000}">
      <text>
        <r>
          <rPr>
            <b/>
            <u/>
            <sz val="9"/>
            <color indexed="81"/>
            <rFont val="Tahoma"/>
            <family val="2"/>
          </rPr>
          <t>Operating Frequency</t>
        </r>
        <r>
          <rPr>
            <b/>
            <sz val="9"/>
            <color indexed="81"/>
            <rFont val="Tahoma"/>
            <family val="2"/>
          </rPr>
          <t xml:space="preserve"> (set by R</t>
        </r>
        <r>
          <rPr>
            <b/>
            <vertAlign val="subscript"/>
            <sz val="9"/>
            <color indexed="81"/>
            <rFont val="Tahoma"/>
            <family val="2"/>
          </rPr>
          <t>T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
This cell defines the free-running switching frequency set by the R</t>
        </r>
        <r>
          <rPr>
            <vertAlign val="subscript"/>
            <sz val="9"/>
            <color indexed="81"/>
            <rFont val="Tahoma"/>
            <family val="2"/>
          </rPr>
          <t>T</t>
        </r>
        <r>
          <rPr>
            <sz val="9"/>
            <color indexed="81"/>
            <rFont val="Tahoma"/>
            <family val="2"/>
          </rPr>
          <t xml:space="preserve"> resistor. 
</t>
        </r>
        <r>
          <rPr>
            <b/>
            <sz val="9"/>
            <color indexed="81"/>
            <rFont val="Tahoma"/>
            <family val="2"/>
          </rPr>
          <t xml:space="preserve">The text in the cell is flagged red if:
</t>
        </r>
        <r>
          <rPr>
            <b/>
            <sz val="9"/>
            <color indexed="10"/>
            <rFont val="Tahoma"/>
            <family val="2"/>
          </rPr>
          <t>-The frequency is below 100 kHz
-The frequency is above 600 kHz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6" authorId="0" shapeId="0" xr:uid="{00000000-0006-0000-0000-000008000000}">
      <text>
        <r>
          <rPr>
            <b/>
            <u/>
            <sz val="9"/>
            <color indexed="81"/>
            <rFont val="Tahoma"/>
            <family val="2"/>
          </rPr>
          <t>Filter Inductance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filter inductance here.
Target inductor (peak-to-peak) ripple currrent is 80% of the DC full load </t>
        </r>
        <r>
          <rPr>
            <u/>
            <sz val="9"/>
            <color indexed="81"/>
            <rFont val="Tahoma"/>
            <family val="2"/>
          </rPr>
          <t>output</t>
        </r>
        <r>
          <rPr>
            <sz val="9"/>
            <color indexed="81"/>
            <rFont val="Tahoma"/>
            <family val="2"/>
          </rPr>
          <t xml:space="preserve"> current in BUCK mode at highest input voltage.
Target inductor (peak-to-peak) ripple currrent is 30% of the DC full load </t>
        </r>
        <r>
          <rPr>
            <u/>
            <sz val="9"/>
            <color indexed="81"/>
            <rFont val="Tahoma"/>
            <family val="2"/>
          </rPr>
          <t>input</t>
        </r>
        <r>
          <rPr>
            <sz val="9"/>
            <color indexed="81"/>
            <rFont val="Tahoma"/>
            <family val="2"/>
          </rPr>
          <t xml:space="preserve"> current in BOOST mode at lowest input voltage.</t>
        </r>
      </text>
    </comment>
    <comment ref="F17" authorId="0" shapeId="0" xr:uid="{00000000-0006-0000-0000-000009000000}">
      <text>
        <r>
          <rPr>
            <b/>
            <u/>
            <sz val="9"/>
            <color indexed="81"/>
            <rFont val="Tahoma"/>
            <family val="2"/>
          </rPr>
          <t>Inductor DCR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inductor DC resistance here. This is typically specified in the inductor datasheet at 25°C copper temperature.</t>
        </r>
      </text>
    </comment>
    <comment ref="F26" authorId="0" shapeId="0" xr:uid="{00000000-0006-0000-0000-00000A000000}">
      <text>
        <r>
          <rPr>
            <b/>
            <u/>
            <sz val="9"/>
            <color indexed="81"/>
            <rFont val="Tahoma"/>
            <family val="2"/>
          </rPr>
          <t>OCP Setpoint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required overcurrent protection (OCP) setpoint for output current. A typical level is 125% of full load current.</t>
        </r>
      </text>
    </comment>
    <comment ref="F27" authorId="0" shapeId="0" xr:uid="{00000000-0006-0000-0000-00000B000000}">
      <text>
        <r>
          <rPr>
            <b/>
            <u/>
            <sz val="9"/>
            <color indexed="81"/>
            <rFont val="Tahoma"/>
            <family val="2"/>
          </rPr>
          <t>Sense Resistance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Use this resistor to sense current and set the cycle-by-cycle overcurrent protection. As such, the calculation takes the required current limit setpoint and the inductor ripple current amplitude to calculate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SENSE</t>
        </r>
        <r>
          <rPr>
            <sz val="9"/>
            <color indexed="81"/>
            <rFont val="Tahoma"/>
            <family val="2"/>
          </rPr>
          <t xml:space="preserve">.
The thresholds in BUCK and BOOST modes are 80mV and 120mV, respectively.
The resistances of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CS1</t>
        </r>
        <r>
          <rPr>
            <sz val="9"/>
            <color indexed="81"/>
            <rFont val="Tahoma"/>
            <family val="2"/>
          </rPr>
          <t xml:space="preserve"> and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CS2</t>
        </r>
        <r>
          <rPr>
            <sz val="9"/>
            <color indexed="81"/>
            <rFont val="Tahoma"/>
            <family val="2"/>
          </rPr>
          <t xml:space="preserve"> are equal for balanced common-mode filtering to the CS and CSG pins.</t>
        </r>
      </text>
    </comment>
    <comment ref="F29" authorId="0" shapeId="0" xr:uid="{00000000-0006-0000-0000-00000C000000}">
      <text>
        <r>
          <rPr>
            <b/>
            <u/>
            <sz val="9"/>
            <color indexed="81"/>
            <rFont val="Tahoma"/>
            <family val="2"/>
          </rPr>
          <t>Peak Inductor Current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Maximum current in the inductor usually occurs at V</t>
        </r>
        <r>
          <rPr>
            <vertAlign val="subscript"/>
            <sz val="9"/>
            <color indexed="81"/>
            <rFont val="Tahoma"/>
            <family val="2"/>
          </rPr>
          <t>IN(min)</t>
        </r>
        <r>
          <rPr>
            <sz val="9"/>
            <color indexed="81"/>
            <rFont val="Tahoma"/>
            <family val="2"/>
          </rPr>
          <t xml:space="preserve"> or V</t>
        </r>
        <r>
          <rPr>
            <vertAlign val="subscript"/>
            <sz val="9"/>
            <color indexed="81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>. The result is corresponds to onset of current limit and is intended as a guide to inductor selection as it relates to saturation current.</t>
        </r>
      </text>
    </comment>
    <comment ref="F30" authorId="0" shapeId="0" xr:uid="{00000000-0006-0000-0000-00000D000000}">
      <text>
        <r>
          <rPr>
            <b/>
            <u/>
            <sz val="9"/>
            <color indexed="81"/>
            <rFont val="Tahoma"/>
            <family val="2"/>
          </rPr>
          <t>Max Shunt Dissipation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Maximum power loss in the shunt resistor occurs at V</t>
        </r>
        <r>
          <rPr>
            <vertAlign val="subscript"/>
            <sz val="9"/>
            <color indexed="81"/>
            <rFont val="Tahoma"/>
            <family val="2"/>
          </rPr>
          <t>IN(min)</t>
        </r>
        <r>
          <rPr>
            <sz val="9"/>
            <color indexed="81"/>
            <rFont val="Tahoma"/>
            <family val="2"/>
          </rPr>
          <t xml:space="preserve"> or V</t>
        </r>
        <r>
          <rPr>
            <vertAlign val="subscript"/>
            <sz val="9"/>
            <color indexed="81"/>
            <rFont val="Tahoma"/>
            <family val="2"/>
          </rPr>
          <t>IN(max)</t>
        </r>
        <r>
          <rPr>
            <sz val="9"/>
            <color indexed="81"/>
            <rFont val="Tahoma"/>
            <family val="2"/>
          </rPr>
          <t>. The result is provided at full load current.
Of course, the dissipation is higher in an overcurrent condition, and the shunt should be rated for this condition.</t>
        </r>
      </text>
    </comment>
    <comment ref="F36" authorId="0" shapeId="0" xr:uid="{00000000-0006-0000-0000-00000E000000}">
      <text>
        <r>
          <rPr>
            <b/>
            <u/>
            <sz val="9"/>
            <color indexed="81"/>
            <rFont val="Tahoma"/>
            <family val="2"/>
          </rPr>
          <t>Constant Current Loop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"N/A" if not required.
Enter current in "A" if this optional feature is being used.
</t>
        </r>
      </text>
    </comment>
    <comment ref="F37" authorId="0" shapeId="0" xr:uid="{00000000-0006-0000-0000-00000F000000}">
      <text>
        <r>
          <rPr>
            <b/>
            <u/>
            <sz val="9"/>
            <color indexed="81"/>
            <rFont val="Tahoma"/>
            <family val="2"/>
          </rPr>
          <t>Output Shunt Resistance</t>
        </r>
        <r>
          <rPr>
            <b/>
            <sz val="9"/>
            <color indexed="81"/>
            <rFont val="Tahoma"/>
            <family val="2"/>
          </rPr>
          <t>:
R</t>
        </r>
        <r>
          <rPr>
            <b/>
            <vertAlign val="subscript"/>
            <sz val="9"/>
            <color indexed="81"/>
            <rFont val="Tahoma"/>
            <family val="2"/>
          </rPr>
          <t>SHUNT</t>
        </r>
        <r>
          <rPr>
            <sz val="9"/>
            <color indexed="81"/>
            <rFont val="Tahoma"/>
            <family val="2"/>
          </rPr>
          <t xml:space="preserve"> is calculated based on the desired constant current loop setpoint.
Specifically, the LM5176 design tool sets the constant current loop based on the transconductance amplifier with g</t>
        </r>
        <r>
          <rPr>
            <vertAlign val="subscript"/>
            <sz val="9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= 1mA/V and current limit threshold of 50mV.</t>
        </r>
      </text>
    </comment>
    <comment ref="F40" authorId="0" shapeId="0" xr:uid="{00000000-0006-0000-0000-000010000000}">
      <text>
        <r>
          <rPr>
            <b/>
            <u/>
            <sz val="9"/>
            <color indexed="81"/>
            <rFont val="Tahoma"/>
            <family val="2"/>
          </rPr>
          <t>Output Voltage Ripple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desired maximum peak-to-peak output voltage ripple here. This will set the ideal output capacitance value.
</t>
        </r>
        <r>
          <rPr>
            <sz val="9"/>
            <color indexed="39"/>
            <rFont val="Tahoma"/>
            <family val="2"/>
          </rPr>
          <t xml:space="preserve">
Max output ripple will likely occur at VIN(min) in BOOST mode or perhaps at VIN(max) in BUCK mode.</t>
        </r>
        <r>
          <rPr>
            <b/>
            <sz val="9"/>
            <color indexed="81"/>
            <rFont val="Tahoma"/>
            <family val="2"/>
          </rPr>
          <t xml:space="preserve">
The text in the cell is flagged red if:
</t>
        </r>
        <r>
          <rPr>
            <b/>
            <sz val="9"/>
            <color indexed="10"/>
            <rFont val="Tahoma"/>
            <family val="2"/>
          </rPr>
          <t>-The output voltage ripple is zero.</t>
        </r>
      </text>
    </comment>
    <comment ref="F42" authorId="0" shapeId="0" xr:uid="{00000000-0006-0000-0000-000011000000}">
      <text>
        <r>
          <rPr>
            <b/>
            <u/>
            <sz val="9"/>
            <color indexed="81"/>
            <rFont val="Tahoma"/>
            <family val="2"/>
          </rPr>
          <t>Output Capacitance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output capacitance here based on the minimum calculated result. Make sure that the nominal capacitance is appropriately derated for applied voltage, particularly with </t>
        </r>
        <r>
          <rPr>
            <sz val="9"/>
            <color indexed="39"/>
            <rFont val="Tahoma"/>
            <family val="2"/>
          </rPr>
          <t>ceramics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-The chosen output capacitor is smaller than the minimum ideal capacitance.</t>
        </r>
      </text>
    </comment>
    <comment ref="F44" authorId="0" shapeId="0" xr:uid="{00000000-0006-0000-0000-000012000000}">
      <text>
        <r>
          <rPr>
            <b/>
            <u/>
            <sz val="9"/>
            <color indexed="81"/>
            <rFont val="Tahoma"/>
            <family val="2"/>
          </rPr>
          <t>Output Capacitor ESR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output capacitor ESR here based on the maximum allowed output capacitor ESR to meet the voltage ripple specification.</t>
        </r>
        <r>
          <rPr>
            <b/>
            <sz val="9"/>
            <color indexed="81"/>
            <rFont val="Tahoma"/>
            <family val="2"/>
          </rPr>
          <t xml:space="preserve">
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-ESR is zero, or
-ESR exceeds maximum allowable ESR to meet the voltage ripple specification.</t>
        </r>
      </text>
    </comment>
    <comment ref="F49" authorId="0" shapeId="0" xr:uid="{00000000-0006-0000-0000-000013000000}">
      <text>
        <r>
          <rPr>
            <b/>
            <u/>
            <sz val="9"/>
            <color indexed="81"/>
            <rFont val="Tahoma"/>
            <family val="2"/>
          </rPr>
          <t>Input Voltage Ripple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desired maximum peak-to-peak input voltage ripple here. This will set the ideal input capacitance requirement.</t>
        </r>
        <r>
          <rPr>
            <b/>
            <sz val="9"/>
            <color indexed="81"/>
            <rFont val="Tahoma"/>
            <family val="2"/>
          </rPr>
          <t xml:space="preserve">
The text in thiecell is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-The input voltage ripple is zero.</t>
        </r>
      </text>
    </comment>
    <comment ref="F51" authorId="0" shapeId="0" xr:uid="{00000000-0006-0000-0000-000014000000}">
      <text>
        <r>
          <rPr>
            <b/>
            <u/>
            <sz val="9"/>
            <color indexed="81"/>
            <rFont val="Tahoma"/>
            <family val="2"/>
          </rPr>
          <t>Input Capacitance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input capacitance here based on the minimum calculated result. Make sure that the nominal capacitance is appropriately derated for applied voltage.
</t>
        </r>
        <r>
          <rPr>
            <b/>
            <sz val="9"/>
            <color indexed="81"/>
            <rFont val="Tahoma"/>
            <family val="2"/>
          </rPr>
          <t xml:space="preserve">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-The chosen input capacitor is smaller than the minimum ideal capacitance.</t>
        </r>
      </text>
    </comment>
    <comment ref="F53" authorId="0" shapeId="0" xr:uid="{00000000-0006-0000-0000-000015000000}">
      <text>
        <r>
          <rPr>
            <b/>
            <u/>
            <sz val="9"/>
            <color indexed="81"/>
            <rFont val="Tahoma"/>
            <family val="2"/>
          </rPr>
          <t>Input Capacitor ESR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Enter the input capacitor ESR here based on the maximum allowed input capacitor ESR to meet the ripple voltage specification.</t>
        </r>
        <r>
          <rPr>
            <b/>
            <sz val="9"/>
            <color indexed="81"/>
            <rFont val="Tahoma"/>
            <family val="2"/>
          </rPr>
          <t xml:space="preserve">
The text in the cell is flagged </t>
        </r>
        <r>
          <rPr>
            <b/>
            <sz val="9"/>
            <color indexed="10"/>
            <rFont val="Tahoma"/>
            <family val="2"/>
          </rPr>
          <t>red</t>
        </r>
        <r>
          <rPr>
            <b/>
            <sz val="9"/>
            <color indexed="81"/>
            <rFont val="Tahoma"/>
            <family val="2"/>
          </rPr>
          <t xml:space="preserve"> if:
</t>
        </r>
        <r>
          <rPr>
            <b/>
            <sz val="9"/>
            <color indexed="10"/>
            <rFont val="Tahoma"/>
            <family val="2"/>
          </rPr>
          <t>-ESR is zero, or
-ESR exceeds maximum allowable ESR to meet the voltage ripple specification.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58" authorId="0" shapeId="0" xr:uid="{00000000-0006-0000-0000-000016000000}">
      <text>
        <r>
          <rPr>
            <b/>
            <u/>
            <sz val="8"/>
            <color indexed="81"/>
            <rFont val="Tahoma"/>
            <family val="2"/>
          </rPr>
          <t>Soft-Start Time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 xml:space="preserve">Enter the desired soft-start time here. The soft-start time cannot be shorter than the internal 1.28 ms soft-start timer.
</t>
        </r>
        <r>
          <rPr>
            <b/>
            <sz val="8"/>
            <color indexed="81"/>
            <rFont val="Tahoma"/>
            <family val="2"/>
          </rPr>
          <t xml:space="preserve">
The text in this cell is flagged red if: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>-The specified soft-start time is less than 1.28 ms.</t>
        </r>
      </text>
    </comment>
    <comment ref="F60" authorId="0" shapeId="0" xr:uid="{00000000-0006-0000-0000-000017000000}">
      <text>
        <r>
          <rPr>
            <b/>
            <u/>
            <sz val="9"/>
            <color indexed="81"/>
            <rFont val="Tahoma"/>
            <family val="2"/>
          </rPr>
          <t>Dither Low Frequency Modulation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desired dither low-frequency modulation rate. The dither capacitor charges and discharges in triangular fashion between ~98% and 108% of the 1.22V bandgap, i.e. 122mV amplitude, and sets up a 10% modulation of the nominal oscillator frequency.
Note that the LM5176 does not perform dither if the SYNC function is used.
</t>
        </r>
        <r>
          <rPr>
            <b/>
            <sz val="9"/>
            <color indexed="39"/>
            <rFont val="Tahoma"/>
            <family val="2"/>
          </rPr>
          <t xml:space="preserve">
If the dither feature is not required, the DITH pin should be tied to GND.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2" authorId="0" shapeId="0" xr:uid="{00000000-0006-0000-0000-000018000000}">
      <text>
        <r>
          <rPr>
            <b/>
            <u/>
            <sz val="9"/>
            <color indexed="81"/>
            <rFont val="Tahoma"/>
            <family val="2"/>
          </rPr>
          <t>Nominal UVLO Turn-On Input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Enter the nominal input voltage at turn on.
The LM5176 input operating voltage range is 4V to 55V.
</t>
        </r>
        <r>
          <rPr>
            <b/>
            <sz val="9"/>
            <color indexed="81"/>
            <rFont val="Tahoma"/>
            <family val="2"/>
          </rPr>
          <t>The text in the cell is flagged red if:</t>
        </r>
        <r>
          <rPr>
            <sz val="9"/>
            <color indexed="81"/>
            <rFont val="Tahoma"/>
            <family val="2"/>
          </rPr>
          <t xml:space="preserve">
-The input voltage is above </t>
        </r>
        <r>
          <rPr>
            <b/>
            <sz val="9"/>
            <color indexed="10"/>
            <rFont val="Tahoma"/>
            <family val="2"/>
          </rPr>
          <t>55V</t>
        </r>
        <r>
          <rPr>
            <sz val="9"/>
            <color indexed="81"/>
            <rFont val="Tahoma"/>
            <family val="2"/>
          </rPr>
          <t xml:space="preserve">
-The input voltage is below </t>
        </r>
        <r>
          <rPr>
            <b/>
            <sz val="9"/>
            <color indexed="10"/>
            <rFont val="Tahoma"/>
            <family val="2"/>
          </rPr>
          <t>4V</t>
        </r>
      </text>
    </comment>
    <comment ref="F64" authorId="0" shapeId="0" xr:uid="{00000000-0006-0000-0000-000019000000}">
      <text>
        <r>
          <rPr>
            <b/>
            <u/>
            <sz val="9"/>
            <color indexed="81"/>
            <rFont val="Tahoma"/>
            <family val="2"/>
          </rPr>
          <t>Nominal UVLO Upper Resistor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upper UVLO resistor that sets the input voltage turn on. A recommended starting value of R</t>
        </r>
        <r>
          <rPr>
            <vertAlign val="subscript"/>
            <sz val="9"/>
            <color indexed="81"/>
            <rFont val="Tahoma"/>
            <family val="2"/>
          </rPr>
          <t>UV1</t>
        </r>
        <r>
          <rPr>
            <sz val="9"/>
            <color indexed="81"/>
            <rFont val="Tahoma"/>
            <family val="2"/>
          </rPr>
          <t xml:space="preserve"> is 200kΩ.</t>
        </r>
      </text>
    </comment>
    <comment ref="F71" authorId="0" shapeId="0" xr:uid="{00000000-0006-0000-0000-00001A000000}">
      <text>
        <r>
          <rPr>
            <b/>
            <u/>
            <sz val="9"/>
            <color indexed="81"/>
            <rFont val="Tahoma"/>
            <family val="2"/>
          </rPr>
          <t>Crossover Frequency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Enter the desired crossover frequency (usually between 5% and 20% of switching frequency). This feedback compensation components are determined based on this target performance metric.
</t>
        </r>
        <r>
          <rPr>
            <b/>
            <sz val="9"/>
            <color indexed="39"/>
            <rFont val="Tahoma"/>
            <family val="2"/>
          </rPr>
          <t>Note: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Compensaton components are calculated based on the nominal input voltage entered in Step 1.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 xml:space="preserve">
** After fixing the compensation components, sweep VIN(nom) across the input range to ensure adequate stability performance, especially at low VIN **</t>
        </r>
      </text>
    </comment>
    <comment ref="F73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FB1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upper feedback resistor that sets the output voltage. A recommended starting value of </t>
        </r>
        <r>
          <rPr>
            <b/>
            <sz val="9"/>
            <color indexed="81"/>
            <rFont val="Tahoma"/>
            <family val="2"/>
          </rPr>
          <t>R</t>
        </r>
        <r>
          <rPr>
            <b/>
            <vertAlign val="subscript"/>
            <sz val="9"/>
            <color indexed="81"/>
            <rFont val="Tahoma"/>
            <family val="2"/>
          </rPr>
          <t>FB1</t>
        </r>
        <r>
          <rPr>
            <sz val="9"/>
            <color indexed="81"/>
            <rFont val="Tahoma"/>
            <family val="2"/>
          </rPr>
          <t xml:space="preserve"> is 100kΩ.</t>
        </r>
      </text>
    </comment>
    <comment ref="E77" authorId="0" shapeId="0" xr:uid="{00000000-0006-0000-0000-00001C000000}">
      <text>
        <r>
          <rPr>
            <b/>
            <u/>
            <sz val="9"/>
            <color indexed="81"/>
            <rFont val="Tahoma"/>
            <family val="2"/>
          </rPr>
          <t>Selected Compensation Components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4"/>
            <rFont val="Tahoma"/>
            <family val="2"/>
          </rPr>
          <t>Note: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Compensation components are calculated based on the nominal input voltage from Step 1 and the desired crossover frequency from Step 7.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4"/>
            <rFont val="Tahoma"/>
            <family val="2"/>
          </rPr>
          <t>Important: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39"/>
            <rFont val="Tahoma"/>
            <family val="2"/>
          </rPr>
          <t>1. Fix the compensation values by clicking the FIX VALUES button.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39"/>
            <rFont val="Tahoma"/>
            <family val="2"/>
          </rPr>
          <t>2. Sweep VIN(nom) across the required input range to ensure adequate stability performance, especially at low VIN.</t>
        </r>
      </text>
    </comment>
    <comment ref="J78" authorId="0" shapeId="0" xr:uid="{00000000-0006-0000-0000-00001D000000}">
      <text>
        <r>
          <rPr>
            <b/>
            <u/>
            <sz val="9"/>
            <color indexed="81"/>
            <rFont val="Tahoma"/>
            <family val="2"/>
          </rPr>
          <t>COMP Min Voltage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This is the minimum steady state COMP voltage -- usually occurring at VIN(max) and no load -- and should be greater than 0.3V.</t>
        </r>
      </text>
    </comment>
    <comment ref="J79" authorId="0" shapeId="0" xr:uid="{00000000-0006-0000-0000-00001E000000}">
      <text>
        <r>
          <rPr>
            <b/>
            <u/>
            <sz val="9"/>
            <color indexed="81"/>
            <rFont val="Tahoma"/>
            <family val="2"/>
          </rPr>
          <t>COMP Max Voltage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This is the maximum steady state COMP voltage -- usually occurring at VIN(min) and full load -- and should be less than 3.0V.</t>
        </r>
      </text>
    </comment>
    <comment ref="E87" authorId="1" shapeId="0" xr:uid="{00000000-0006-0000-0000-00001F000000}">
      <text>
        <r>
          <rPr>
            <b/>
            <sz val="10"/>
            <color indexed="81"/>
            <rFont val="Tahoma"/>
            <family val="2"/>
          </rPr>
          <t>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high-side MOSFET here (at the appropriate gate drive level, typically 7.5V). High current designs (&gt;5A) can incur large conduction losses and, as such, demand MOSFETs with low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.
MOSFET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has a positive temperature coefficient (resistance increases with increasing temperature). This temperature coefficient is accounted for in the efficiency and power dissipation calculations.</t>
        </r>
      </text>
    </comment>
    <comment ref="F87" authorId="1" shapeId="0" xr:uid="{00000000-0006-0000-0000-000020000000}">
      <text>
        <r>
          <rPr>
            <b/>
            <sz val="10"/>
            <color indexed="81"/>
            <rFont val="Tahoma"/>
            <family val="2"/>
          </rPr>
          <t>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low-side MOSFET here  (at the appropriate gate drive level, typically 7.5V). High current designs (&gt;5A) can incur large conduction losses and, as such, demand MOSFETs with low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.
MOSFET </t>
        </r>
        <r>
          <rPr>
            <b/>
            <sz val="10"/>
            <color indexed="81"/>
            <rFont val="Tahoma"/>
            <family val="2"/>
          </rPr>
          <t>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has a positive temperature coefficient (resistance increases with increasing temperature). This temperature coefficient is accounted for in the efficiency and power dissipation calculations.</t>
        </r>
      </text>
    </comment>
    <comment ref="E88" authorId="1" shapeId="0" xr:uid="{00000000-0006-0000-0000-000021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total gate charge of the high-side MOSFET here (at the appropriate gate drive voltage level, typically 7.5V).</t>
        </r>
      </text>
    </comment>
    <comment ref="F88" authorId="1" shapeId="0" xr:uid="{00000000-0006-0000-0000-000022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total gate charge of the low-side MOSFET here (at the appropriate gate drive level, typically 7.5V)</t>
        </r>
      </text>
    </comment>
    <comment ref="E89" authorId="1" shapeId="0" xr:uid="{00000000-0006-0000-0000-000023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high-side MOSFET here.
MOSFET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affects the turn-on and-off transition times. Slow transition times result in a decrease in efficiency, especially at higher input voltages.</t>
        </r>
      </text>
    </comment>
    <comment ref="F89" authorId="1" shapeId="0" xr:uid="{00000000-0006-0000-0000-000024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buck low-side MOSFET here.</t>
        </r>
      </text>
    </comment>
    <comment ref="E90" authorId="1" shapeId="0" xr:uid="{00000000-0006-0000-0000-000025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F90" authorId="1" shapeId="0" xr:uid="{00000000-0006-0000-0000-000026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E91" authorId="1" shapeId="0" xr:uid="{00000000-0006-0000-0000-000027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high-side MOSFET gate resistance here. </t>
        </r>
      </text>
    </comment>
    <comment ref="F91" authorId="1" shapeId="0" xr:uid="{00000000-0006-0000-0000-000028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low-side MOSFET gate resistance here. </t>
        </r>
      </text>
    </comment>
    <comment ref="E92" authorId="1" shapeId="0" xr:uid="{00000000-0006-0000-0000-000029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high-side MOSFET here.</t>
        </r>
      </text>
    </comment>
    <comment ref="F92" authorId="1" shapeId="0" xr:uid="{00000000-0006-0000-0000-00002A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low-side MOSFET here.</t>
        </r>
      </text>
    </comment>
    <comment ref="E93" authorId="1" shapeId="0" xr:uid="{00000000-0006-0000-0000-00002B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F93" authorId="1" shapeId="0" xr:uid="{00000000-0006-0000-0000-00002C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E94" authorId="1" shapeId="0" xr:uid="{00000000-0006-0000-0000-00002D000000}">
      <text>
        <r>
          <rPr>
            <b/>
            <sz val="10"/>
            <color indexed="81"/>
            <rFont val="Tahoma"/>
            <family val="2"/>
          </rPr>
          <t>Body Diode Forward Voltage (V</t>
        </r>
        <r>
          <rPr>
            <b/>
            <vertAlign val="subscript"/>
            <sz val="10"/>
            <color indexed="81"/>
            <rFont val="Tahoma"/>
            <family val="2"/>
          </rPr>
          <t>bd1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A MOSFET has an inherent reverse body diode, and the voltage drop usually is specified at a rated current. The high-side MOSFET body diode contributes power loss during negative current events.</t>
        </r>
      </text>
    </comment>
    <comment ref="F94" authorId="1" shapeId="0" xr:uid="{00000000-0006-0000-0000-00002E000000}">
      <text>
        <r>
          <rPr>
            <b/>
            <sz val="10"/>
            <color indexed="81"/>
            <rFont val="Tahoma"/>
            <family val="2"/>
          </rPr>
          <t>Body Diode Forward Voltage (V</t>
        </r>
        <r>
          <rPr>
            <b/>
            <vertAlign val="subscript"/>
            <sz val="10"/>
            <color indexed="81"/>
            <rFont val="Tahoma"/>
            <family val="2"/>
          </rPr>
          <t>bd1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A MOSFET has an inherent reverse body diode, and the voltage drop usually is specified at a rated current. The low-side MOSFET body diode contributes power loss related to both conduction and reverse recovery losses.</t>
        </r>
      </text>
    </comment>
    <comment ref="F95" authorId="1" shapeId="0" xr:uid="{00000000-0006-0000-0000-00002F000000}">
      <text>
        <r>
          <rPr>
            <b/>
            <sz val="10"/>
            <color indexed="81"/>
            <rFont val="Tahoma"/>
            <family val="2"/>
          </rPr>
          <t>Body Diode Recovery Charge (Q</t>
        </r>
        <r>
          <rPr>
            <b/>
            <vertAlign val="subscript"/>
            <sz val="10"/>
            <color indexed="81"/>
            <rFont val="Tahoma"/>
            <family val="2"/>
          </rPr>
          <t>RR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reverse recovery charge of the low-side MOSFET body diode here. </t>
        </r>
      </text>
    </comment>
    <comment ref="E96" authorId="1" shapeId="0" xr:uid="{00000000-0006-0000-0000-000030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F96" authorId="1" shapeId="0" xr:uid="{00000000-0006-0000-0000-000031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E100" authorId="1" shapeId="0" xr:uid="{00000000-0006-0000-0000-000032000000}">
      <text>
        <r>
          <rPr>
            <b/>
            <sz val="10"/>
            <color indexed="81"/>
            <rFont val="Tahoma"/>
            <family val="2"/>
          </rPr>
          <t>MOSFET 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high-side MOSFET here at the appropriate gate drive level. High current designs (&gt;5A) can incur large conduction losses and, as such, demand MOSFETs with low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Calibri"/>
            <family val="2"/>
          </rPr>
          <t xml:space="preserve">– </t>
        </r>
        <r>
          <rPr>
            <sz val="10"/>
            <color indexed="81"/>
            <rFont val="Tahoma"/>
            <family val="2"/>
          </rPr>
          <t>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>. MOSFET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temperature coefficient is accounted for in the efficiency and power dissipation calculations.  </t>
        </r>
      </text>
    </comment>
    <comment ref="F100" authorId="1" shapeId="0" xr:uid="{00000000-0006-0000-0000-000033000000}">
      <text>
        <r>
          <rPr>
            <b/>
            <sz val="10"/>
            <color indexed="81"/>
            <rFont val="Tahoma"/>
            <family val="2"/>
          </rPr>
          <t>MOSFET On-State Resistance (R</t>
        </r>
        <r>
          <rPr>
            <b/>
            <vertAlign val="subscript"/>
            <sz val="10"/>
            <color indexed="81"/>
            <rFont val="Tahoma"/>
            <family val="2"/>
          </rPr>
          <t>DS(on)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of the low-side MOSFET here at the appropriate gate drive level. High current designs (&gt;5A) can incur large conduction losses and, as such, demand MOSFETs with low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Calibri"/>
            <family val="2"/>
          </rPr>
          <t xml:space="preserve">– </t>
        </r>
        <r>
          <rPr>
            <sz val="10"/>
            <color indexed="81"/>
            <rFont val="Tahoma"/>
            <family val="2"/>
          </rPr>
          <t>usually at the expense of larger 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>. MOSFET R</t>
        </r>
        <r>
          <rPr>
            <vertAlign val="subscript"/>
            <sz val="10"/>
            <color indexed="81"/>
            <rFont val="Tahoma"/>
            <family val="2"/>
          </rPr>
          <t>DS(on)</t>
        </r>
        <r>
          <rPr>
            <sz val="10"/>
            <color indexed="81"/>
            <rFont val="Tahoma"/>
            <family val="2"/>
          </rPr>
          <t xml:space="preserve"> temperature coefficient is accounted for in the efficiency and power dissipation calculations.  </t>
        </r>
      </text>
    </comment>
    <comment ref="E101" authorId="1" shapeId="0" xr:uid="{00000000-0006-0000-0000-000034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total gate charge of the MOSFET here, based on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 xml:space="preserve"> = 7.5V.</t>
        </r>
      </text>
    </comment>
    <comment ref="F101" authorId="1" shapeId="0" xr:uid="{00000000-0006-0000-0000-000035000000}">
      <text>
        <r>
          <rPr>
            <b/>
            <sz val="10"/>
            <color indexed="81"/>
            <rFont val="Tahoma"/>
            <family val="2"/>
          </rPr>
          <t>Total Gate Charge (Q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total gate charge of the MOSFET here, based on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 xml:space="preserve"> = 7.5V.</t>
        </r>
      </text>
    </comment>
    <comment ref="E102" authorId="1" shapeId="0" xr:uid="{00000000-0006-0000-0000-000036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boost high-side MOSFET here.</t>
        </r>
      </text>
    </comment>
    <comment ref="F102" authorId="1" shapeId="0" xr:uid="{00000000-0006-0000-0000-000037000000}">
      <text>
        <r>
          <rPr>
            <b/>
            <sz val="10"/>
            <color indexed="81"/>
            <rFont val="Tahoma"/>
            <family val="2"/>
          </rPr>
          <t>Gate-Drain Charge (Q</t>
        </r>
        <r>
          <rPr>
            <b/>
            <vertAlign val="subscript"/>
            <sz val="10"/>
            <color indexed="81"/>
            <rFont val="Tahoma"/>
            <family val="2"/>
          </rPr>
          <t>GD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of the boost low-side MOSFET here.
MOSFET Q</t>
        </r>
        <r>
          <rPr>
            <vertAlign val="subscript"/>
            <sz val="10"/>
            <color indexed="81"/>
            <rFont val="Tahoma"/>
            <family val="2"/>
          </rPr>
          <t>GD</t>
        </r>
        <r>
          <rPr>
            <sz val="10"/>
            <color indexed="81"/>
            <rFont val="Tahoma"/>
            <family val="2"/>
          </rPr>
          <t xml:space="preserve"> will affect the turn-on and-off transition times. Slow transition times will result in a decrease in efficiency, especially at higher input voltages.</t>
        </r>
      </text>
    </comment>
    <comment ref="E103" authorId="1" shapeId="0" xr:uid="{00000000-0006-0000-0000-000038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F103" authorId="1" shapeId="0" xr:uid="{00000000-0006-0000-0000-000039000000}">
      <text>
        <r>
          <rPr>
            <b/>
            <sz val="10"/>
            <color indexed="81"/>
            <rFont val="Tahoma"/>
            <family val="2"/>
          </rPr>
          <t>Gate-Source Charge (Q</t>
        </r>
        <r>
          <rPr>
            <b/>
            <vertAlign val="subscript"/>
            <sz val="10"/>
            <color indexed="81"/>
            <rFont val="Tahoma"/>
            <family val="2"/>
          </rPr>
          <t>GS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gate-source charge here. </t>
        </r>
      </text>
    </comment>
    <comment ref="E104" authorId="1" shapeId="0" xr:uid="{00000000-0006-0000-0000-00003A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boost high-side MOSFET gate resistance here. </t>
        </r>
      </text>
    </comment>
    <comment ref="F104" authorId="1" shapeId="0" xr:uid="{00000000-0006-0000-0000-00003B000000}">
      <text>
        <r>
          <rPr>
            <b/>
            <sz val="10"/>
            <color indexed="81"/>
            <rFont val="Tahoma"/>
            <family val="2"/>
          </rPr>
          <t>Gate Resistance (R</t>
        </r>
        <r>
          <rPr>
            <b/>
            <vertAlign val="subscript"/>
            <sz val="10"/>
            <color indexed="81"/>
            <rFont val="Tahoma"/>
            <family val="2"/>
          </rPr>
          <t>G</t>
        </r>
        <r>
          <rPr>
            <b/>
            <sz val="10"/>
            <color indexed="81"/>
            <rFont val="Tahoma"/>
            <family val="2"/>
          </rPr>
          <t>):</t>
        </r>
        <r>
          <rPr>
            <sz val="10"/>
            <color indexed="81"/>
            <rFont val="Tahoma"/>
            <family val="2"/>
          </rPr>
          <t xml:space="preserve">
Enter the low-side MOSFET gate resistance here. </t>
        </r>
      </text>
    </comment>
    <comment ref="E105" authorId="1" shapeId="0" xr:uid="{00000000-0006-0000-0000-00003C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high-side MOSFET here.</t>
        </r>
      </text>
    </comment>
    <comment ref="F105" authorId="1" shapeId="0" xr:uid="{00000000-0006-0000-0000-00003D000000}">
      <text>
        <r>
          <rPr>
            <b/>
            <sz val="10"/>
            <color indexed="81"/>
            <rFont val="Tahoma"/>
            <family val="2"/>
          </rPr>
          <t>Forward Transconductance (g</t>
        </r>
        <r>
          <rPr>
            <b/>
            <vertAlign val="subscript"/>
            <sz val="10"/>
            <color indexed="81"/>
            <rFont val="Tahoma"/>
            <family val="2"/>
          </rPr>
          <t>FS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forward transconductance rating of the low-side MOSFET here.</t>
        </r>
      </text>
    </comment>
    <comment ref="E106" authorId="1" shapeId="0" xr:uid="{00000000-0006-0000-0000-00003E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high-side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F106" authorId="1" shapeId="0" xr:uid="{00000000-0006-0000-0000-00003F000000}">
      <text>
        <r>
          <rPr>
            <b/>
            <sz val="10"/>
            <color indexed="81"/>
            <rFont val="Tahoma"/>
            <family val="2"/>
          </rPr>
          <t>Gate to Source Threshold Voltage (V</t>
        </r>
        <r>
          <rPr>
            <b/>
            <vertAlign val="subscript"/>
            <sz val="10"/>
            <color indexed="81"/>
            <rFont val="Tahoma"/>
            <family val="2"/>
          </rPr>
          <t>GS(TH)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>Enter the low-side MOSFET gate-source threshold voltage at rated current here. This can be taken as the plateau voltage in the V</t>
        </r>
        <r>
          <rPr>
            <vertAlign val="subscript"/>
            <sz val="10"/>
            <color indexed="81"/>
            <rFont val="Tahoma"/>
            <family val="2"/>
          </rPr>
          <t>GS</t>
        </r>
        <r>
          <rPr>
            <sz val="10"/>
            <color indexed="81"/>
            <rFont val="Tahoma"/>
            <family val="2"/>
          </rPr>
          <t>-Q</t>
        </r>
        <r>
          <rPr>
            <vertAlign val="subscript"/>
            <sz val="10"/>
            <color indexed="81"/>
            <rFont val="Tahoma"/>
            <family val="2"/>
          </rPr>
          <t>G</t>
        </r>
        <r>
          <rPr>
            <sz val="10"/>
            <color indexed="81"/>
            <rFont val="Tahoma"/>
            <family val="2"/>
          </rPr>
          <t xml:space="preserve"> curve in the MOSFET datasheet.
</t>
        </r>
      </text>
    </comment>
    <comment ref="E107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Body Diode Voltage (V</t>
        </r>
        <r>
          <rPr>
            <b/>
            <vertAlign val="subscript"/>
            <sz val="9"/>
            <color indexed="81"/>
            <rFont val="Tahoma"/>
            <family val="2"/>
          </rPr>
          <t>sd</t>
        </r>
        <r>
          <rPr>
            <b/>
            <sz val="9"/>
            <color indexed="81"/>
            <rFont val="Tahoma"/>
            <family val="2"/>
          </rPr>
          <t xml:space="preserve">):
</t>
        </r>
        <r>
          <rPr>
            <sz val="9"/>
            <color indexed="81"/>
            <rFont val="Tahoma"/>
            <family val="2"/>
          </rPr>
          <t>The high-side MOSFET body diode can contribute power loss in boost operation - related to (1) body diode conduction drop during the deadtime, and (2) diode reverse recovery current.</t>
        </r>
      </text>
    </comment>
    <comment ref="F107" authorId="1" shapeId="0" xr:uid="{00000000-0006-0000-0000-000041000000}">
      <text>
        <r>
          <rPr>
            <b/>
            <sz val="9"/>
            <color indexed="81"/>
            <rFont val="Tahoma"/>
            <family val="2"/>
          </rPr>
          <t>Body Diode Voltage (V</t>
        </r>
        <r>
          <rPr>
            <b/>
            <vertAlign val="subscript"/>
            <sz val="9"/>
            <color indexed="81"/>
            <rFont val="Tahoma"/>
            <family val="2"/>
          </rPr>
          <t>sd</t>
        </r>
        <r>
          <rPr>
            <b/>
            <sz val="9"/>
            <color indexed="81"/>
            <rFont val="Tahoma"/>
            <family val="2"/>
          </rPr>
          <t xml:space="preserve">):
</t>
        </r>
        <r>
          <rPr>
            <sz val="9"/>
            <color indexed="81"/>
            <rFont val="Tahoma"/>
            <family val="2"/>
          </rPr>
          <t>The low-side MOSFET body diode can contribute power loss related to body diode conduction drop during the deadtime at light loads.</t>
        </r>
      </text>
    </comment>
    <comment ref="E108" authorId="1" shapeId="0" xr:uid="{00000000-0006-0000-0000-000042000000}">
      <text>
        <r>
          <rPr>
            <b/>
            <sz val="10"/>
            <color indexed="81"/>
            <rFont val="Tahoma"/>
            <family val="2"/>
          </rPr>
          <t>Body Diode Recovery Charge (Q</t>
        </r>
        <r>
          <rPr>
            <b/>
            <vertAlign val="subscript"/>
            <sz val="10"/>
            <color indexed="81"/>
            <rFont val="Tahoma"/>
            <family val="2"/>
          </rPr>
          <t>RR</t>
        </r>
        <r>
          <rPr>
            <b/>
            <sz val="10"/>
            <color indexed="81"/>
            <rFont val="Tahoma"/>
            <family val="2"/>
          </rPr>
          <t xml:space="preserve">):
</t>
        </r>
        <r>
          <rPr>
            <sz val="10"/>
            <color indexed="81"/>
            <rFont val="Tahoma"/>
            <family val="2"/>
          </rPr>
          <t xml:space="preserve">Enter the reverse recovery charge of the boost high-side MOSFET body diode here. </t>
        </r>
      </text>
    </comment>
    <comment ref="E109" authorId="1" shapeId="0" xr:uid="{00000000-0006-0000-0000-000043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F109" authorId="1" shapeId="0" xr:uid="{00000000-0006-0000-0000-000044000000}">
      <text>
        <r>
          <rPr>
            <b/>
            <sz val="10"/>
            <color indexed="81"/>
            <rFont val="Tahoma"/>
            <family val="2"/>
          </rPr>
          <t>θ</t>
        </r>
        <r>
          <rPr>
            <b/>
            <vertAlign val="subscript"/>
            <sz val="10"/>
            <color indexed="81"/>
            <rFont val="Tahoma"/>
            <family val="2"/>
          </rPr>
          <t>JA</t>
        </r>
        <r>
          <rPr>
            <b/>
            <sz val="10"/>
            <color indexed="81"/>
            <rFont val="Tahoma"/>
            <family val="2"/>
          </rPr>
          <t xml:space="preserve">:
</t>
        </r>
        <r>
          <rPr>
            <sz val="10"/>
            <color indexed="81"/>
            <rFont val="Tahoma"/>
            <family val="2"/>
          </rPr>
          <t>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is the junction-to-ambient thermal resistance of the MOSFET. Higher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will lead to higher power loss and reduced efficiency. High current designs demand low θ</t>
        </r>
        <r>
          <rPr>
            <vertAlign val="subscript"/>
            <sz val="10"/>
            <color indexed="81"/>
            <rFont val="Tahoma"/>
            <family val="2"/>
          </rPr>
          <t>JA</t>
        </r>
        <r>
          <rPr>
            <sz val="10"/>
            <color indexed="81"/>
            <rFont val="Tahoma"/>
            <family val="2"/>
          </rPr>
          <t xml:space="preserve"> rating to help maintain low MOSFET operating junction temperature. What's imperative here is consciencious PCB design and layout to maximize heat removal from the MOSFET.</t>
        </r>
      </text>
    </comment>
    <comment ref="E112" authorId="1" shapeId="0" xr:uid="{00000000-0006-0000-0000-000045000000}">
      <text>
        <r>
          <rPr>
            <b/>
            <sz val="10"/>
            <color indexed="81"/>
            <rFont val="Tahoma"/>
            <family val="2"/>
          </rPr>
          <t xml:space="preserve">Schottky Forward Voltage:
</t>
        </r>
        <r>
          <rPr>
            <sz val="10"/>
            <color indexed="81"/>
            <rFont val="Tahoma"/>
            <family val="2"/>
          </rPr>
          <t>If a Schottky diode is used, enter the forward voltage at the rated current here. If a Schottky diode is not used, enter "0" into this cell.</t>
        </r>
      </text>
    </comment>
    <comment ref="F112" authorId="1" shapeId="0" xr:uid="{00000000-0006-0000-0000-000046000000}">
      <text>
        <r>
          <rPr>
            <b/>
            <sz val="10"/>
            <color indexed="81"/>
            <rFont val="Tahoma"/>
            <family val="2"/>
          </rPr>
          <t xml:space="preserve">Schottky Forward Voltage:
</t>
        </r>
        <r>
          <rPr>
            <sz val="10"/>
            <color indexed="81"/>
            <rFont val="Tahoma"/>
            <family val="2"/>
          </rPr>
          <t>If a Schottky diode is used, enter the forward voltage at the rated current here. If a Schottky diode is not used, enter "0" into this cell.</t>
        </r>
      </text>
    </comment>
    <comment ref="E113" authorId="1" shapeId="0" xr:uid="{00000000-0006-0000-0000-000047000000}">
      <text>
        <r>
          <rPr>
            <b/>
            <sz val="10"/>
            <color indexed="81"/>
            <rFont val="Tahoma"/>
            <family val="2"/>
          </rPr>
          <t xml:space="preserve">Schottky Diode Reverse Recovery Charge:
</t>
        </r>
        <r>
          <rPr>
            <sz val="10"/>
            <color indexed="81"/>
            <rFont val="Tahoma"/>
            <family val="2"/>
          </rPr>
          <t>Enter the diode reverse recovery charge here.
If a Schottky diode is not used, enter "0" into this cell.</t>
        </r>
      </text>
    </comment>
    <comment ref="F113" authorId="1" shapeId="0" xr:uid="{00000000-0006-0000-0000-000048000000}">
      <text>
        <r>
          <rPr>
            <b/>
            <sz val="10"/>
            <color indexed="81"/>
            <rFont val="Tahoma"/>
            <family val="2"/>
          </rPr>
          <t xml:space="preserve">Schottky Diode Reverse Recovery Charge:
</t>
        </r>
        <r>
          <rPr>
            <sz val="10"/>
            <color indexed="81"/>
            <rFont val="Tahoma"/>
            <family val="2"/>
          </rPr>
          <t>Enter the diode reverse recovery charge here.
If a Schottky diode is not used, enter "0" into this cell.</t>
        </r>
      </text>
    </comment>
  </commentList>
</comments>
</file>

<file path=xl/sharedStrings.xml><?xml version="1.0" encoding="utf-8"?>
<sst xmlns="http://schemas.openxmlformats.org/spreadsheetml/2006/main" count="1980" uniqueCount="981">
  <si>
    <t>V</t>
  </si>
  <si>
    <t>Output Voltage</t>
  </si>
  <si>
    <t>A</t>
  </si>
  <si>
    <t>kHz</t>
  </si>
  <si>
    <t>Vin</t>
  </si>
  <si>
    <t>Vout</t>
  </si>
  <si>
    <t>Iout</t>
  </si>
  <si>
    <t>Fsw</t>
  </si>
  <si>
    <t>Value</t>
  </si>
  <si>
    <t>STD Units</t>
  </si>
  <si>
    <t>Hz</t>
  </si>
  <si>
    <t>uH</t>
  </si>
  <si>
    <t>Rdcr</t>
  </si>
  <si>
    <t>Notes</t>
  </si>
  <si>
    <t>Nominal input voltage</t>
  </si>
  <si>
    <t>Don1</t>
  </si>
  <si>
    <t>Doff1</t>
  </si>
  <si>
    <t>Don2</t>
  </si>
  <si>
    <t>Doff2</t>
  </si>
  <si>
    <t>index</t>
  </si>
  <si>
    <t>H</t>
  </si>
  <si>
    <t>Ohms</t>
  </si>
  <si>
    <t>Vripple1</t>
  </si>
  <si>
    <t>Minimum Output Capacitnace</t>
  </si>
  <si>
    <t>Coutmin</t>
  </si>
  <si>
    <t>uF</t>
  </si>
  <si>
    <t>F</t>
  </si>
  <si>
    <t>Cout</t>
  </si>
  <si>
    <t>Fesr</t>
  </si>
  <si>
    <t>Q</t>
  </si>
  <si>
    <t>V/V</t>
  </si>
  <si>
    <t>Rfb1</t>
  </si>
  <si>
    <t>pF</t>
  </si>
  <si>
    <t>Cc1ea</t>
  </si>
  <si>
    <t>Cc2ea</t>
  </si>
  <si>
    <t>Rcea1</t>
  </si>
  <si>
    <t>Rcea1_u</t>
  </si>
  <si>
    <t>Cc1ea_u</t>
  </si>
  <si>
    <t>Cc2ea_u</t>
  </si>
  <si>
    <t>Fz1</t>
  </si>
  <si>
    <t>Fp1</t>
  </si>
  <si>
    <t>Pi</t>
  </si>
  <si>
    <t>Vp-p</t>
  </si>
  <si>
    <t>Rfb2</t>
  </si>
  <si>
    <t>Vref</t>
  </si>
  <si>
    <t>Reference Voltage</t>
  </si>
  <si>
    <t>Ro</t>
  </si>
  <si>
    <t>xover</t>
  </si>
  <si>
    <t>phase margin</t>
  </si>
  <si>
    <t>Total</t>
  </si>
  <si>
    <t>XOVER SEARCH</t>
  </si>
  <si>
    <t>Variable Name</t>
  </si>
  <si>
    <t>Resrmax</t>
  </si>
  <si>
    <t>mΩ</t>
  </si>
  <si>
    <t>kΩ</t>
  </si>
  <si>
    <t>TERMS OF USE</t>
  </si>
  <si>
    <t>IQ</t>
  </si>
  <si>
    <t>Step</t>
  </si>
  <si>
    <t>Total Loss</t>
  </si>
  <si>
    <t>Design</t>
  </si>
  <si>
    <t>L</t>
  </si>
  <si>
    <t>Cin</t>
  </si>
  <si>
    <t>Components</t>
  </si>
  <si>
    <t>Top FET</t>
  </si>
  <si>
    <t>RdsonDRB</t>
  </si>
  <si>
    <t>RdsonDRT</t>
  </si>
  <si>
    <t>Deadtime</t>
  </si>
  <si>
    <t>mOhms</t>
  </si>
  <si>
    <t>mA</t>
  </si>
  <si>
    <t>nC</t>
  </si>
  <si>
    <t>S</t>
  </si>
  <si>
    <t>QgBot</t>
  </si>
  <si>
    <t>RdsonBot</t>
  </si>
  <si>
    <t>GfsTop</t>
  </si>
  <si>
    <t>QgTop</t>
  </si>
  <si>
    <t>RdsonTop</t>
  </si>
  <si>
    <t>VsdBot</t>
  </si>
  <si>
    <t>QrrBot</t>
  </si>
  <si>
    <t>TrrBot</t>
  </si>
  <si>
    <t>ns</t>
  </si>
  <si>
    <t>Units</t>
  </si>
  <si>
    <t>Outputs</t>
  </si>
  <si>
    <t>Dprime</t>
  </si>
  <si>
    <t>RdsonTopTc</t>
  </si>
  <si>
    <t>RdsonBotTc</t>
  </si>
  <si>
    <t>ppm</t>
  </si>
  <si>
    <t>LTc</t>
  </si>
  <si>
    <t>Ta</t>
  </si>
  <si>
    <t>Irms</t>
  </si>
  <si>
    <t>RCoutEsr</t>
  </si>
  <si>
    <t>RCinEsr</t>
  </si>
  <si>
    <t>DCR    Loss</t>
  </si>
  <si>
    <t>Tr</t>
  </si>
  <si>
    <t>Tf</t>
  </si>
  <si>
    <t>RGateTop</t>
  </si>
  <si>
    <t>RGateBot</t>
  </si>
  <si>
    <t>VthTop</t>
  </si>
  <si>
    <t>Reverse Recovery Loss</t>
  </si>
  <si>
    <t>Switching Frequency</t>
  </si>
  <si>
    <t>Max Output Current</t>
  </si>
  <si>
    <t>Ambient Temperature</t>
  </si>
  <si>
    <t>Inductor Series Resistance Temp Co</t>
  </si>
  <si>
    <t>Total Deadtime</t>
  </si>
  <si>
    <t>Gate Charge Of Top FET</t>
  </si>
  <si>
    <t>Gate Resistance</t>
  </si>
  <si>
    <t>Transconductance of Top FET</t>
  </si>
  <si>
    <t>Threshold Voltage of Top FET</t>
  </si>
  <si>
    <t>Junction to Ambient Resistance</t>
  </si>
  <si>
    <t>Drain To Source Resitance Temp Co</t>
  </si>
  <si>
    <t>Diode Forward Voltage of Bottom FET Body Diode</t>
  </si>
  <si>
    <t>Reverse Recovery Time of Body Diode</t>
  </si>
  <si>
    <t>Description</t>
  </si>
  <si>
    <t>Input Parameters</t>
  </si>
  <si>
    <t>Drain to Source Resistance Temp Co</t>
  </si>
  <si>
    <t>Reverse Recovery Charge of Body Diode</t>
  </si>
  <si>
    <t>Input Value</t>
  </si>
  <si>
    <t>Top Driver</t>
  </si>
  <si>
    <t>Bottom Driver</t>
  </si>
  <si>
    <t>Part Power</t>
  </si>
  <si>
    <t>Power Dis</t>
  </si>
  <si>
    <t>W</t>
  </si>
  <si>
    <t>Controller</t>
  </si>
  <si>
    <t>Theta Ja</t>
  </si>
  <si>
    <t>Temp rise</t>
  </si>
  <si>
    <t>θJA=80</t>
  </si>
  <si>
    <t>θJA=100</t>
  </si>
  <si>
    <t>θJA=120</t>
  </si>
  <si>
    <t>θJA=140</t>
  </si>
  <si>
    <t>θJA=160</t>
  </si>
  <si>
    <t>θJA=180</t>
  </si>
  <si>
    <t>QgdTop</t>
  </si>
  <si>
    <t>Gate to Drain Charge</t>
  </si>
  <si>
    <t>Qg</t>
  </si>
  <si>
    <t>θJA=20</t>
  </si>
  <si>
    <t>θJA=30</t>
  </si>
  <si>
    <t>θJA=40</t>
  </si>
  <si>
    <t>θJA=50</t>
  </si>
  <si>
    <t>250kHz / 5-1.2V /25A</t>
  </si>
  <si>
    <t>250kHz / 12-5V / 30A</t>
  </si>
  <si>
    <t>500kHz / 5-1.2V / 15A</t>
  </si>
  <si>
    <t>1Mhz / 5-1.2V / 10A</t>
  </si>
  <si>
    <t>1Mhz / 12-1.2V/ 10A</t>
  </si>
  <si>
    <t>500kHz / 12-5V / 15A</t>
  </si>
  <si>
    <t>250kHz / 18-1.2V / 20A</t>
  </si>
  <si>
    <t>500kHz / 18-1.2V / 20A</t>
  </si>
  <si>
    <t>θJA=120°C/W - 160°C/W</t>
  </si>
  <si>
    <t>θJA=30°C/W - 50°C/W</t>
  </si>
  <si>
    <t>VspTop</t>
  </si>
  <si>
    <t>QgsTop</t>
  </si>
  <si>
    <t>RdsonDRB2</t>
  </si>
  <si>
    <t>RdsonDRT2</t>
  </si>
  <si>
    <t>EFF_1 @ 25°C</t>
  </si>
  <si>
    <t>Efficiency</t>
  </si>
  <si>
    <t>Pdis</t>
  </si>
  <si>
    <t>Vin=10V</t>
  </si>
  <si>
    <t>Vout=5.1V</t>
  </si>
  <si>
    <t xml:space="preserve">L=3.3uH/30mOhm </t>
  </si>
  <si>
    <t>4394 Top and Bottom Fets</t>
  </si>
  <si>
    <t xml:space="preserve">IQ </t>
  </si>
  <si>
    <t>ThetaCa</t>
  </si>
  <si>
    <t>Core to Ambient Thermal Resistance</t>
  </si>
  <si>
    <t>Quiescent Current Of Controller (Not Switching!)</t>
  </si>
  <si>
    <t>This pole cancels the zero from the Output Cap ESR</t>
  </si>
  <si>
    <t>s</t>
  </si>
  <si>
    <t>Part Characteristics</t>
  </si>
  <si>
    <t>C</t>
  </si>
  <si>
    <t>Switching Current Loss</t>
  </si>
  <si>
    <t>Rfb2_u</t>
  </si>
  <si>
    <t>CoutEsr</t>
  </si>
  <si>
    <t>Ω</t>
  </si>
  <si>
    <t>Step 4: Output Capacitor</t>
  </si>
  <si>
    <t>Step 5: Input Capacitor</t>
  </si>
  <si>
    <t>nF</t>
  </si>
  <si>
    <t>R1</t>
  </si>
  <si>
    <t>R2</t>
  </si>
  <si>
    <t>VIN</t>
  </si>
  <si>
    <t>A (rms)</t>
  </si>
  <si>
    <t>= Input Box</t>
  </si>
  <si>
    <t>Input capacitance</t>
  </si>
  <si>
    <t>Step 1: Operational Specs</t>
  </si>
  <si>
    <t>ms</t>
  </si>
  <si>
    <t>Tss</t>
  </si>
  <si>
    <t>Iss</t>
  </si>
  <si>
    <t>Css</t>
  </si>
  <si>
    <t>C1</t>
  </si>
  <si>
    <t>C2</t>
  </si>
  <si>
    <t>Ripple I</t>
  </si>
  <si>
    <t>%</t>
  </si>
  <si>
    <t xml:space="preserve">I1 </t>
  </si>
  <si>
    <t xml:space="preserve">I2 </t>
  </si>
  <si>
    <t>Part Number</t>
  </si>
  <si>
    <t>Csb</t>
  </si>
  <si>
    <t>Rh</t>
  </si>
  <si>
    <t>Capacitors</t>
  </si>
  <si>
    <t>(pF)</t>
  </si>
  <si>
    <t>Standard Result</t>
  </si>
  <si>
    <t>Inputs</t>
  </si>
  <si>
    <t>Css_u</t>
  </si>
  <si>
    <t>Resistors</t>
  </si>
  <si>
    <t>inputs</t>
  </si>
  <si>
    <t>Rs</t>
  </si>
  <si>
    <t xml:space="preserve">                </t>
  </si>
  <si>
    <t>Cc1</t>
  </si>
  <si>
    <t>Cc2</t>
  </si>
  <si>
    <t>Csby</t>
  </si>
  <si>
    <t>Rc1</t>
  </si>
  <si>
    <t>Other Input Variables</t>
  </si>
  <si>
    <r>
      <t>R</t>
    </r>
    <r>
      <rPr>
        <vertAlign val="subscript"/>
        <sz val="10"/>
        <rFont val="Arial"/>
        <family val="2"/>
      </rPr>
      <t>PG</t>
    </r>
  </si>
  <si>
    <r>
      <t>R</t>
    </r>
    <r>
      <rPr>
        <vertAlign val="subscript"/>
        <sz val="10"/>
        <rFont val="Arial"/>
        <family val="2"/>
      </rPr>
      <t>SB</t>
    </r>
  </si>
  <si>
    <t>Rfets</t>
  </si>
  <si>
    <t>cap loss eq res</t>
  </si>
  <si>
    <t>Fet loss eq res</t>
  </si>
  <si>
    <t>Diode loss eq res</t>
  </si>
  <si>
    <t>Sw cap</t>
  </si>
  <si>
    <t xml:space="preserve"> </t>
  </si>
  <si>
    <t>Rc1ea</t>
  </si>
  <si>
    <t>Frequency of Ringing</t>
  </si>
  <si>
    <t>MHz</t>
  </si>
  <si>
    <t>STD UNITS</t>
  </si>
  <si>
    <t>UNITS</t>
  </si>
  <si>
    <t>SW capacitance</t>
  </si>
  <si>
    <t>Csnub</t>
  </si>
  <si>
    <t>Lpar</t>
  </si>
  <si>
    <t>nH</t>
  </si>
  <si>
    <t>Rsnub</t>
  </si>
  <si>
    <t>Rset</t>
  </si>
  <si>
    <t>Blank out</t>
  </si>
  <si>
    <t>Input from user =</t>
  </si>
  <si>
    <t>Constant</t>
  </si>
  <si>
    <t>Step 8: Efficiency</t>
  </si>
  <si>
    <t>Vripple</t>
  </si>
  <si>
    <t>VfdSky</t>
  </si>
  <si>
    <t>QrrSky</t>
  </si>
  <si>
    <t>Ireverse</t>
  </si>
  <si>
    <t>Diode Forward Voltage</t>
  </si>
  <si>
    <t>Diode Reverse Recovery Charge</t>
  </si>
  <si>
    <t>Reverse Leakage Current</t>
  </si>
  <si>
    <t>External Diode</t>
  </si>
  <si>
    <t xml:space="preserve">Dead Time Loss </t>
  </si>
  <si>
    <t>VsdTop</t>
  </si>
  <si>
    <t>Switching Current Diss</t>
  </si>
  <si>
    <t>°C/W</t>
  </si>
  <si>
    <t>SCHEMATIC LABELS</t>
  </si>
  <si>
    <t>OUTPUT CURRENT</t>
  </si>
  <si>
    <t>Dmax</t>
  </si>
  <si>
    <t>Ipp</t>
  </si>
  <si>
    <t>Current (switching)</t>
  </si>
  <si>
    <t>Qrr Current</t>
  </si>
  <si>
    <t>Diode Current</t>
  </si>
  <si>
    <t>Std Units</t>
  </si>
  <si>
    <t>Total Application Switching IQ</t>
  </si>
  <si>
    <t xml:space="preserve">VIN </t>
  </si>
  <si>
    <t>CBOOT</t>
  </si>
  <si>
    <t>VDD</t>
  </si>
  <si>
    <t>SYNC</t>
  </si>
  <si>
    <t>EN</t>
  </si>
  <si>
    <t>PGOOD</t>
  </si>
  <si>
    <t>SS/TRACK</t>
  </si>
  <si>
    <t>FADJ</t>
  </si>
  <si>
    <t>GND</t>
  </si>
  <si>
    <t>COMP</t>
  </si>
  <si>
    <t>FB</t>
  </si>
  <si>
    <t>CS-</t>
  </si>
  <si>
    <t>CS+</t>
  </si>
  <si>
    <t>LG</t>
  </si>
  <si>
    <t>SW</t>
  </si>
  <si>
    <t>HG</t>
  </si>
  <si>
    <t>CIN</t>
  </si>
  <si>
    <t>DCR at hot</t>
  </si>
  <si>
    <t>Temp</t>
  </si>
  <si>
    <t>µH</t>
  </si>
  <si>
    <t>µF</t>
  </si>
  <si>
    <t>Cinmin</t>
  </si>
  <si>
    <t>Vinripple1</t>
  </si>
  <si>
    <t>CinEsrMax</t>
  </si>
  <si>
    <t>Vinripple2</t>
  </si>
  <si>
    <t>Output =</t>
  </si>
  <si>
    <t>OTP</t>
  </si>
  <si>
    <t>RS</t>
  </si>
  <si>
    <t>Bottom Schottky</t>
  </si>
  <si>
    <t>Step 2: Filter Inductor</t>
  </si>
  <si>
    <t>Step 1: Operating Specifications</t>
  </si>
  <si>
    <t>°C</t>
  </si>
  <si>
    <t>Std Values</t>
  </si>
  <si>
    <t>Compensation Components</t>
  </si>
  <si>
    <t>Actual P/Z Frequencies</t>
  </si>
  <si>
    <r>
      <t>A</t>
    </r>
    <r>
      <rPr>
        <vertAlign val="subscript"/>
        <sz val="10"/>
        <rFont val="Arial"/>
        <family val="2"/>
      </rPr>
      <t>pk-pk</t>
    </r>
  </si>
  <si>
    <r>
      <t>mV</t>
    </r>
    <r>
      <rPr>
        <b/>
        <vertAlign val="subscript"/>
        <sz val="10"/>
        <rFont val="Arial"/>
        <family val="2"/>
      </rPr>
      <t>pk-pk</t>
    </r>
  </si>
  <si>
    <r>
      <t>C</t>
    </r>
    <r>
      <rPr>
        <b/>
        <vertAlign val="subscript"/>
        <sz val="10"/>
        <rFont val="Arial"/>
        <family val="2"/>
      </rPr>
      <t>C1</t>
    </r>
  </si>
  <si>
    <r>
      <t>C</t>
    </r>
    <r>
      <rPr>
        <b/>
        <vertAlign val="subscript"/>
        <sz val="10"/>
        <rFont val="Arial"/>
        <family val="2"/>
      </rPr>
      <t>C2</t>
    </r>
  </si>
  <si>
    <r>
      <t>mV</t>
    </r>
    <r>
      <rPr>
        <vertAlign val="subscript"/>
        <sz val="10"/>
        <rFont val="Arial"/>
        <family val="2"/>
      </rPr>
      <t>pk-pk</t>
    </r>
  </si>
  <si>
    <t>Efficiency / Power Loss Analyzer</t>
  </si>
  <si>
    <t>Step 7: Compensation Design</t>
  </si>
  <si>
    <t>Calculated /</t>
  </si>
  <si>
    <t xml:space="preserve">Recommended Filter Inductance </t>
  </si>
  <si>
    <t xml:space="preserve">Inductor DCR </t>
  </si>
  <si>
    <t xml:space="preserve">Maximum Permitted ESR </t>
  </si>
  <si>
    <t xml:space="preserve">Output Capacitor ESR </t>
  </si>
  <si>
    <t xml:space="preserve">Input Capacitor ESR </t>
  </si>
  <si>
    <t>About</t>
  </si>
  <si>
    <t>xx</t>
  </si>
  <si>
    <t>Max ESR before ripple exceeds Vripple1</t>
  </si>
  <si>
    <t>Chosen ESR</t>
  </si>
  <si>
    <t>Input capacitance series resistance (ESR)</t>
  </si>
  <si>
    <t xml:space="preserve">Desired Crossover Frequency </t>
  </si>
  <si>
    <r>
      <t>VIN</t>
    </r>
    <r>
      <rPr>
        <vertAlign val="subscript"/>
        <sz val="10"/>
        <rFont val="Arial"/>
        <family val="2"/>
      </rPr>
      <t>UVLO_ON</t>
    </r>
  </si>
  <si>
    <t>Rising UVLO/EN Threshold</t>
  </si>
  <si>
    <t>Falling UVLO/EN Threshold</t>
  </si>
  <si>
    <t>UVLO/EN Current Hysteresis</t>
  </si>
  <si>
    <t>kΩ</t>
  </si>
  <si>
    <r>
      <t>VIN</t>
    </r>
    <r>
      <rPr>
        <vertAlign val="subscript"/>
        <sz val="10"/>
        <rFont val="Arial"/>
        <family val="2"/>
      </rPr>
      <t>UVLO_ON_ACTUAL</t>
    </r>
  </si>
  <si>
    <r>
      <t>VIN</t>
    </r>
    <r>
      <rPr>
        <vertAlign val="subscript"/>
        <sz val="10"/>
        <rFont val="Arial"/>
        <family val="2"/>
      </rPr>
      <t>UVLO_OFF_ACTUAL</t>
    </r>
  </si>
  <si>
    <t>Size</t>
  </si>
  <si>
    <t>MFR</t>
  </si>
  <si>
    <t>Std</t>
  </si>
  <si>
    <t>See description</t>
  </si>
  <si>
    <t>TI</t>
  </si>
  <si>
    <t>0603</t>
  </si>
  <si>
    <r>
      <t>C</t>
    </r>
    <r>
      <rPr>
        <vertAlign val="subscript"/>
        <sz val="10"/>
        <rFont val="Arial"/>
        <family val="2"/>
      </rPr>
      <t>C1</t>
    </r>
  </si>
  <si>
    <r>
      <t>C</t>
    </r>
    <r>
      <rPr>
        <vertAlign val="subscript"/>
        <sz val="10"/>
        <rFont val="Arial"/>
        <family val="2"/>
      </rPr>
      <t>C2</t>
    </r>
  </si>
  <si>
    <r>
      <t>C</t>
    </r>
    <r>
      <rPr>
        <vertAlign val="subscript"/>
        <sz val="10"/>
        <rFont val="Arial"/>
        <family val="2"/>
      </rPr>
      <t>CS</t>
    </r>
  </si>
  <si>
    <r>
      <t>C</t>
    </r>
    <r>
      <rPr>
        <vertAlign val="subscript"/>
        <sz val="10"/>
        <rFont val="Arial"/>
        <family val="2"/>
      </rPr>
      <t>IN</t>
    </r>
  </si>
  <si>
    <r>
      <t>C</t>
    </r>
    <r>
      <rPr>
        <vertAlign val="subscript"/>
        <sz val="10"/>
        <rFont val="Arial"/>
        <family val="2"/>
      </rPr>
      <t>OUT</t>
    </r>
  </si>
  <si>
    <r>
      <t>C</t>
    </r>
    <r>
      <rPr>
        <vertAlign val="subscript"/>
        <sz val="10"/>
        <rFont val="Arial"/>
        <family val="2"/>
      </rPr>
      <t>SS</t>
    </r>
  </si>
  <si>
    <r>
      <t>C</t>
    </r>
    <r>
      <rPr>
        <vertAlign val="subscript"/>
        <sz val="10"/>
        <rFont val="Arial"/>
        <family val="2"/>
      </rPr>
      <t>VIN</t>
    </r>
  </si>
  <si>
    <t>Ref Des</t>
  </si>
  <si>
    <t>Count</t>
  </si>
  <si>
    <t>Various</t>
  </si>
  <si>
    <t>-</t>
  </si>
  <si>
    <r>
      <t>R</t>
    </r>
    <r>
      <rPr>
        <vertAlign val="subscript"/>
        <sz val="10"/>
        <rFont val="Arial"/>
        <family val="2"/>
      </rPr>
      <t>C1</t>
    </r>
  </si>
  <si>
    <r>
      <t>R</t>
    </r>
    <r>
      <rPr>
        <vertAlign val="subscript"/>
        <sz val="10"/>
        <rFont val="Arial"/>
        <family val="2"/>
      </rPr>
      <t>UV1</t>
    </r>
  </si>
  <si>
    <r>
      <t>R</t>
    </r>
    <r>
      <rPr>
        <vertAlign val="subscript"/>
        <sz val="10"/>
        <rFont val="Arial"/>
        <family val="2"/>
      </rPr>
      <t>UV2</t>
    </r>
  </si>
  <si>
    <r>
      <t>R</t>
    </r>
    <r>
      <rPr>
        <vertAlign val="subscript"/>
        <sz val="10"/>
        <rFont val="Arial"/>
        <family val="2"/>
      </rPr>
      <t>VIN</t>
    </r>
  </si>
  <si>
    <r>
      <t>R</t>
    </r>
    <r>
      <rPr>
        <vertAlign val="subscript"/>
        <sz val="10"/>
        <rFont val="Arial"/>
        <family val="2"/>
      </rPr>
      <t>S</t>
    </r>
  </si>
  <si>
    <r>
      <t>R</t>
    </r>
    <r>
      <rPr>
        <vertAlign val="subscript"/>
        <sz val="10"/>
        <rFont val="Arial"/>
        <family val="2"/>
      </rPr>
      <t>PGOOD</t>
    </r>
  </si>
  <si>
    <r>
      <t>R</t>
    </r>
    <r>
      <rPr>
        <vertAlign val="subscript"/>
        <sz val="10"/>
        <rFont val="Arial"/>
        <family val="2"/>
      </rPr>
      <t>FB1</t>
    </r>
  </si>
  <si>
    <r>
      <t>R</t>
    </r>
    <r>
      <rPr>
        <vertAlign val="subscript"/>
        <sz val="10"/>
        <rFont val="Arial"/>
        <family val="2"/>
      </rPr>
      <t>FB2</t>
    </r>
  </si>
  <si>
    <r>
      <t>U</t>
    </r>
    <r>
      <rPr>
        <b/>
        <vertAlign val="subscript"/>
        <sz val="10"/>
        <rFont val="Arial"/>
        <family val="2"/>
      </rPr>
      <t>1</t>
    </r>
  </si>
  <si>
    <t>Rpgood</t>
  </si>
  <si>
    <t>20kΩ</t>
  </si>
  <si>
    <t>Ruv1</t>
  </si>
  <si>
    <t>Ruv2</t>
  </si>
  <si>
    <t># of input caps</t>
  </si>
  <si>
    <t>Capacitance per component (Cin)</t>
  </si>
  <si>
    <t>Capacitance per component (Cout)</t>
  </si>
  <si>
    <t># of output caps</t>
  </si>
  <si>
    <t>Input Voltage UVLO Off</t>
  </si>
  <si>
    <t>Ω</t>
  </si>
  <si>
    <r>
      <rPr>
        <b/>
        <u/>
        <sz val="10"/>
        <rFont val="Arial"/>
        <family val="2"/>
      </rPr>
      <t>NOTES</t>
    </r>
    <r>
      <rPr>
        <b/>
        <sz val="10"/>
        <rFont val="Arial"/>
        <family val="2"/>
      </rPr>
      <t>:</t>
    </r>
  </si>
  <si>
    <t>Series resistance due to FETs</t>
  </si>
  <si>
    <t>Output Resistance</t>
  </si>
  <si>
    <r>
      <t>On-State Resistance, 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</t>
    </r>
  </si>
  <si>
    <r>
      <t>Total Gate Charge, Q</t>
    </r>
    <r>
      <rPr>
        <b/>
        <vertAlign val="subscript"/>
        <sz val="10"/>
        <rFont val="Arial"/>
        <family val="2"/>
      </rPr>
      <t>G</t>
    </r>
    <r>
      <rPr>
        <b/>
        <sz val="10"/>
        <rFont val="Arial"/>
        <family val="2"/>
      </rPr>
      <t xml:space="preserve"> </t>
    </r>
  </si>
  <si>
    <r>
      <t>Gate-Drain Charge, Q</t>
    </r>
    <r>
      <rPr>
        <b/>
        <vertAlign val="subscript"/>
        <sz val="10"/>
        <rFont val="Arial"/>
        <family val="2"/>
      </rPr>
      <t>GD</t>
    </r>
    <r>
      <rPr>
        <b/>
        <sz val="10"/>
        <rFont val="Arial"/>
        <family val="2"/>
      </rPr>
      <t xml:space="preserve"> </t>
    </r>
  </si>
  <si>
    <r>
      <t>Gate-Source Charge, Q</t>
    </r>
    <r>
      <rPr>
        <b/>
        <vertAlign val="subscript"/>
        <sz val="10"/>
        <rFont val="Arial"/>
        <family val="2"/>
      </rPr>
      <t>GS</t>
    </r>
    <r>
      <rPr>
        <b/>
        <sz val="10"/>
        <rFont val="Arial"/>
        <family val="2"/>
      </rPr>
      <t xml:space="preserve"> </t>
    </r>
  </si>
  <si>
    <r>
      <t>Gate Resistance, R</t>
    </r>
    <r>
      <rPr>
        <b/>
        <vertAlign val="subscript"/>
        <sz val="10"/>
        <rFont val="Arial"/>
        <family val="2"/>
      </rPr>
      <t>G</t>
    </r>
    <r>
      <rPr>
        <b/>
        <sz val="10"/>
        <rFont val="Arial"/>
        <family val="2"/>
      </rPr>
      <t xml:space="preserve"> </t>
    </r>
  </si>
  <si>
    <r>
      <t>Transconductance, g</t>
    </r>
    <r>
      <rPr>
        <b/>
        <vertAlign val="subscript"/>
        <sz val="10"/>
        <rFont val="Arial"/>
        <family val="2"/>
      </rPr>
      <t>FS</t>
    </r>
    <r>
      <rPr>
        <b/>
        <sz val="10"/>
        <rFont val="Arial"/>
        <family val="2"/>
      </rPr>
      <t xml:space="preserve"> </t>
    </r>
  </si>
  <si>
    <r>
      <t>Thermal Resistance, θ</t>
    </r>
    <r>
      <rPr>
        <b/>
        <vertAlign val="subscript"/>
        <sz val="10"/>
        <rFont val="Arial"/>
        <family val="2"/>
      </rPr>
      <t>JA</t>
    </r>
    <r>
      <rPr>
        <b/>
        <sz val="10"/>
        <rFont val="Arial"/>
        <family val="2"/>
      </rPr>
      <t xml:space="preserve"> </t>
    </r>
  </si>
  <si>
    <t>%/°C</t>
  </si>
  <si>
    <t>Rt</t>
  </si>
  <si>
    <r>
      <t>Output Voltage, V</t>
    </r>
    <r>
      <rPr>
        <b/>
        <vertAlign val="subscript"/>
        <sz val="10"/>
        <color theme="1"/>
        <rFont val="Arial"/>
        <family val="2"/>
      </rPr>
      <t>OUT</t>
    </r>
    <r>
      <rPr>
        <b/>
        <sz val="10"/>
        <color theme="1"/>
        <rFont val="Arial"/>
        <family val="2"/>
      </rPr>
      <t xml:space="preserve"> </t>
    </r>
  </si>
  <si>
    <r>
      <t>Inductance, L</t>
    </r>
    <r>
      <rPr>
        <b/>
        <vertAlign val="subscript"/>
        <sz val="10"/>
        <color theme="1"/>
        <rFont val="Arial"/>
        <family val="2"/>
      </rPr>
      <t>F</t>
    </r>
    <r>
      <rPr>
        <b/>
        <sz val="10"/>
        <color theme="1"/>
        <rFont val="Arial"/>
        <family val="2"/>
      </rPr>
      <t xml:space="preserve"> </t>
    </r>
  </si>
  <si>
    <r>
      <t>Frequency Set Resistor, R</t>
    </r>
    <r>
      <rPr>
        <vertAlign val="subscript"/>
        <sz val="10"/>
        <rFont val="Arial"/>
        <family val="2"/>
      </rPr>
      <t>T</t>
    </r>
    <r>
      <rPr>
        <sz val="10"/>
        <rFont val="Arial"/>
        <family val="2"/>
      </rPr>
      <t xml:space="preserve"> </t>
    </r>
  </si>
  <si>
    <r>
      <t>Output Capacitance, C</t>
    </r>
    <r>
      <rPr>
        <b/>
        <vertAlign val="subscript"/>
        <sz val="10"/>
        <rFont val="Arial"/>
        <family val="2"/>
      </rPr>
      <t>OUT</t>
    </r>
    <r>
      <rPr>
        <b/>
        <sz val="10"/>
        <rFont val="Arial"/>
        <family val="2"/>
      </rPr>
      <t xml:space="preserve"> </t>
    </r>
  </si>
  <si>
    <r>
      <t>Input Capacitance, C</t>
    </r>
    <r>
      <rPr>
        <b/>
        <vertAlign val="subscript"/>
        <sz val="10"/>
        <color theme="1"/>
        <rFont val="Arial"/>
        <family val="2"/>
      </rPr>
      <t>IN</t>
    </r>
    <r>
      <rPr>
        <b/>
        <sz val="10"/>
        <color theme="1"/>
        <rFont val="Arial"/>
        <family val="2"/>
      </rPr>
      <t xml:space="preserve"> </t>
    </r>
  </si>
  <si>
    <r>
      <t>Soft-Start Capacitance, C</t>
    </r>
    <r>
      <rPr>
        <vertAlign val="subscript"/>
        <sz val="10"/>
        <rFont val="Arial"/>
        <family val="2"/>
      </rPr>
      <t>SS</t>
    </r>
    <r>
      <rPr>
        <sz val="10"/>
        <rFont val="Arial"/>
        <family val="2"/>
      </rPr>
      <t xml:space="preserve"> </t>
    </r>
  </si>
  <si>
    <r>
      <t>Soft-Start Time, t</t>
    </r>
    <r>
      <rPr>
        <b/>
        <vertAlign val="subscript"/>
        <sz val="10"/>
        <color theme="1"/>
        <rFont val="Arial"/>
        <family val="2"/>
      </rPr>
      <t>SS</t>
    </r>
    <r>
      <rPr>
        <b/>
        <sz val="10"/>
        <color theme="1"/>
        <rFont val="Arial"/>
        <family val="2"/>
      </rPr>
      <t xml:space="preserve"> </t>
    </r>
  </si>
  <si>
    <r>
      <t>Upper Feedback Resistor, R</t>
    </r>
    <r>
      <rPr>
        <b/>
        <vertAlign val="subscript"/>
        <sz val="10"/>
        <rFont val="Arial"/>
        <family val="2"/>
      </rPr>
      <t xml:space="preserve">FB1 </t>
    </r>
  </si>
  <si>
    <r>
      <t>Lower Feedback Resistor, R</t>
    </r>
    <r>
      <rPr>
        <vertAlign val="subscript"/>
        <sz val="10"/>
        <rFont val="Arial"/>
        <family val="2"/>
      </rPr>
      <t>FB2</t>
    </r>
    <r>
      <rPr>
        <sz val="10"/>
        <rFont val="Arial"/>
        <family val="2"/>
      </rPr>
      <t xml:space="preserve"> </t>
    </r>
  </si>
  <si>
    <r>
      <t>V</t>
    </r>
    <r>
      <rPr>
        <vertAlign val="subscript"/>
        <sz val="10"/>
        <color theme="1"/>
        <rFont val="Arial"/>
        <family val="2"/>
      </rPr>
      <t>IN(min)</t>
    </r>
  </si>
  <si>
    <r>
      <t>V</t>
    </r>
    <r>
      <rPr>
        <vertAlign val="subscript"/>
        <sz val="10"/>
        <color theme="1"/>
        <rFont val="Arial"/>
        <family val="2"/>
      </rPr>
      <t>IN(nom)</t>
    </r>
  </si>
  <si>
    <r>
      <t>V</t>
    </r>
    <r>
      <rPr>
        <vertAlign val="subscript"/>
        <sz val="10"/>
        <color theme="1"/>
        <rFont val="Arial"/>
        <family val="2"/>
      </rPr>
      <t>IN(max)</t>
    </r>
  </si>
  <si>
    <t>VIN_max</t>
  </si>
  <si>
    <t>VIN_min</t>
  </si>
  <si>
    <t>Minimum input voltage</t>
  </si>
  <si>
    <t>Maximum input voltage</t>
  </si>
  <si>
    <t>Maximum Output Current</t>
  </si>
  <si>
    <t>Nominal Switching Frequency</t>
  </si>
  <si>
    <t>Voltage Hysteresis</t>
  </si>
  <si>
    <t>Falling UVLO/EN Current</t>
  </si>
  <si>
    <t>Rising UVLO/EN Current</t>
  </si>
  <si>
    <t>mV</t>
  </si>
  <si>
    <r>
      <t>Lower UVLO Resistor, R</t>
    </r>
    <r>
      <rPr>
        <vertAlign val="subscript"/>
        <sz val="10"/>
        <rFont val="Arial"/>
        <family val="2"/>
      </rPr>
      <t>UV2</t>
    </r>
  </si>
  <si>
    <r>
      <t>Upper UVLO Resistor, R</t>
    </r>
    <r>
      <rPr>
        <b/>
        <vertAlign val="subscript"/>
        <sz val="10"/>
        <rFont val="Arial"/>
        <family val="2"/>
      </rPr>
      <t>UV1</t>
    </r>
  </si>
  <si>
    <t>Required Input Voltage UVLO On</t>
  </si>
  <si>
    <r>
      <t>C</t>
    </r>
    <r>
      <rPr>
        <vertAlign val="subscript"/>
        <sz val="10"/>
        <rFont val="Arial"/>
        <family val="2"/>
      </rPr>
      <t>OUT</t>
    </r>
    <r>
      <rPr>
        <sz val="10"/>
        <rFont val="Arial"/>
        <family val="2"/>
      </rPr>
      <t xml:space="preserve"> ESR Zero Frequency </t>
    </r>
  </si>
  <si>
    <t>Load Pole Frequency</t>
  </si>
  <si>
    <t>Ideal Duty Cycle at VIN(nom)</t>
  </si>
  <si>
    <t>Ideal 1- Duty Cycle at VIN(nom)</t>
  </si>
  <si>
    <t>Don_Vinmin</t>
  </si>
  <si>
    <t>Don_Vinmax</t>
  </si>
  <si>
    <t>Lf_Vinmin</t>
  </si>
  <si>
    <t>Lf_Vinmax</t>
  </si>
  <si>
    <t>Lf</t>
  </si>
  <si>
    <t>Pout</t>
  </si>
  <si>
    <t>Iin_Vinmin</t>
  </si>
  <si>
    <t>Iin_Vinnom</t>
  </si>
  <si>
    <t>Iin_Vinmax</t>
  </si>
  <si>
    <t>Pin</t>
  </si>
  <si>
    <t>Iripple_Vinmin</t>
  </si>
  <si>
    <t>Iripple_Vinnom</t>
  </si>
  <si>
    <t>Iripple_Vinmax</t>
  </si>
  <si>
    <t>L_Vinmin</t>
  </si>
  <si>
    <t>L_Vinnom</t>
  </si>
  <si>
    <t>L_Vinmax</t>
  </si>
  <si>
    <t>Lf_Vinnom</t>
  </si>
  <si>
    <t>Lopt</t>
  </si>
  <si>
    <t>Don_Vinnom</t>
  </si>
  <si>
    <t>Don_Vinmin_2</t>
  </si>
  <si>
    <t>Don_Vinnom_2</t>
  </si>
  <si>
    <t>Don_Vinmax_2</t>
  </si>
  <si>
    <t>% Ripple Current</t>
  </si>
  <si>
    <t>Iin</t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</si>
  <si>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IN(min)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</si>
  <si>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IN(nom)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</si>
  <si>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as a %</t>
    </r>
    <r>
      <rPr>
        <sz val="10"/>
        <rFont val="Arial"/>
        <family val="2"/>
      </rPr>
      <t xml:space="preserve"> at V</t>
    </r>
    <r>
      <rPr>
        <vertAlign val="subscript"/>
        <sz val="10"/>
        <rFont val="Arial"/>
        <family val="2"/>
      </rPr>
      <t>IN(max)</t>
    </r>
  </si>
  <si>
    <t>Recommended SLOPE Capacitance</t>
  </si>
  <si>
    <r>
      <t>Sense Resistance, R</t>
    </r>
    <r>
      <rPr>
        <b/>
        <vertAlign val="subscript"/>
        <sz val="10"/>
        <color theme="1"/>
        <rFont val="Arial"/>
        <family val="2"/>
      </rPr>
      <t>S</t>
    </r>
  </si>
  <si>
    <t>Step 6: Soft-start, Dither, UVLO</t>
  </si>
  <si>
    <t>Recommended Sense Resistance</t>
  </si>
  <si>
    <r>
      <t>SLOPE Capacitance, C</t>
    </r>
    <r>
      <rPr>
        <b/>
        <vertAlign val="subscript"/>
        <sz val="10"/>
        <color theme="1"/>
        <rFont val="Arial"/>
        <family val="2"/>
      </rPr>
      <t>SLOPE</t>
    </r>
  </si>
  <si>
    <t>Buck CS threshold</t>
  </si>
  <si>
    <t>Boost CS Threshold</t>
  </si>
  <si>
    <t>Ilimit_DC</t>
  </si>
  <si>
    <t>Max inductor ripple current</t>
  </si>
  <si>
    <t>Calculate input power assuming 90% efficiency</t>
  </si>
  <si>
    <t>Output power</t>
  </si>
  <si>
    <t>Input currents at min, nom, max Vin</t>
  </si>
  <si>
    <t>Frequency Set Resistor</t>
  </si>
  <si>
    <t>Rs_ideal</t>
  </si>
  <si>
    <t>or</t>
  </si>
  <si>
    <t>Ilimit_inductor_Vinmin</t>
  </si>
  <si>
    <t>Ilimit_inductor_Vinmax</t>
  </si>
  <si>
    <t>Ilimit_inductor_Vinnom</t>
  </si>
  <si>
    <t>At Iout = Ilimit_DC:</t>
  </si>
  <si>
    <t>Selected (starndard value) current limit sense resistor</t>
  </si>
  <si>
    <t>Cslope_ideal</t>
  </si>
  <si>
    <t>mΩ</t>
  </si>
  <si>
    <t>Cslope</t>
  </si>
  <si>
    <t>Cslope_recommended</t>
  </si>
  <si>
    <t>Cslope_selected</t>
  </si>
  <si>
    <t>V/s</t>
  </si>
  <si>
    <t>at VIN_min</t>
  </si>
  <si>
    <t>at VIN_nom</t>
  </si>
  <si>
    <t>at VIN_max</t>
  </si>
  <si>
    <t>Islope_fixed</t>
  </si>
  <si>
    <t>SLOPE comp dv/dt = I_slope_total/Cslope</t>
  </si>
  <si>
    <t xml:space="preserve">BUCK </t>
  </si>
  <si>
    <t>BOOST</t>
  </si>
  <si>
    <t>I_valley BUCK</t>
  </si>
  <si>
    <t>I_peak BOOST</t>
  </si>
  <si>
    <t>Required Constant Current Loop Setpoint</t>
  </si>
  <si>
    <t>Current Limit Threshold</t>
  </si>
  <si>
    <t>Shunt Resistor in Output Leg</t>
  </si>
  <si>
    <t>Rshunt</t>
  </si>
  <si>
    <t>TBD</t>
  </si>
  <si>
    <t>Output Cap RMS current</t>
  </si>
  <si>
    <t>Icoutrms_VINmin</t>
  </si>
  <si>
    <t>Icoutrms_VINnom</t>
  </si>
  <si>
    <t>Icoutrms_VINmax</t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</si>
  <si>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Vinmin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</si>
  <si>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Vinnom</t>
    </r>
  </si>
  <si>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V_SLOPEcomp at Vinmax</t>
    </r>
  </si>
  <si>
    <t>Chosen Output Capacitance</t>
  </si>
  <si>
    <t>Cdither</t>
  </si>
  <si>
    <t>Cdither_calculated</t>
  </si>
  <si>
    <t>Cdither_stdvalue</t>
  </si>
  <si>
    <r>
      <t>R</t>
    </r>
    <r>
      <rPr>
        <b/>
        <vertAlign val="subscript"/>
        <sz val="10"/>
        <rFont val="Arial"/>
        <family val="2"/>
      </rPr>
      <t>C</t>
    </r>
  </si>
  <si>
    <t>Boost RHP Zero Frequency</t>
  </si>
  <si>
    <t>Frhp</t>
  </si>
  <si>
    <t>Rout</t>
  </si>
  <si>
    <t>Load resistance</t>
  </si>
  <si>
    <r>
      <t xml:space="preserve">Chosen Compensation Components from the </t>
    </r>
    <r>
      <rPr>
        <b/>
        <u/>
        <sz val="10"/>
        <color indexed="10"/>
        <rFont val="Arial"/>
        <family val="2"/>
      </rPr>
      <t>standard value sheet</t>
    </r>
  </si>
  <si>
    <t>Modulator</t>
  </si>
  <si>
    <t>Total System</t>
  </si>
  <si>
    <t>Afb1</t>
  </si>
  <si>
    <t>Acs</t>
  </si>
  <si>
    <t>z1</t>
  </si>
  <si>
    <t>p3</t>
  </si>
  <si>
    <t>Adc</t>
  </si>
  <si>
    <t>z2</t>
  </si>
  <si>
    <t>Am</t>
  </si>
  <si>
    <t>p1</t>
  </si>
  <si>
    <t>pterm1</t>
  </si>
  <si>
    <t>Crossover</t>
  </si>
  <si>
    <t>p2</t>
  </si>
  <si>
    <t>pterm2</t>
  </si>
  <si>
    <t>Phase Margin</t>
  </si>
  <si>
    <t>Aea</t>
  </si>
  <si>
    <t>radconv</t>
  </si>
  <si>
    <t>p4</t>
  </si>
  <si>
    <t>k</t>
  </si>
  <si>
    <t>gm</t>
  </si>
  <si>
    <t>Power Stage</t>
  </si>
  <si>
    <t>Error Amplifier</t>
  </si>
  <si>
    <t>Sampling Double Pole</t>
  </si>
  <si>
    <t>System Response</t>
  </si>
  <si>
    <t>ERROR AMP Response</t>
  </si>
  <si>
    <t>PLANT Response</t>
  </si>
  <si>
    <t>Gain(V/V)</t>
  </si>
  <si>
    <t>Phase(rad)</t>
  </si>
  <si>
    <t>Gain (dB)</t>
  </si>
  <si>
    <t>Phase Margin (°)</t>
  </si>
  <si>
    <t>Phase (°)</t>
  </si>
  <si>
    <t>Fsquare</t>
  </si>
  <si>
    <t>Gain(dB)</t>
  </si>
  <si>
    <t>Phase(Deg)</t>
  </si>
  <si>
    <t>Pole/Zero Locations for Chart</t>
  </si>
  <si>
    <t>crossover</t>
  </si>
  <si>
    <t>System</t>
  </si>
  <si>
    <t>Plant</t>
  </si>
  <si>
    <t>Ri</t>
  </si>
  <si>
    <t>Error Amp Transconductance</t>
  </si>
  <si>
    <t>Se</t>
  </si>
  <si>
    <t>A/s</t>
  </si>
  <si>
    <t>Sn</t>
  </si>
  <si>
    <t>On-time Slope</t>
  </si>
  <si>
    <t>mc</t>
  </si>
  <si>
    <t>GBW</t>
  </si>
  <si>
    <t>Cbw</t>
  </si>
  <si>
    <t>RoEA</t>
  </si>
  <si>
    <t>AEA</t>
  </si>
  <si>
    <t>Afb</t>
  </si>
  <si>
    <t>p</t>
  </si>
  <si>
    <t xml:space="preserve">Error Amp Pole Frequency </t>
  </si>
  <si>
    <t>Cslope_u</t>
  </si>
  <si>
    <t>This component will largely determine the crossover frequency</t>
  </si>
  <si>
    <t>This along with Rcea1 places a pole at the output cap ESR zero</t>
  </si>
  <si>
    <t>1/(Pi*(k-0.5))</t>
  </si>
  <si>
    <t>Acs = 1/Ri</t>
  </si>
  <si>
    <t>Current Sense effective resistance = shunt resistor Rs * CS amp gain</t>
  </si>
  <si>
    <t>Fp_EA</t>
  </si>
  <si>
    <t>Fp_HF</t>
  </si>
  <si>
    <t>mc*D</t>
  </si>
  <si>
    <t>Off-time Slope</t>
  </si>
  <si>
    <t>Sf</t>
  </si>
  <si>
    <t>mc = 1 + Se/Sf for valley current-mode buck</t>
  </si>
  <si>
    <t>gm_slopecomp</t>
  </si>
  <si>
    <t>adaptive slope comp gm amplifier transconductance</t>
  </si>
  <si>
    <t>CS Amp Gain</t>
  </si>
  <si>
    <t>Slope Comp Slope - referred to inductor current</t>
  </si>
  <si>
    <t>Se_int</t>
  </si>
  <si>
    <t>Step 3: Sense Resistors, Slope Comp, Current Limit</t>
  </si>
  <si>
    <t>Q = 2/Pi = 0.636 gives ideal one-cycle damping</t>
  </si>
  <si>
    <t>Error Amp HF pole cancels zero related to Output Cap ESR</t>
  </si>
  <si>
    <t>EXCEL Variables Names/Calculations</t>
  </si>
  <si>
    <t>Resulting Pole/Zero Locations</t>
  </si>
  <si>
    <t>Sn_int</t>
  </si>
  <si>
    <t>Sf_int</t>
  </si>
  <si>
    <t>Slope Comp Slope - referred to IC</t>
  </si>
  <si>
    <t>etc</t>
  </si>
  <si>
    <t>Isc_const</t>
  </si>
  <si>
    <t>°</t>
  </si>
  <si>
    <t>Std Value Lower Feedback Resistance</t>
  </si>
  <si>
    <t>Lower Feedback Resistance</t>
  </si>
  <si>
    <t>Upper Feedback Resistance - chosen by user</t>
  </si>
  <si>
    <t>Drain-Source Resistance of Pullup High-side FET Driver</t>
  </si>
  <si>
    <t>Drain-Source Resistance of Pulldown High-side FET Driver</t>
  </si>
  <si>
    <t>Drain-Source Resistance of Pullup Low-side FET Driver</t>
  </si>
  <si>
    <t>Drain-Source Resistance of Pulldown Low-side FET Driver</t>
  </si>
  <si>
    <t>Drain-Source Resistance Temp Co</t>
  </si>
  <si>
    <t>Diode Forward Voltage of Low-side FET Body Diode</t>
  </si>
  <si>
    <t>slope comp constant current source</t>
  </si>
  <si>
    <t>Duty cycles adjusted for DCR and shunt voltage drops</t>
  </si>
  <si>
    <t>Desired Crossover Frequency</t>
  </si>
  <si>
    <t>Cout ESR zero frequency</t>
  </si>
  <si>
    <t>Boost RHP zero frequency (if applicable)</t>
  </si>
  <si>
    <t>Error Amp LF pole -- related to amplifier ouptut resistance and comp cap</t>
  </si>
  <si>
    <t>Buck dominant pole frequency -- note slope comp influence</t>
  </si>
  <si>
    <t>Boost dominant pole frequency -- need to add slope comp component</t>
  </si>
  <si>
    <t>Fp_load_boost</t>
  </si>
  <si>
    <t>Fp_load_buck</t>
  </si>
  <si>
    <t>IC Power Disipation</t>
  </si>
  <si>
    <t>Iteration</t>
  </si>
  <si>
    <t>Output Ripple Spec (pk-pk)</t>
  </si>
  <si>
    <t>Rmode</t>
  </si>
  <si>
    <t>zero-order sample and hold effects of current-mode control modeled as pole at Fsw/2</t>
  </si>
  <si>
    <t>F_mod</t>
  </si>
  <si>
    <t>Am_buck</t>
  </si>
  <si>
    <t>mc_boost</t>
  </si>
  <si>
    <t>k_boost</t>
  </si>
  <si>
    <t>Am_boost</t>
  </si>
  <si>
    <t>DC Gain is Adc = AEA*Afb*Am</t>
  </si>
  <si>
    <t>A/V</t>
  </si>
  <si>
    <t>Power Stage Poles/Zeros</t>
  </si>
  <si>
    <t>Complex Pole Pair</t>
  </si>
  <si>
    <t>Divider Network &amp; EA Poles/Zeros</t>
  </si>
  <si>
    <t>mc_buck</t>
  </si>
  <si>
    <t>k_buck</t>
  </si>
  <si>
    <t>mV/μs</t>
  </si>
  <si>
    <t>mc*(1-D)</t>
  </si>
  <si>
    <t>Error Amp (EA)</t>
  </si>
  <si>
    <t>Boost modulator gain -- need to adjust for adaptive slope comp</t>
  </si>
  <si>
    <r>
      <t>need to include R</t>
    </r>
    <r>
      <rPr>
        <vertAlign val="subscript"/>
        <sz val="10"/>
        <color rgb="FFFF0000"/>
        <rFont val="Arial"/>
        <family val="2"/>
      </rPr>
      <t>DS(on)</t>
    </r>
    <r>
      <rPr>
        <sz val="10"/>
        <color rgb="FFFF0000"/>
        <rFont val="Arial"/>
        <family val="2"/>
      </rPr>
      <t xml:space="preserve"> later</t>
    </r>
  </si>
  <si>
    <t>Shunt</t>
  </si>
  <si>
    <t>BOOST current limit - peak</t>
  </si>
  <si>
    <t>Iout_OCP_Vinmin</t>
  </si>
  <si>
    <t>Iout_OCP_Vinmax</t>
  </si>
  <si>
    <t>ILpeak_OCP_Vinmin</t>
  </si>
  <si>
    <t>ILpeak_OCP_Vinnom</t>
  </si>
  <si>
    <t>ILpeak_OCP_Vinmax</t>
  </si>
  <si>
    <t>Peak inductor currents in OCP</t>
  </si>
  <si>
    <r>
      <t>Current limit setpoints (i.e. I</t>
    </r>
    <r>
      <rPr>
        <vertAlign val="subscript"/>
        <sz val="10"/>
        <rFont val="Arial"/>
        <family val="2"/>
      </rPr>
      <t>OUT</t>
    </r>
    <r>
      <rPr>
        <sz val="10"/>
        <rFont val="Arial"/>
        <family val="2"/>
      </rPr>
      <t>) after standard components are selected</t>
    </r>
  </si>
  <si>
    <t>Output voltage ripple spec(pk-pk)</t>
  </si>
  <si>
    <t>Vout ripple spec at Vin(nom)</t>
  </si>
  <si>
    <t xml:space="preserve">Minimum Output Capacitance </t>
  </si>
  <si>
    <t>Load cap current during soft start</t>
  </si>
  <si>
    <t>Soft-start time</t>
  </si>
  <si>
    <t>zRHP</t>
  </si>
  <si>
    <t>p-dom</t>
  </si>
  <si>
    <t>p_dom</t>
  </si>
  <si>
    <t>z_ESR</t>
  </si>
  <si>
    <t>z_RHP</t>
  </si>
  <si>
    <t>uses Vin(nom)!!</t>
  </si>
  <si>
    <t>50ns for LM5175</t>
  </si>
  <si>
    <t>Low-side MOSFET/Diode</t>
  </si>
  <si>
    <t>EA pole, p2</t>
  </si>
  <si>
    <t>EA pole, p1</t>
  </si>
  <si>
    <t>EA zero, z1</t>
  </si>
  <si>
    <t>Fp_dominant</t>
  </si>
  <si>
    <t>p_sampling</t>
  </si>
  <si>
    <t>ESR zero</t>
  </si>
  <si>
    <t>EA pole</t>
  </si>
  <si>
    <t>EA zero</t>
  </si>
  <si>
    <t>RHP zero</t>
  </si>
  <si>
    <t>This zero is set at or close to the dominant load pole</t>
  </si>
  <si>
    <t>Freq (Hz)</t>
  </si>
  <si>
    <t>scaling factor to calculate Rcomp - buck</t>
  </si>
  <si>
    <t>scaling factor to calculate Rcomp - boost</t>
  </si>
  <si>
    <r>
      <t>Hz  (F</t>
    </r>
    <r>
      <rPr>
        <vertAlign val="subscript"/>
        <sz val="10"/>
        <rFont val="Arial"/>
        <family val="2"/>
      </rPr>
      <t>PEA</t>
    </r>
    <r>
      <rPr>
        <sz val="10"/>
        <rFont val="Arial"/>
        <family val="2"/>
      </rPr>
      <t>)</t>
    </r>
  </si>
  <si>
    <t>KM</t>
  </si>
  <si>
    <t>KD</t>
  </si>
  <si>
    <t>Se_fixed</t>
  </si>
  <si>
    <t>Se_proportional</t>
  </si>
  <si>
    <t>Se_ext</t>
  </si>
  <si>
    <t>Buck modulator gain</t>
  </si>
  <si>
    <t>Feedback gain from Vout to FB</t>
  </si>
  <si>
    <t>V_sc_fixed</t>
  </si>
  <si>
    <t>V_sc_proportional</t>
  </si>
  <si>
    <t>V_sc_total</t>
  </si>
  <si>
    <t>Slope comp slope - internal</t>
  </si>
  <si>
    <t>EA DC gain = gm*RoEA</t>
  </si>
  <si>
    <t>EA output resistance</t>
  </si>
  <si>
    <t>EA effective bandwidth limiting capacitance = gm/(2*Pi*GBW)</t>
  </si>
  <si>
    <t>EA gain-bandwidth product</t>
  </si>
  <si>
    <t>mc = 1 + Se/Sn for peak current-mode boost</t>
  </si>
  <si>
    <t>K_SL</t>
  </si>
  <si>
    <t>Fixed slope comp amplitude over full period</t>
  </si>
  <si>
    <t>Proportional slope comp amplitude over full period</t>
  </si>
  <si>
    <t>Total slope comp amplitude over full period</t>
  </si>
  <si>
    <t>Proportional slope comp factor, where Vslope= Abs(Vin-Vout)*KSL</t>
  </si>
  <si>
    <t>KSL = gm/(Cslope*Fsw)</t>
  </si>
  <si>
    <t>K_1</t>
  </si>
  <si>
    <t>Take the buck or boost parameter as appropriate</t>
  </si>
  <si>
    <t>2*Pi*Ri/gm -- scaling factor to calculate Rcomp given desired buck crossover frequency</t>
  </si>
  <si>
    <t>2*Pi*Ri/gm -- scaling factor to calculate Rcomp given desired boost crossover frequency</t>
  </si>
  <si>
    <t>Diode/FET</t>
  </si>
  <si>
    <t>High Efficiency Synchronous Buck-Boost Regulator BOM</t>
  </si>
  <si>
    <t>Iout_OCP_Vinnom</t>
  </si>
  <si>
    <t>IL_peak_OCP</t>
  </si>
  <si>
    <t>Peak inductor current over the full input range</t>
  </si>
  <si>
    <r>
      <t>C</t>
    </r>
    <r>
      <rPr>
        <vertAlign val="subscript"/>
        <sz val="10"/>
        <rFont val="Arial"/>
        <family val="2"/>
      </rPr>
      <t>SLOPE</t>
    </r>
  </si>
  <si>
    <r>
      <t>L</t>
    </r>
    <r>
      <rPr>
        <vertAlign val="subscript"/>
        <sz val="10"/>
        <rFont val="Arial"/>
        <family val="2"/>
      </rPr>
      <t>F</t>
    </r>
  </si>
  <si>
    <r>
      <t>R</t>
    </r>
    <r>
      <rPr>
        <vertAlign val="subscript"/>
        <sz val="10"/>
        <rFont val="Arial"/>
        <family val="2"/>
      </rPr>
      <t>CS</t>
    </r>
    <r>
      <rPr>
        <sz val="10"/>
        <rFont val="Arial"/>
        <family val="2"/>
      </rPr>
      <t>, R</t>
    </r>
    <r>
      <rPr>
        <vertAlign val="subscript"/>
        <sz val="10"/>
        <rFont val="Arial"/>
        <family val="2"/>
      </rPr>
      <t>CSG</t>
    </r>
  </si>
  <si>
    <r>
      <t>R</t>
    </r>
    <r>
      <rPr>
        <vertAlign val="subscript"/>
        <sz val="10"/>
        <rFont val="Arial"/>
        <family val="2"/>
      </rPr>
      <t>T</t>
    </r>
  </si>
  <si>
    <t>** Effective input and output capacitances should be appropriately derated for applied voltage and temperature, particularly with ceramics **</t>
  </si>
  <si>
    <t>Schottky Diode, 200mA</t>
  </si>
  <si>
    <r>
      <t>D</t>
    </r>
    <r>
      <rPr>
        <vertAlign val="subscript"/>
        <sz val="10"/>
        <rFont val="Arial"/>
        <family val="2"/>
      </rPr>
      <t>BOOT1</t>
    </r>
    <r>
      <rPr>
        <sz val="10"/>
        <rFont val="Arial"/>
        <family val="2"/>
      </rPr>
      <t>, D</t>
    </r>
    <r>
      <rPr>
        <vertAlign val="subscript"/>
        <sz val="10"/>
        <rFont val="Arial"/>
        <family val="2"/>
      </rPr>
      <t xml:space="preserve">BOOT2, </t>
    </r>
    <r>
      <rPr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VIN </t>
    </r>
  </si>
  <si>
    <r>
      <t>C</t>
    </r>
    <r>
      <rPr>
        <vertAlign val="subscript"/>
        <sz val="10"/>
        <rFont val="Arial"/>
        <family val="2"/>
      </rPr>
      <t>DITH</t>
    </r>
  </si>
  <si>
    <r>
      <t>C</t>
    </r>
    <r>
      <rPr>
        <vertAlign val="subscript"/>
        <sz val="10"/>
        <rFont val="Arial"/>
        <family val="2"/>
      </rPr>
      <t>BOOT1</t>
    </r>
    <r>
      <rPr>
        <sz val="10"/>
        <rFont val="Arial"/>
        <family val="2"/>
      </rPr>
      <t>, C</t>
    </r>
    <r>
      <rPr>
        <vertAlign val="subscript"/>
        <sz val="10"/>
        <rFont val="Arial"/>
        <family val="2"/>
      </rPr>
      <t>BOOT2</t>
    </r>
  </si>
  <si>
    <r>
      <t>C</t>
    </r>
    <r>
      <rPr>
        <vertAlign val="subscript"/>
        <sz val="10"/>
        <rFont val="Arial"/>
        <family val="2"/>
      </rPr>
      <t>VCC</t>
    </r>
  </si>
  <si>
    <t>Step 3: OCP, Sense Resistors, Slope Comp</t>
  </si>
  <si>
    <t>** Inductor saturation current should be higher than the peak inductor current at the OCP setpoint for all input voltages and operating temperatures **</t>
  </si>
  <si>
    <r>
      <rPr>
        <sz val="10"/>
        <rFont val="Symbol"/>
        <family val="1"/>
        <charset val="2"/>
      </rPr>
      <t>°</t>
    </r>
    <r>
      <rPr>
        <sz val="10"/>
        <rFont val="Arial"/>
        <family val="2"/>
      </rPr>
      <t>C</t>
    </r>
  </si>
  <si>
    <r>
      <t>m</t>
    </r>
    <r>
      <rPr>
        <sz val="10"/>
        <rFont val="Symbol"/>
        <family val="1"/>
        <charset val="2"/>
      </rPr>
      <t>W</t>
    </r>
  </si>
  <si>
    <t>μF</t>
  </si>
  <si>
    <t>Filter Inductance</t>
  </si>
  <si>
    <r>
      <t>Inductor DCR at 25</t>
    </r>
    <r>
      <rPr>
        <sz val="10"/>
        <rFont val="Symbol"/>
        <family val="1"/>
        <charset val="2"/>
      </rPr>
      <t>°</t>
    </r>
    <r>
      <rPr>
        <sz val="10"/>
        <rFont val="Arial"/>
        <family val="2"/>
      </rPr>
      <t>C</t>
    </r>
  </si>
  <si>
    <r>
      <rPr>
        <sz val="10"/>
        <rFont val="Calibri"/>
        <family val="2"/>
      </rPr>
      <t>θ</t>
    </r>
    <r>
      <rPr>
        <vertAlign val="subscript"/>
        <sz val="10"/>
        <rFont val="Arial"/>
        <family val="2"/>
      </rPr>
      <t>JA</t>
    </r>
  </si>
  <si>
    <r>
      <t>θ</t>
    </r>
    <r>
      <rPr>
        <vertAlign val="subscript"/>
        <sz val="10"/>
        <rFont val="Arial"/>
        <family val="2"/>
      </rPr>
      <t>JABot</t>
    </r>
  </si>
  <si>
    <r>
      <t>θ</t>
    </r>
    <r>
      <rPr>
        <vertAlign val="subscript"/>
        <sz val="10"/>
        <rFont val="Arial"/>
        <family val="2"/>
      </rPr>
      <t>JATop</t>
    </r>
  </si>
  <si>
    <t>θJACtrl</t>
  </si>
  <si>
    <r>
      <t>Enter the values of your design and MOSFET datasheet specifications below. Note that thermal resistance (</t>
    </r>
    <r>
      <rPr>
        <b/>
        <sz val="10"/>
        <rFont val="Calibri"/>
        <family val="2"/>
      </rPr>
      <t>θ</t>
    </r>
    <r>
      <rPr>
        <b/>
        <vertAlign val="subscript"/>
        <sz val="10"/>
        <rFont val="Arial"/>
        <family val="2"/>
      </rPr>
      <t>JA</t>
    </r>
    <r>
      <rPr>
        <b/>
        <sz val="10"/>
        <rFont val="Arial"/>
        <family val="2"/>
      </rPr>
      <t>) will change when components are placed on the PCB</t>
    </r>
  </si>
  <si>
    <t>Subregulated VCC Voltage</t>
  </si>
  <si>
    <t>Vcc</t>
  </si>
  <si>
    <t>Junction-to-ambient thermal resistance of controller</t>
  </si>
  <si>
    <t>with 85mA current limit</t>
  </si>
  <si>
    <r>
      <rPr>
        <sz val="10"/>
        <rFont val="Calibri"/>
        <family val="2"/>
      </rPr>
      <t>θ</t>
    </r>
    <r>
      <rPr>
        <vertAlign val="subscript"/>
        <sz val="10"/>
        <rFont val="Arial"/>
        <family val="2"/>
      </rPr>
      <t>CA</t>
    </r>
  </si>
  <si>
    <t>Inductor Core to Ambient Thermal Resistance</t>
  </si>
  <si>
    <t>Input Capacitor ESR</t>
  </si>
  <si>
    <t>Inductor DCR Temp Co</t>
  </si>
  <si>
    <t>Output Capacitor ESR</t>
  </si>
  <si>
    <t>Output Capcitance</t>
  </si>
  <si>
    <t>Input Capacitance</t>
  </si>
  <si>
    <t>Filter Inductor</t>
  </si>
  <si>
    <t>Ripple Current pk-pk</t>
  </si>
  <si>
    <t>Cout ESR Loss</t>
  </si>
  <si>
    <t>Irms Cout</t>
  </si>
  <si>
    <t>Irms Cin</t>
  </si>
  <si>
    <t>Cin ESR Loss</t>
  </si>
  <si>
    <r>
      <t>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Loss</t>
    </r>
  </si>
  <si>
    <t>Controller IC Losses</t>
  </si>
  <si>
    <t>Total IC Loss</t>
  </si>
  <si>
    <t>Deadtime Loss</t>
  </si>
  <si>
    <r>
      <t>I</t>
    </r>
    <r>
      <rPr>
        <b/>
        <vertAlign val="subscript"/>
        <sz val="10"/>
        <rFont val="Arial"/>
        <family val="2"/>
      </rPr>
      <t>Q</t>
    </r>
    <r>
      <rPr>
        <b/>
        <sz val="10"/>
        <rFont val="Arial"/>
        <family val="2"/>
      </rPr>
      <t xml:space="preserve"> Loss</t>
    </r>
  </si>
  <si>
    <t>h</t>
  </si>
  <si>
    <r>
      <t xml:space="preserve">EFF, </t>
    </r>
    <r>
      <rPr>
        <b/>
        <sz val="10"/>
        <rFont val="Symbol"/>
        <family val="1"/>
        <charset val="2"/>
      </rPr>
      <t>h</t>
    </r>
  </si>
  <si>
    <t>QrrTop</t>
  </si>
  <si>
    <t>TrrTop</t>
  </si>
  <si>
    <t>RESULTS</t>
  </si>
  <si>
    <t>Consolidated Buck/Boost Efficiency &amp; Losses</t>
  </si>
  <si>
    <t>Output Rs</t>
  </si>
  <si>
    <t>Iout Shunt Loss</t>
  </si>
  <si>
    <t>Isense Shunt Loss</t>
  </si>
  <si>
    <t>Sense Rs</t>
  </si>
  <si>
    <t>Drain to Source Resistance of pulldown Bottom FET Driver</t>
  </si>
  <si>
    <t>Drain to Source Resistance of pullup Bottom FET Driver</t>
  </si>
  <si>
    <t>Drain to Source Resistance of pulldown Top FET Driver</t>
  </si>
  <si>
    <t>Drain to Source Resistance of pullup Top FET Driver</t>
  </si>
  <si>
    <t>Turn on of MOSFET -&gt; Rise time of current</t>
  </si>
  <si>
    <t>Turn off of MOSFET -&gt; Fall time of current</t>
  </si>
  <si>
    <t>External Schottky Diode (if applicable)</t>
  </si>
  <si>
    <r>
      <t>kHz (F</t>
    </r>
    <r>
      <rPr>
        <vertAlign val="subscript"/>
        <sz val="10"/>
        <rFont val="Arial"/>
        <family val="2"/>
      </rPr>
      <t>ZCOMP</t>
    </r>
    <r>
      <rPr>
        <sz val="10"/>
        <rFont val="Arial"/>
        <family val="2"/>
      </rPr>
      <t>)</t>
    </r>
  </si>
  <si>
    <r>
      <t>kHz (F</t>
    </r>
    <r>
      <rPr>
        <vertAlign val="subscript"/>
        <sz val="10"/>
        <rFont val="Arial"/>
        <family val="2"/>
      </rPr>
      <t>PCOMP</t>
    </r>
    <r>
      <rPr>
        <sz val="10"/>
        <rFont val="Arial"/>
        <family val="2"/>
      </rPr>
      <t>)</t>
    </r>
  </si>
  <si>
    <t>Reported Cinmin</t>
  </si>
  <si>
    <t>Reported Cout ESR max</t>
  </si>
  <si>
    <t>Reported Cin ESR max</t>
  </si>
  <si>
    <r>
      <t>Input Voltage - Min, V</t>
    </r>
    <r>
      <rPr>
        <b/>
        <vertAlign val="subscript"/>
        <sz val="10"/>
        <color theme="1"/>
        <rFont val="Arial"/>
        <family val="2"/>
      </rPr>
      <t>IN(min)</t>
    </r>
    <r>
      <rPr>
        <b/>
        <sz val="10"/>
        <color theme="1"/>
        <rFont val="Arial"/>
        <family val="2"/>
      </rPr>
      <t xml:space="preserve"> </t>
    </r>
  </si>
  <si>
    <r>
      <t>Input Voltage - Nom, V</t>
    </r>
    <r>
      <rPr>
        <b/>
        <vertAlign val="subscript"/>
        <sz val="10"/>
        <color theme="1"/>
        <rFont val="Arial"/>
        <family val="2"/>
      </rPr>
      <t>IN(nom)</t>
    </r>
  </si>
  <si>
    <r>
      <t>Input Voltage - Max, V</t>
    </r>
    <r>
      <rPr>
        <b/>
        <vertAlign val="subscript"/>
        <sz val="10"/>
        <color theme="1"/>
        <rFont val="Arial"/>
        <family val="2"/>
      </rPr>
      <t>IN(max)</t>
    </r>
  </si>
  <si>
    <r>
      <t>Pk-to-Pk Ripple Current at V</t>
    </r>
    <r>
      <rPr>
        <vertAlign val="subscript"/>
        <sz val="10"/>
        <rFont val="Arial"/>
        <family val="2"/>
      </rPr>
      <t>IN(min)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L1</t>
    </r>
  </si>
  <si>
    <r>
      <t>Pk-to-Pk Ripple Current at V</t>
    </r>
    <r>
      <rPr>
        <vertAlign val="subscript"/>
        <sz val="10"/>
        <rFont val="Arial"/>
        <family val="2"/>
      </rPr>
      <t>IN(nom)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L2</t>
    </r>
  </si>
  <si>
    <r>
      <t>Pk-to-Pk Ripple Current at V</t>
    </r>
    <r>
      <rPr>
        <vertAlign val="subscript"/>
        <sz val="10"/>
        <rFont val="Arial"/>
        <family val="2"/>
      </rPr>
      <t>IN(max)</t>
    </r>
    <r>
      <rPr>
        <sz val="10"/>
        <rFont val="Arial"/>
        <family val="2"/>
      </rPr>
      <t xml:space="preserve">, </t>
    </r>
    <r>
      <rPr>
        <sz val="10"/>
        <rFont val="Symbol"/>
        <family val="1"/>
        <charset val="2"/>
      </rPr>
      <t>D</t>
    </r>
    <r>
      <rPr>
        <sz val="10"/>
        <rFont val="Arial"/>
        <family val="2"/>
      </rPr>
      <t>I</t>
    </r>
    <r>
      <rPr>
        <vertAlign val="subscript"/>
        <sz val="10"/>
        <rFont val="Arial"/>
        <family val="2"/>
      </rPr>
      <t>L3</t>
    </r>
  </si>
  <si>
    <t>Buck CS threshold_min</t>
  </si>
  <si>
    <t>Boost CS Threshold_min</t>
  </si>
  <si>
    <t>BUCK current limit - valley</t>
  </si>
  <si>
    <t>Chosen OCP level - based on output current</t>
  </si>
  <si>
    <r>
      <t>I</t>
    </r>
    <r>
      <rPr>
        <vertAlign val="subscript"/>
        <sz val="10"/>
        <rFont val="Arial"/>
        <family val="2"/>
      </rPr>
      <t>OUT(typ)</t>
    </r>
    <r>
      <rPr>
        <sz val="10"/>
        <rFont val="Arial"/>
        <family val="2"/>
      </rPr>
      <t xml:space="preserve"> at OCP Inception:</t>
    </r>
  </si>
  <si>
    <t>Buck CS threshold_max</t>
  </si>
  <si>
    <t>Boost CS Threshold_max</t>
  </si>
  <si>
    <r>
      <t>Required I</t>
    </r>
    <r>
      <rPr>
        <b/>
        <vertAlign val="subscript"/>
        <sz val="10"/>
        <color theme="1"/>
        <rFont val="Arial"/>
        <family val="2"/>
      </rPr>
      <t>OCP(MIN)</t>
    </r>
    <r>
      <rPr>
        <b/>
        <sz val="10"/>
        <color theme="1"/>
        <rFont val="Arial"/>
        <family val="2"/>
      </rPr>
      <t xml:space="preserve"> Setpoint at V</t>
    </r>
    <r>
      <rPr>
        <b/>
        <vertAlign val="subscript"/>
        <sz val="10"/>
        <color theme="1"/>
        <rFont val="Arial"/>
        <family val="2"/>
      </rPr>
      <t>IN(nom)</t>
    </r>
  </si>
  <si>
    <t>RMS current in Rs</t>
  </si>
  <si>
    <t>Power diss in Rs</t>
  </si>
  <si>
    <t>Standard size based on Csideal slope capacitor</t>
  </si>
  <si>
    <t>Total Cin Loss</t>
  </si>
  <si>
    <t>Inductor Cu &amp; Core Loss</t>
  </si>
  <si>
    <t>Total Cout Loss</t>
  </si>
  <si>
    <t>Total Inductor Loss</t>
  </si>
  <si>
    <t>Gate Charge at VCC = 7.5V</t>
  </si>
  <si>
    <t>Boost hi-side</t>
  </si>
  <si>
    <t>Buck lo-side</t>
  </si>
  <si>
    <t>Anti-parallel Schottky Diode (optional)</t>
  </si>
  <si>
    <t>High- &amp; low-side boost MOSFETs</t>
  </si>
  <si>
    <t>High- &amp; low-side buck MOSFETs</t>
  </si>
  <si>
    <t>Drain-Source Resistances of Boost FETs</t>
  </si>
  <si>
    <t>Gate Charge Of Boost FETs</t>
  </si>
  <si>
    <t>Transconductance of Boost FETs</t>
  </si>
  <si>
    <t>Threshold Voltage Boost FETs</t>
  </si>
  <si>
    <t>Switch Point Voltage of Boost FETs</t>
  </si>
  <si>
    <t>Transconductance of Buck FETs</t>
  </si>
  <si>
    <t>Drain-Source Resistances of Buck FETs</t>
  </si>
  <si>
    <t>Threshold Voltage of Buck FETs</t>
  </si>
  <si>
    <t>Switch Point Voltage of Buck FETs</t>
  </si>
  <si>
    <r>
      <t>Q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, Q</t>
    </r>
    <r>
      <rPr>
        <vertAlign val="subscript"/>
        <sz val="10"/>
        <rFont val="Arial"/>
        <family val="2"/>
      </rPr>
      <t>2</t>
    </r>
  </si>
  <si>
    <r>
      <t>Q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>, Q</t>
    </r>
    <r>
      <rPr>
        <vertAlign val="subscript"/>
        <sz val="10"/>
        <rFont val="Arial"/>
        <family val="2"/>
      </rPr>
      <t>4</t>
    </r>
  </si>
  <si>
    <t>Hi-side</t>
  </si>
  <si>
    <t>High-side FET</t>
  </si>
  <si>
    <t>Low-side FET</t>
  </si>
  <si>
    <t>Drain-Source Resistance of Low-side FET</t>
  </si>
  <si>
    <t xml:space="preserve">Drain-Source Resistance of Top FET </t>
  </si>
  <si>
    <t>Q3: high-side</t>
  </si>
  <si>
    <t>Q4: low-side</t>
  </si>
  <si>
    <t>Q1: high-side</t>
  </si>
  <si>
    <t>Q2: low-side</t>
  </si>
  <si>
    <t>Rdson</t>
  </si>
  <si>
    <t>Qgd</t>
  </si>
  <si>
    <t>Qgs</t>
  </si>
  <si>
    <t>Rgate</t>
  </si>
  <si>
    <t>Gfs</t>
  </si>
  <si>
    <t>Vth</t>
  </si>
  <si>
    <t>Vsp</t>
  </si>
  <si>
    <t>Diode Forward Voltage of MOSFET Body diode</t>
  </si>
  <si>
    <t>VsdBot - Boost</t>
  </si>
  <si>
    <t>Vsd - Buck</t>
  </si>
  <si>
    <r>
      <rPr>
        <i/>
        <sz val="10"/>
        <rFont val="Arial"/>
        <family val="2"/>
      </rPr>
      <t>Buck</t>
    </r>
    <r>
      <rPr>
        <sz val="10"/>
        <rFont val="Arial"/>
        <family val="2"/>
      </rPr>
      <t xml:space="preserve"> Leg</t>
    </r>
  </si>
  <si>
    <r>
      <t>Body Diode Forward Voltage, V</t>
    </r>
    <r>
      <rPr>
        <b/>
        <vertAlign val="subscript"/>
        <sz val="10"/>
        <rFont val="Arial"/>
        <family val="2"/>
      </rPr>
      <t>BD</t>
    </r>
    <r>
      <rPr>
        <b/>
        <sz val="10"/>
        <rFont val="Arial"/>
        <family val="2"/>
      </rPr>
      <t xml:space="preserve"> </t>
    </r>
  </si>
  <si>
    <r>
      <t>Schottky Rev Recovery Charge, Q</t>
    </r>
    <r>
      <rPr>
        <b/>
        <vertAlign val="subscript"/>
        <sz val="10"/>
        <rFont val="Arial"/>
        <family val="2"/>
      </rPr>
      <t>RRsch</t>
    </r>
    <r>
      <rPr>
        <b/>
        <sz val="10"/>
        <rFont val="Arial"/>
        <family val="2"/>
      </rPr>
      <t xml:space="preserve"> </t>
    </r>
  </si>
  <si>
    <r>
      <t>Body Diode Rev Recovery Charge, Q</t>
    </r>
    <r>
      <rPr>
        <b/>
        <vertAlign val="subscript"/>
        <sz val="10"/>
        <rFont val="Arial"/>
        <family val="2"/>
      </rPr>
      <t>RR</t>
    </r>
    <r>
      <rPr>
        <b/>
        <sz val="10"/>
        <rFont val="Arial"/>
        <family val="2"/>
      </rPr>
      <t xml:space="preserve"> </t>
    </r>
  </si>
  <si>
    <r>
      <t>Gate-Source Threshold Voltage, V</t>
    </r>
    <r>
      <rPr>
        <b/>
        <vertAlign val="subscript"/>
        <sz val="10"/>
        <rFont val="Arial"/>
        <family val="2"/>
      </rPr>
      <t>TH</t>
    </r>
    <r>
      <rPr>
        <b/>
        <sz val="10"/>
        <rFont val="Arial"/>
        <family val="2"/>
      </rPr>
      <t xml:space="preserve"> </t>
    </r>
  </si>
  <si>
    <r>
      <t>Schottky Fwd Voltage, V</t>
    </r>
    <r>
      <rPr>
        <b/>
        <vertAlign val="subscript"/>
        <sz val="10"/>
        <rFont val="Arial"/>
        <family val="2"/>
      </rPr>
      <t>FWDsch</t>
    </r>
    <r>
      <rPr>
        <b/>
        <sz val="10"/>
        <rFont val="Arial"/>
        <family val="2"/>
      </rPr>
      <t xml:space="preserve"> </t>
    </r>
  </si>
  <si>
    <r>
      <t>Output Leg Shunt Resistance, R</t>
    </r>
    <r>
      <rPr>
        <vertAlign val="subscript"/>
        <sz val="10"/>
        <rFont val="Arial"/>
        <family val="2"/>
      </rPr>
      <t>CS(out)</t>
    </r>
  </si>
  <si>
    <r>
      <t>R</t>
    </r>
    <r>
      <rPr>
        <vertAlign val="subscript"/>
        <sz val="10"/>
        <rFont val="Arial"/>
        <family val="2"/>
      </rPr>
      <t>CS(out)</t>
    </r>
  </si>
  <si>
    <r>
      <rPr>
        <b/>
        <i/>
        <u/>
        <sz val="10"/>
        <color rgb="FF0000FF"/>
        <rFont val="Arial"/>
        <family val="2"/>
      </rPr>
      <t>Boost</t>
    </r>
    <r>
      <rPr>
        <b/>
        <sz val="10"/>
        <color rgb="FF0000FF"/>
        <rFont val="Arial"/>
        <family val="2"/>
      </rPr>
      <t>-Leg Power MOSFETs (Q</t>
    </r>
    <r>
      <rPr>
        <b/>
        <vertAlign val="subscript"/>
        <sz val="10"/>
        <color rgb="FF0000FF"/>
        <rFont val="Arial"/>
        <family val="2"/>
      </rPr>
      <t>3</t>
    </r>
    <r>
      <rPr>
        <b/>
        <sz val="10"/>
        <color rgb="FF0000FF"/>
        <rFont val="Arial"/>
        <family val="2"/>
      </rPr>
      <t>, Q</t>
    </r>
    <r>
      <rPr>
        <b/>
        <vertAlign val="subscript"/>
        <sz val="10"/>
        <color rgb="FF0000FF"/>
        <rFont val="Arial"/>
        <family val="2"/>
      </rPr>
      <t>4</t>
    </r>
    <r>
      <rPr>
        <b/>
        <sz val="10"/>
        <color rgb="FF0000FF"/>
        <rFont val="Arial"/>
        <family val="2"/>
      </rPr>
      <t xml:space="preserve">) </t>
    </r>
  </si>
  <si>
    <r>
      <rPr>
        <b/>
        <i/>
        <u/>
        <sz val="10"/>
        <color rgb="FF0000FF"/>
        <rFont val="Arial"/>
        <family val="2"/>
      </rPr>
      <t>Buck</t>
    </r>
    <r>
      <rPr>
        <b/>
        <sz val="10"/>
        <color rgb="FF0000FF"/>
        <rFont val="Arial"/>
        <family val="2"/>
      </rPr>
      <t>-Leg Power MOSFETs (Q</t>
    </r>
    <r>
      <rPr>
        <b/>
        <vertAlign val="subscript"/>
        <sz val="10"/>
        <color rgb="FF0000FF"/>
        <rFont val="Arial"/>
        <family val="2"/>
      </rPr>
      <t>1</t>
    </r>
    <r>
      <rPr>
        <b/>
        <sz val="10"/>
        <color rgb="FF0000FF"/>
        <rFont val="Arial"/>
        <family val="2"/>
      </rPr>
      <t>, Q</t>
    </r>
    <r>
      <rPr>
        <b/>
        <vertAlign val="subscript"/>
        <sz val="10"/>
        <color rgb="FF0000FF"/>
        <rFont val="Arial"/>
        <family val="2"/>
      </rPr>
      <t>2</t>
    </r>
    <r>
      <rPr>
        <b/>
        <sz val="10"/>
        <color rgb="FF0000FF"/>
        <rFont val="Arial"/>
        <family val="2"/>
      </rPr>
      <t xml:space="preserve">) </t>
    </r>
  </si>
  <si>
    <t xml:space="preserve">  Low-side</t>
  </si>
  <si>
    <r>
      <rPr>
        <i/>
        <sz val="10"/>
        <rFont val="Arial"/>
        <family val="2"/>
      </rPr>
      <t xml:space="preserve">   Boost</t>
    </r>
    <r>
      <rPr>
        <sz val="10"/>
        <rFont val="Arial"/>
        <family val="2"/>
      </rPr>
      <t xml:space="preserve"> Leg</t>
    </r>
  </si>
  <si>
    <t>Tie to GND or VCC for DCM/CCM, respectively. Use 93.1k or 200k for hiccup in DCM, CCM, respectively.</t>
  </si>
  <si>
    <t>Dither Modulation Frequency</t>
  </si>
  <si>
    <t>Max COMP Voltage</t>
  </si>
  <si>
    <t>Min COMP Voltage</t>
  </si>
  <si>
    <t>sec</t>
  </si>
  <si>
    <t>Toff_Vinmax</t>
  </si>
  <si>
    <t>COMP max voltage</t>
  </si>
  <si>
    <t>COMP min voltage</t>
  </si>
  <si>
    <t>BUCK</t>
  </si>
  <si>
    <t>Ton_Vinmin</t>
  </si>
  <si>
    <t xml:space="preserve">lower edge of BUCK-BOOST </t>
  </si>
  <si>
    <t>Don_buckboost</t>
  </si>
  <si>
    <t>Ilimit_inductor_buckboost</t>
  </si>
  <si>
    <t>VIN_edgebuckboost</t>
  </si>
  <si>
    <t>Iripple_edgebuckboost</t>
  </si>
  <si>
    <t>Iout_edgebuckboost</t>
  </si>
  <si>
    <t>LM5175EVM-HD PCB Layout</t>
  </si>
  <si>
    <t>LM5175EVM-HP PCB Layout</t>
  </si>
  <si>
    <t>LM5175EVM PCB Layout</t>
  </si>
  <si>
    <t>Selected SLOPE cap</t>
  </si>
  <si>
    <t>Calculated inductance for 30% ripple at VIN(min)</t>
  </si>
  <si>
    <t>Calculated inductance for 40% ripple at VIN(nom)</t>
  </si>
  <si>
    <t>Chosen inductance</t>
  </si>
  <si>
    <t>Chosen inductor DCR</t>
  </si>
  <si>
    <r>
      <rPr>
        <b/>
        <sz val="10"/>
        <rFont val="Arial"/>
        <family val="2"/>
      </rPr>
      <t>Peak</t>
    </r>
    <r>
      <rPr>
        <sz val="10"/>
        <rFont val="Arial"/>
        <family val="2"/>
      </rPr>
      <t xml:space="preserve"> inductor current at current limit inception (if operating in </t>
    </r>
    <r>
      <rPr>
        <b/>
        <sz val="10"/>
        <rFont val="Arial"/>
        <family val="2"/>
      </rPr>
      <t>boost</t>
    </r>
    <r>
      <rPr>
        <sz val="10"/>
        <rFont val="Arial"/>
        <family val="2"/>
      </rPr>
      <t>)</t>
    </r>
  </si>
  <si>
    <t>edge of buck-boost</t>
  </si>
  <si>
    <r>
      <rPr>
        <b/>
        <sz val="10"/>
        <rFont val="Arial"/>
        <family val="2"/>
      </rPr>
      <t>Peak</t>
    </r>
    <r>
      <rPr>
        <sz val="10"/>
        <rFont val="Arial"/>
        <family val="2"/>
      </rPr>
      <t xml:space="preserve"> inductor current limit in </t>
    </r>
    <r>
      <rPr>
        <b/>
        <sz val="10"/>
        <rFont val="Arial"/>
        <family val="2"/>
      </rPr>
      <t>BOOST</t>
    </r>
  </si>
  <si>
    <r>
      <rPr>
        <b/>
        <sz val="10"/>
        <rFont val="Arial"/>
        <family val="2"/>
      </rPr>
      <t>Valley</t>
    </r>
    <r>
      <rPr>
        <sz val="10"/>
        <rFont val="Arial"/>
        <family val="2"/>
      </rPr>
      <t xml:space="preserve"> inductor current limit in </t>
    </r>
    <r>
      <rPr>
        <b/>
        <sz val="10"/>
        <rFont val="Arial"/>
        <family val="2"/>
      </rPr>
      <t>BUCK</t>
    </r>
  </si>
  <si>
    <t>Shunt required to get OCP at VIN(min)</t>
  </si>
  <si>
    <t>Shunt required to get OCP at VIN(nom)</t>
  </si>
  <si>
    <t>Shunt required to get OCP at VIN(max)</t>
  </si>
  <si>
    <t>Ideal Rs for the required OCP -- based on 80mV or 160mV CL threshold</t>
  </si>
  <si>
    <t>Assume we'd like to achieve current limit particularly at VIN(min) and boost side of buck-boost region; accept inevitable variation over line thereafter</t>
  </si>
  <si>
    <t>Shunt required to get OCP at VIN(edge-bb)</t>
  </si>
  <si>
    <t>Edge of B-B</t>
  </si>
  <si>
    <t>lower edge of buck-boost window</t>
  </si>
  <si>
    <t>BUCK-BOOST</t>
  </si>
  <si>
    <r>
      <t xml:space="preserve">80mV </t>
    </r>
    <r>
      <rPr>
        <b/>
        <sz val="10"/>
        <rFont val="Symbol"/>
        <family val="1"/>
        <charset val="2"/>
      </rPr>
      <t>±</t>
    </r>
    <r>
      <rPr>
        <b/>
        <sz val="10"/>
        <rFont val="Arial"/>
        <family val="2"/>
      </rPr>
      <t xml:space="preserve"> 20%</t>
    </r>
  </si>
  <si>
    <r>
      <t xml:space="preserve">160mV </t>
    </r>
    <r>
      <rPr>
        <b/>
        <sz val="10"/>
        <rFont val="Symbol"/>
        <family val="1"/>
        <charset val="2"/>
      </rPr>
      <t>±</t>
    </r>
    <r>
      <rPr>
        <b/>
        <sz val="10"/>
        <rFont val="Arial"/>
        <family val="2"/>
      </rPr>
      <t xml:space="preserve"> 20%</t>
    </r>
  </si>
  <si>
    <t>Icinrms_VINmin</t>
  </si>
  <si>
    <t>Icinrms_VINnom</t>
  </si>
  <si>
    <t>Icinrms_VINmiax</t>
  </si>
  <si>
    <t>Max Cout rms current</t>
  </si>
  <si>
    <t xml:space="preserve">Resulting Input Voltage Ripple (max) </t>
  </si>
  <si>
    <t xml:space="preserve">Resulting Output Voltage Ripple (max) </t>
  </si>
  <si>
    <t xml:space="preserve">Output Capacitor RMS Current (max) </t>
  </si>
  <si>
    <t>Input Capacitor RMS Current (max)</t>
  </si>
  <si>
    <t>Max Cin rms current</t>
  </si>
  <si>
    <t>Input voltage ripple spec (pk-pk)</t>
  </si>
  <si>
    <t>Reported Coutmin</t>
  </si>
  <si>
    <t>Output Voltage Ripple Spec</t>
  </si>
  <si>
    <t>Input Voltage Ripple Spec</t>
  </si>
  <si>
    <t>Minimum Input Capacitance</t>
  </si>
  <si>
    <t>Ton_min_boost</t>
  </si>
  <si>
    <t>Period</t>
  </si>
  <si>
    <t>Ts</t>
  </si>
  <si>
    <t>VIN_boost_to_BB</t>
  </si>
  <si>
    <t>VIN_BB_to_boost</t>
  </si>
  <si>
    <t>Toff_min_buck</t>
  </si>
  <si>
    <t>200ns</t>
  </si>
  <si>
    <t>300ns</t>
  </si>
  <si>
    <t>VIN_BB_to_buck</t>
  </si>
  <si>
    <t>VIN_buck_to_BB</t>
  </si>
  <si>
    <t>D_min_boost</t>
  </si>
  <si>
    <t>buck min timer</t>
  </si>
  <si>
    <t>boost min timer</t>
  </si>
  <si>
    <t>D_max_buck_BB</t>
  </si>
  <si>
    <t>T_max_BB</t>
  </si>
  <si>
    <t>max timer before transition from BB</t>
  </si>
  <si>
    <t>D_max_buck_enterBB</t>
  </si>
  <si>
    <t>Ishunt_rms_Vinmin</t>
  </si>
  <si>
    <t>Ishunt_rms_Vinnom</t>
  </si>
  <si>
    <t>Ishunt_rms_Vinmax</t>
  </si>
  <si>
    <t>Max shunt power loss at full load</t>
  </si>
  <si>
    <t>Shunt Loss</t>
  </si>
  <si>
    <t>Cinmin_Vinmax</t>
  </si>
  <si>
    <t>Buck 50% typically worst case</t>
  </si>
  <si>
    <t>CinEsrMax_Vinmax</t>
  </si>
  <si>
    <t>CinEsrMax_50%D</t>
  </si>
  <si>
    <t>Cinmin_50%D</t>
  </si>
  <si>
    <t>Vinripple2_Vinmax</t>
  </si>
  <si>
    <t>Vinripple2_50%D</t>
  </si>
  <si>
    <t>Calculate ripple at Vinmax and 50% duty cycle (Vin = 2*Vout)</t>
  </si>
  <si>
    <t>Calculate cap at Vinmax and 50% duty cycle (Vin = 2*Vout)</t>
  </si>
  <si>
    <t>Calculate ESR at Vinmax and 50% duty cycle (Vin = 2*Vout)</t>
  </si>
  <si>
    <t>Step 7: Compensation</t>
  </si>
  <si>
    <t>Step 6b: Other Components - UVLO, Dither, MODE</t>
  </si>
  <si>
    <t>Step 6a: Soft Start</t>
  </si>
  <si>
    <t>…report highest of these</t>
  </si>
  <si>
    <t>…report this</t>
  </si>
  <si>
    <t>PLOT_TYPE</t>
  </si>
  <si>
    <r>
      <t>Full Load Output Current, I</t>
    </r>
    <r>
      <rPr>
        <b/>
        <vertAlign val="subscript"/>
        <sz val="10"/>
        <color theme="1"/>
        <rFont val="Arial"/>
        <family val="2"/>
      </rPr>
      <t>OUT(max)</t>
    </r>
  </si>
  <si>
    <t>BUCK-BOOST CONTROLLER POWER TOOL</t>
  </si>
  <si>
    <t>Transition Loss</t>
  </si>
  <si>
    <t>Total Control MOSFET Loss</t>
  </si>
  <si>
    <t>Total Sync MOSFET Loss</t>
  </si>
  <si>
    <r>
      <t>Q1/Q3 R</t>
    </r>
    <r>
      <rPr>
        <b/>
        <vertAlign val="subscript"/>
        <sz val="10"/>
        <rFont val="Arial"/>
        <family val="2"/>
      </rPr>
      <t>DS(on)</t>
    </r>
    <r>
      <rPr>
        <b/>
        <sz val="10"/>
        <rFont val="Arial"/>
        <family val="2"/>
      </rPr>
      <t xml:space="preserve"> Loss @ D = 100%</t>
    </r>
  </si>
  <si>
    <t>Pass FET</t>
  </si>
  <si>
    <t>Control FET Temp Rise</t>
  </si>
  <si>
    <t>Sync FET Temp Rise</t>
  </si>
  <si>
    <t>Core Loss</t>
  </si>
  <si>
    <t>Irms Lf</t>
  </si>
  <si>
    <t xml:space="preserve">High-side BUCK "Control" MOSFET Losses </t>
  </si>
  <si>
    <t xml:space="preserve">Low-side BUCK "Sync" MOSFET Losses </t>
  </si>
  <si>
    <t xml:space="preserve">Low-side BOOST "Control" MOSFET Losses </t>
  </si>
  <si>
    <t xml:space="preserve">High-side BOOST "Sync" MOSFET Losses </t>
  </si>
  <si>
    <t>Mode</t>
  </si>
  <si>
    <t>Operating Point Condtions</t>
  </si>
  <si>
    <t>Mode Digit</t>
  </si>
  <si>
    <t>D_max_exitBB_to_boost</t>
  </si>
  <si>
    <t>D_max_exitBB_to_buck</t>
  </si>
  <si>
    <t>Duty Cycle BOOST Leg</t>
  </si>
  <si>
    <t>Duty Cycle BUCK Leg</t>
  </si>
  <si>
    <t>Actual Duty Cycle BUCK Leg</t>
  </si>
  <si>
    <t>Actual Duty Cycle BOOST Leg</t>
  </si>
  <si>
    <t>D_min_boost_exitBB_to_buck</t>
  </si>
  <si>
    <t>Avg IL</t>
  </si>
  <si>
    <t>Quiescent Current of LM5175 Controller (Not Switching!)</t>
  </si>
  <si>
    <t>Total MOSFET Loss</t>
  </si>
  <si>
    <t>Full-load/high line efficiency</t>
  </si>
  <si>
    <t>Half-load/mid-line efficiency</t>
  </si>
  <si>
    <t>Low line efficiency</t>
  </si>
  <si>
    <t>θJA-MOSFET</t>
  </si>
  <si>
    <t>θJA</t>
  </si>
  <si>
    <t>10% load</t>
  </si>
  <si>
    <t>100% load</t>
  </si>
  <si>
    <t>50% load</t>
  </si>
  <si>
    <t>Low VIN</t>
  </si>
  <si>
    <t>High VIN</t>
  </si>
  <si>
    <t>Nom VIN</t>
  </si>
  <si>
    <r>
      <t xml:space="preserve">Efficiency vs </t>
    </r>
    <r>
      <rPr>
        <b/>
        <sz val="10"/>
        <rFont val="Arial"/>
        <family val="2"/>
      </rPr>
      <t>IOUT</t>
    </r>
    <r>
      <rPr>
        <sz val="10"/>
        <rFont val="Arial"/>
        <family val="2"/>
      </rPr>
      <t xml:space="preserve"> Plot</t>
    </r>
  </si>
  <si>
    <t>Efficiency vs VIN Plot</t>
  </si>
  <si>
    <t xml:space="preserve"> LM5175 Quickstart Design Tool</t>
  </si>
  <si>
    <t>http://www.ti.com/nexfet</t>
  </si>
  <si>
    <t>TSSOP-28</t>
  </si>
  <si>
    <r>
      <t>** For information on TI NexFET</t>
    </r>
    <r>
      <rPr>
        <vertAlign val="superscript"/>
        <sz val="10"/>
        <rFont val="Arial"/>
        <family val="2"/>
      </rPr>
      <t>TM</t>
    </r>
    <r>
      <rPr>
        <sz val="10"/>
        <rFont val="Arial"/>
        <family val="2"/>
      </rPr>
      <t xml:space="preserve"> MOSFETs, see **</t>
    </r>
  </si>
  <si>
    <t xml:space="preserve">   **</t>
  </si>
  <si>
    <t>VIN range</t>
  </si>
  <si>
    <t>DITHER Yes/No</t>
  </si>
  <si>
    <t>1 = Yes, 2 = No</t>
  </si>
  <si>
    <t>DITHER Disabled</t>
  </si>
  <si>
    <t>DITHER Enabled</t>
  </si>
  <si>
    <t>Modulating Frequency</t>
  </si>
  <si>
    <t>Worst case peak inductor current</t>
  </si>
  <si>
    <r>
      <t>Peak Inductor Current, I</t>
    </r>
    <r>
      <rPr>
        <vertAlign val="subscript"/>
        <sz val="10"/>
        <color theme="1"/>
        <rFont val="Arial"/>
        <family val="2"/>
      </rPr>
      <t>LPK</t>
    </r>
  </si>
  <si>
    <r>
      <t>V</t>
    </r>
    <r>
      <rPr>
        <b/>
        <vertAlign val="subscript"/>
        <sz val="10"/>
        <color theme="1"/>
        <rFont val="Arial"/>
        <family val="2"/>
      </rPr>
      <t>IN(nom)</t>
    </r>
  </si>
  <si>
    <t>dB</t>
  </si>
  <si>
    <t>EA Gain</t>
  </si>
  <si>
    <t>EA Gain (dB)</t>
  </si>
  <si>
    <t>Vijay edit: removed the derating.</t>
  </si>
  <si>
    <t>edited based on LM5176 curve fit.</t>
  </si>
  <si>
    <t>Vijay's edits 80 mV ± 15%.</t>
  </si>
  <si>
    <t>Restored to 50mV as ICTRL went away and the 25mV centering also went away.</t>
  </si>
  <si>
    <t>Vijay's edits. Used 120 mV ± 15% for min max. Check after char data to see if it is ok.</t>
  </si>
  <si>
    <t>Edited by Vijay from 96% to 90% to match datasheet calculations.</t>
  </si>
  <si>
    <t xml:space="preserve">Note: min/max are not really being used in calculations. So irrelevant if variation small.  </t>
  </si>
  <si>
    <t>Vijay's simplification</t>
  </si>
  <si>
    <t>Vijay's simplication to match datasheet calculation.</t>
  </si>
  <si>
    <t>Cc2 calculation updated to place at 5-10x the crossover. Vijay 10/7/2016</t>
  </si>
  <si>
    <t>Vijay Edit. Changed from Fcross/2 to 1.5x of Fp_dominant</t>
  </si>
  <si>
    <t>LM5176 DC/DC Controller Design Tool</t>
  </si>
  <si>
    <t>Vijay verified that this calculation (Vinmax) are correct for OCP.</t>
  </si>
  <si>
    <t>** Tie MODE to VCC (or voltage &gt; 2.4V) for No Hiccup **</t>
  </si>
  <si>
    <t>http://www.ti.com/product/lm5176</t>
  </si>
  <si>
    <t>LM5176</t>
  </si>
  <si>
    <t>IC, LM5176, Buck-Boost PWM Controller</t>
  </si>
  <si>
    <t>LM5176PWP</t>
  </si>
  <si>
    <t>Set Const Current Loop Setpoint (?)</t>
  </si>
  <si>
    <t>1.9uA kept by Vijay based on lab data (2017/5/05)</t>
  </si>
  <si>
    <t>changed to 4.95uA by Vijay on 5/5/2017</t>
  </si>
  <si>
    <t>4.95uA if UVLO =1.5V</t>
  </si>
  <si>
    <t>3.05uA hysteresis current</t>
  </si>
  <si>
    <t>Version Number</t>
  </si>
  <si>
    <t>1.0.0</t>
  </si>
  <si>
    <t>Version History</t>
  </si>
  <si>
    <t>Version</t>
  </si>
  <si>
    <t>Change List Description</t>
  </si>
  <si>
    <t>Initial Release</t>
  </si>
  <si>
    <t>1.0.1</t>
  </si>
  <si>
    <t>V 1.0.1</t>
  </si>
  <si>
    <t>Calculated inductance for 30% ripple at VIN(max)</t>
  </si>
  <si>
    <t>anerage of calculated inductances at VIN(min) and VIN(nom)</t>
  </si>
  <si>
    <t>Fixed display of comments, optimized proposal of inductor</t>
  </si>
  <si>
    <t>October 2022</t>
  </si>
  <si>
    <t>P1006BK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</si>
</sst>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176" formatCode="_(* #,##0.00_);_(* \(#,##0.00\);_(* &quot;-&quot;??_);_(@_)"/>
    <numFmt numFmtId="177" formatCode="0.000000"/>
    <numFmt numFmtId="178" formatCode="0.00000"/>
    <numFmt numFmtId="179" formatCode="0.0000"/>
    <numFmt numFmtId="180" formatCode="0.000"/>
    <numFmt numFmtId="181" formatCode="0.0"/>
    <numFmt numFmtId="182" formatCode="0.000E+00"/>
    <numFmt numFmtId="183" formatCode="0.00000000"/>
    <numFmt numFmtId="184" formatCode="#0.0#"/>
    <numFmt numFmtId="185" formatCode="General&quot;nF&quot;"/>
    <numFmt numFmtId="186" formatCode="General&quot;k&quot;"/>
    <numFmt numFmtId="187" formatCode="General&quot;pF&quot;"/>
    <numFmt numFmtId="188" formatCode="General&quot;µF&quot;"/>
    <numFmt numFmtId="189" formatCode="&quot;Capacitor, Ceramic, &quot;General&quot;-µF, 25V, X5R, 20%&quot;"/>
    <numFmt numFmtId="190" formatCode="&quot;Capacitor, Ceramic, &quot;General&quot;-pF, 50V, NP0, 5%&quot;"/>
    <numFmt numFmtId="191" formatCode="&quot;Capacitor, Ceramic, &quot;General&quot;-nF, 16V, X7R, 10%&quot;"/>
    <numFmt numFmtId="192" formatCode="&quot;Capacitor, Ceramic, &quot;General&quot;-pF, 16V, X7R, 10%&quot;"/>
    <numFmt numFmtId="193" formatCode="&quot;Capacitor, Ceramic, &quot;General&quot;-µF, 25V, X7R, 20%&quot;"/>
    <numFmt numFmtId="194" formatCode="General&quot;µH&quot;"/>
    <numFmt numFmtId="195" formatCode="&quot;Inductor, &quot;General&quot;-µH, 10%&quot;"/>
    <numFmt numFmtId="196" formatCode="&quot;Resistor, Chip, &quot;General&quot;-kΩ, 1/16W, 1%&quot;"/>
    <numFmt numFmtId="197" formatCode="&quot;Resistor, Chip, &quot;General&quot;-Ω, 1/16W, 1%&quot;"/>
    <numFmt numFmtId="198" formatCode="0.E+00"/>
    <numFmt numFmtId="199" formatCode="0.0%"/>
    <numFmt numFmtId="200" formatCode="0.0E+00"/>
    <numFmt numFmtId="201" formatCode="&quot;MOSFET, N-CH, 60V, &quot;General&quot;mΩ&quot;"/>
    <numFmt numFmtId="202" formatCode="General&quot;m&quot;"/>
    <numFmt numFmtId="203" formatCode="&quot;Capacitor, Ceramic, &quot;General&quot;-µF, 50V, X7R, 20%&quot;"/>
    <numFmt numFmtId="204" formatCode="&quot;Capacitor, Ceramic, &quot;General&quot;-µF, 100V, X7R, 20%&quot;"/>
    <numFmt numFmtId="205" formatCode="&quot;Resistor, Chip, &quot;General&quot;-mΩ, 2W, 1%&quot;"/>
  </numFmts>
  <fonts count="99" x14ac:knownFonts="1">
    <font>
      <sz val="10"/>
      <name val="Arial"/>
    </font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2"/>
      <color indexed="44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sz val="10"/>
      <color indexed="44"/>
      <name val="Arial"/>
      <family val="2"/>
    </font>
    <font>
      <b/>
      <sz val="28"/>
      <color indexed="44"/>
      <name val="Arial"/>
      <family val="2"/>
    </font>
    <font>
      <b/>
      <sz val="10"/>
      <color indexed="44"/>
      <name val="Arial"/>
      <family val="2"/>
    </font>
    <font>
      <sz val="10"/>
      <color indexed="8"/>
      <name val="Arial"/>
      <family val="2"/>
    </font>
    <font>
      <b/>
      <sz val="24"/>
      <color indexed="44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55"/>
      <name val="Calibri"/>
      <family val="2"/>
    </font>
    <font>
      <b/>
      <sz val="10"/>
      <color indexed="9"/>
      <name val="Calibri"/>
      <family val="2"/>
    </font>
    <font>
      <b/>
      <sz val="12"/>
      <color indexed="48"/>
      <name val="Arial"/>
      <family val="2"/>
    </font>
    <font>
      <b/>
      <sz val="12"/>
      <color indexed="12"/>
      <name val="Arial"/>
      <family val="2"/>
    </font>
    <font>
      <sz val="10"/>
      <color indexed="23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22"/>
      <color indexed="9"/>
      <name val="Calibri"/>
      <family val="2"/>
    </font>
    <font>
      <b/>
      <sz val="10"/>
      <color indexed="13"/>
      <name val="Calibri"/>
      <family val="2"/>
    </font>
    <font>
      <b/>
      <u/>
      <sz val="10"/>
      <color indexed="10"/>
      <name val="Arial"/>
      <family val="2"/>
    </font>
    <font>
      <sz val="10"/>
      <color indexed="56"/>
      <name val="Calibri"/>
      <family val="2"/>
    </font>
    <font>
      <sz val="10"/>
      <color indexed="8"/>
      <name val="Arial"/>
      <family val="2"/>
    </font>
    <font>
      <b/>
      <sz val="14"/>
      <color indexed="9"/>
      <name val="Calibri"/>
      <family val="2"/>
    </font>
    <font>
      <sz val="11"/>
      <color indexed="81"/>
      <name val="Tahoma"/>
      <family val="2"/>
    </font>
    <font>
      <b/>
      <i/>
      <sz val="14"/>
      <color indexed="12"/>
      <name val="Calibri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  <font>
      <b/>
      <u/>
      <sz val="8"/>
      <color indexed="81"/>
      <name val="Tahoma"/>
      <family val="2"/>
    </font>
    <font>
      <b/>
      <u/>
      <sz val="9"/>
      <color indexed="81"/>
      <name val="Tahoma"/>
      <family val="2"/>
    </font>
    <font>
      <b/>
      <sz val="9"/>
      <color indexed="10"/>
      <name val="Tahoma"/>
      <family val="2"/>
    </font>
    <font>
      <sz val="10"/>
      <color indexed="81"/>
      <name val="Tahoma"/>
      <family val="2"/>
    </font>
    <font>
      <sz val="9"/>
      <color indexed="39"/>
      <name val="Tahoma"/>
      <family val="2"/>
    </font>
    <font>
      <b/>
      <sz val="9"/>
      <color indexed="39"/>
      <name val="Tahoma"/>
      <family val="2"/>
    </font>
    <font>
      <b/>
      <vertAlign val="subscript"/>
      <sz val="9"/>
      <color indexed="81"/>
      <name val="Tahoma"/>
      <family val="2"/>
    </font>
    <font>
      <vertAlign val="subscript"/>
      <sz val="9"/>
      <color indexed="81"/>
      <name val="Tahoma"/>
      <family val="2"/>
    </font>
    <font>
      <b/>
      <sz val="8"/>
      <color indexed="10"/>
      <name val="Tahoma"/>
      <family val="2"/>
    </font>
    <font>
      <b/>
      <vertAlign val="subscript"/>
      <sz val="10"/>
      <color indexed="81"/>
      <name val="Tahoma"/>
      <family val="2"/>
    </font>
    <font>
      <vertAlign val="subscript"/>
      <sz val="10"/>
      <color indexed="81"/>
      <name val="Tahoma"/>
      <family val="2"/>
    </font>
    <font>
      <sz val="10"/>
      <color indexed="81"/>
      <name val="Calibri"/>
      <family val="2"/>
    </font>
    <font>
      <sz val="36"/>
      <color rgb="FFFF0000"/>
      <name val="Arial"/>
      <family val="2"/>
    </font>
    <font>
      <sz val="32"/>
      <color theme="0"/>
      <name val="Arial"/>
      <family val="2"/>
    </font>
    <font>
      <sz val="16"/>
      <color theme="0"/>
      <name val="Arial"/>
      <family val="2"/>
    </font>
    <font>
      <b/>
      <vertAlign val="subscript"/>
      <sz val="10"/>
      <name val="Arial"/>
      <family val="2"/>
    </font>
    <font>
      <sz val="10"/>
      <color indexed="23"/>
      <name val="Arial"/>
      <family val="2"/>
    </font>
    <font>
      <sz val="10"/>
      <color indexed="55"/>
      <name val="Arial"/>
      <family val="2"/>
    </font>
    <font>
      <b/>
      <i/>
      <sz val="10"/>
      <color indexed="55"/>
      <name val="Arial"/>
      <family val="2"/>
    </font>
    <font>
      <b/>
      <i/>
      <sz val="14"/>
      <color indexed="12"/>
      <name val="Arial"/>
      <family val="2"/>
    </font>
    <font>
      <b/>
      <sz val="10"/>
      <color indexed="8"/>
      <name val="Arial"/>
      <family val="2"/>
    </font>
    <font>
      <b/>
      <sz val="14"/>
      <color indexed="9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bscript"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sz val="10"/>
      <color rgb="FF0000FF"/>
      <name val="Calibri"/>
      <family val="2"/>
    </font>
    <font>
      <b/>
      <vertAlign val="subscript"/>
      <sz val="10"/>
      <color rgb="FF0000FF"/>
      <name val="Arial"/>
      <family val="2"/>
    </font>
    <font>
      <b/>
      <sz val="12"/>
      <color rgb="FF003366"/>
      <name val="Calibri"/>
      <family val="2"/>
    </font>
    <font>
      <sz val="10"/>
      <name val="Symbol"/>
      <family val="1"/>
      <charset val="2"/>
    </font>
    <font>
      <b/>
      <sz val="10"/>
      <color indexed="9"/>
      <name val="Arial"/>
      <family val="2"/>
    </font>
    <font>
      <b/>
      <sz val="12"/>
      <color rgb="FF0000FF"/>
      <name val="Arial"/>
      <family val="2"/>
    </font>
    <font>
      <b/>
      <u/>
      <sz val="10"/>
      <name val="Arial"/>
      <family val="2"/>
    </font>
    <font>
      <u/>
      <sz val="9"/>
      <color indexed="12"/>
      <name val="Tahoma"/>
      <family val="2"/>
    </font>
    <font>
      <vertAlign val="superscript"/>
      <sz val="10"/>
      <name val="Arial"/>
      <family val="2"/>
    </font>
    <font>
      <vertAlign val="subscript"/>
      <sz val="10"/>
      <color theme="1"/>
      <name val="Arial"/>
      <family val="2"/>
    </font>
    <font>
      <u/>
      <sz val="9"/>
      <color indexed="81"/>
      <name val="Tahoma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vertAlign val="subscript"/>
      <sz val="10"/>
      <color rgb="FFFF0000"/>
      <name val="Arial"/>
      <family val="2"/>
    </font>
    <font>
      <b/>
      <sz val="10"/>
      <name val="Symbol"/>
      <family val="1"/>
      <charset val="2"/>
    </font>
    <font>
      <b/>
      <i/>
      <u/>
      <sz val="10"/>
      <color rgb="FF0000FF"/>
      <name val="Arial"/>
      <family val="2"/>
    </font>
    <font>
      <sz val="10"/>
      <color theme="0"/>
      <name val="Arial"/>
      <family val="2"/>
    </font>
    <font>
      <u/>
      <sz val="10"/>
      <color theme="0" tint="-0.499984740745262"/>
      <name val="Arial"/>
      <family val="2"/>
    </font>
    <font>
      <b/>
      <sz val="12"/>
      <color indexed="10"/>
      <name val="Tahoma"/>
      <family val="2"/>
    </font>
    <font>
      <b/>
      <sz val="10"/>
      <color rgb="FFFF00FF"/>
      <name val="Arial"/>
      <family val="2"/>
    </font>
    <font>
      <b/>
      <sz val="10"/>
      <color rgb="FFC00000"/>
      <name val="Arial"/>
      <family val="2"/>
    </font>
    <font>
      <b/>
      <vertAlign val="subscript"/>
      <sz val="9"/>
      <color indexed="10"/>
      <name val="Tahoma"/>
      <family val="2"/>
    </font>
    <font>
      <b/>
      <sz val="9"/>
      <color indexed="14"/>
      <name val="Tahoma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新細明體"/>
      <family val="2"/>
      <scheme val="minor"/>
    </font>
    <font>
      <b/>
      <u/>
      <sz val="10"/>
      <color theme="10"/>
      <name val="Arial"/>
      <family val="2"/>
    </font>
    <font>
      <b/>
      <sz val="10"/>
      <color theme="0"/>
      <name val="Arial"/>
      <family val="2"/>
    </font>
    <font>
      <b/>
      <u/>
      <sz val="11"/>
      <color theme="10"/>
      <name val="Arial"/>
      <family val="2"/>
    </font>
    <font>
      <sz val="9"/>
      <name val="細明體"/>
      <family val="3"/>
      <charset val="136"/>
    </font>
  </fonts>
  <fills count="2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E0000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55"/>
      </top>
      <bottom/>
      <diagonal/>
    </border>
    <border>
      <left/>
      <right/>
      <top/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/>
      <diagonal/>
    </border>
    <border>
      <left/>
      <right style="medium">
        <color indexed="55"/>
      </right>
      <top/>
      <bottom/>
      <diagonal/>
    </border>
    <border>
      <left/>
      <right style="medium">
        <color indexed="55"/>
      </right>
      <top/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55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55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8">
    <xf numFmtId="0" fontId="0" fillId="0" borderId="0"/>
    <xf numFmtId="176" fontId="3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176" fontId="2" fillId="0" borderId="0" applyFont="0" applyFill="0" applyBorder="0" applyAlignment="0" applyProtection="0"/>
    <xf numFmtId="0" fontId="1" fillId="0" borderId="0"/>
    <xf numFmtId="0" fontId="94" fillId="0" borderId="0" applyNumberFormat="0" applyFill="0" applyBorder="0" applyAlignment="0" applyProtection="0"/>
  </cellStyleXfs>
  <cellXfs count="747">
    <xf numFmtId="0" fontId="0" fillId="0" borderId="0" xfId="0"/>
    <xf numFmtId="0" fontId="8" fillId="0" borderId="0" xfId="0" applyFont="1"/>
    <xf numFmtId="0" fontId="4" fillId="0" borderId="0" xfId="0" applyFont="1"/>
    <xf numFmtId="0" fontId="9" fillId="0" borderId="0" xfId="0" applyFont="1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4" fillId="2" borderId="0" xfId="0" applyFont="1" applyFill="1"/>
    <xf numFmtId="182" fontId="0" fillId="0" borderId="0" xfId="0" applyNumberFormat="1"/>
    <xf numFmtId="10" fontId="0" fillId="0" borderId="0" xfId="0" applyNumberFormat="1"/>
    <xf numFmtId="0" fontId="15" fillId="3" borderId="0" xfId="0" applyFont="1" applyFill="1" applyAlignment="1">
      <alignment horizontal="right"/>
    </xf>
    <xf numFmtId="0" fontId="15" fillId="3" borderId="0" xfId="0" applyFont="1" applyFill="1"/>
    <xf numFmtId="0" fontId="0" fillId="4" borderId="2" xfId="0" applyFill="1" applyBorder="1"/>
    <xf numFmtId="0" fontId="17" fillId="3" borderId="4" xfId="0" applyFont="1" applyFill="1" applyBorder="1"/>
    <xf numFmtId="0" fontId="4" fillId="5" borderId="8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4" fillId="5" borderId="11" xfId="0" applyFont="1" applyFill="1" applyBorder="1"/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0" fillId="6" borderId="12" xfId="0" applyFill="1" applyBorder="1"/>
    <xf numFmtId="0" fontId="0" fillId="0" borderId="11" xfId="0" applyBorder="1"/>
    <xf numFmtId="0" fontId="0" fillId="6" borderId="11" xfId="0" applyFill="1" applyBorder="1"/>
    <xf numFmtId="0" fontId="0" fillId="4" borderId="11" xfId="0" applyFill="1" applyBorder="1"/>
    <xf numFmtId="0" fontId="4" fillId="5" borderId="0" xfId="0" applyFont="1" applyFill="1"/>
    <xf numFmtId="0" fontId="0" fillId="6" borderId="0" xfId="0" applyFill="1"/>
    <xf numFmtId="0" fontId="0" fillId="0" borderId="13" xfId="0" applyBorder="1"/>
    <xf numFmtId="0" fontId="9" fillId="2" borderId="0" xfId="0" applyFont="1" applyFill="1"/>
    <xf numFmtId="0" fontId="0" fillId="6" borderId="13" xfId="0" applyFill="1" applyBorder="1"/>
    <xf numFmtId="0" fontId="0" fillId="4" borderId="0" xfId="0" applyFill="1"/>
    <xf numFmtId="11" fontId="0" fillId="0" borderId="0" xfId="0" applyNumberFormat="1"/>
    <xf numFmtId="0" fontId="13" fillId="3" borderId="0" xfId="0" applyFont="1" applyFill="1"/>
    <xf numFmtId="0" fontId="0" fillId="4" borderId="12" xfId="0" applyFill="1" applyBorder="1"/>
    <xf numFmtId="0" fontId="0" fillId="4" borderId="14" xfId="0" applyFill="1" applyBorder="1"/>
    <xf numFmtId="0" fontId="4" fillId="4" borderId="11" xfId="0" applyFont="1" applyFill="1" applyBorder="1"/>
    <xf numFmtId="0" fontId="0" fillId="6" borderId="8" xfId="0" applyFill="1" applyBorder="1"/>
    <xf numFmtId="0" fontId="0" fillId="4" borderId="8" xfId="0" applyFill="1" applyBorder="1"/>
    <xf numFmtId="0" fontId="4" fillId="5" borderId="4" xfId="0" applyFont="1" applyFill="1" applyBorder="1"/>
    <xf numFmtId="0" fontId="0" fillId="2" borderId="14" xfId="0" applyFill="1" applyBorder="1"/>
    <xf numFmtId="0" fontId="0" fillId="2" borderId="13" xfId="0" applyFill="1" applyBorder="1"/>
    <xf numFmtId="0" fontId="0" fillId="2" borderId="12" xfId="0" applyFill="1" applyBorder="1"/>
    <xf numFmtId="0" fontId="0" fillId="8" borderId="0" xfId="0" applyFill="1"/>
    <xf numFmtId="0" fontId="16" fillId="0" borderId="0" xfId="0" applyFont="1"/>
    <xf numFmtId="0" fontId="0" fillId="10" borderId="0" xfId="0" applyFill="1"/>
    <xf numFmtId="0" fontId="0" fillId="0" borderId="0" xfId="0" applyAlignment="1">
      <alignment horizontal="right"/>
    </xf>
    <xf numFmtId="0" fontId="18" fillId="0" borderId="0" xfId="0" applyFont="1"/>
    <xf numFmtId="11" fontId="8" fillId="0" borderId="0" xfId="0" applyNumberFormat="1" applyFont="1"/>
    <xf numFmtId="0" fontId="0" fillId="11" borderId="0" xfId="0" applyFill="1"/>
    <xf numFmtId="181" fontId="0" fillId="0" borderId="0" xfId="0" applyNumberFormat="1"/>
    <xf numFmtId="0" fontId="4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0" fontId="4" fillId="13" borderId="0" xfId="0" applyFont="1" applyFill="1" applyAlignment="1">
      <alignment horizontal="center"/>
    </xf>
    <xf numFmtId="178" fontId="0" fillId="0" borderId="0" xfId="0" applyNumberFormat="1"/>
    <xf numFmtId="184" fontId="18" fillId="3" borderId="0" xfId="0" applyNumberFormat="1" applyFont="1" applyFill="1" applyAlignment="1">
      <alignment horizontal="center"/>
    </xf>
    <xf numFmtId="184" fontId="26" fillId="3" borderId="0" xfId="0" applyNumberFormat="1" applyFont="1" applyFill="1" applyAlignment="1">
      <alignment horizontal="center"/>
    </xf>
    <xf numFmtId="0" fontId="0" fillId="0" borderId="28" xfId="0" applyBorder="1"/>
    <xf numFmtId="0" fontId="0" fillId="0" borderId="29" xfId="0" applyBorder="1"/>
    <xf numFmtId="0" fontId="9" fillId="0" borderId="28" xfId="0" applyFont="1" applyBorder="1"/>
    <xf numFmtId="0" fontId="0" fillId="13" borderId="0" xfId="0" applyFill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" xfId="0" applyBorder="1"/>
    <xf numFmtId="0" fontId="0" fillId="0" borderId="3" xfId="0" applyBorder="1"/>
    <xf numFmtId="0" fontId="8" fillId="0" borderId="28" xfId="0" applyFont="1" applyBorder="1"/>
    <xf numFmtId="0" fontId="4" fillId="0" borderId="28" xfId="0" applyFont="1" applyBorder="1"/>
    <xf numFmtId="11" fontId="0" fillId="13" borderId="0" xfId="0" applyNumberFormat="1" applyFill="1"/>
    <xf numFmtId="0" fontId="0" fillId="12" borderId="0" xfId="0" applyFill="1"/>
    <xf numFmtId="11" fontId="0" fillId="12" borderId="0" xfId="0" applyNumberFormat="1" applyFill="1"/>
    <xf numFmtId="0" fontId="0" fillId="0" borderId="31" xfId="0" applyBorder="1" applyAlignment="1">
      <alignment horizontal="right"/>
    </xf>
    <xf numFmtId="11" fontId="8" fillId="0" borderId="31" xfId="0" applyNumberFormat="1" applyFont="1" applyBorder="1"/>
    <xf numFmtId="11" fontId="0" fillId="4" borderId="0" xfId="0" applyNumberFormat="1" applyFill="1"/>
    <xf numFmtId="0" fontId="0" fillId="2" borderId="0" xfId="0" applyFill="1" applyProtection="1">
      <protection locked="0"/>
    </xf>
    <xf numFmtId="0" fontId="0" fillId="2" borderId="11" xfId="0" applyFill="1" applyBorder="1" applyProtection="1">
      <protection locked="0"/>
    </xf>
    <xf numFmtId="0" fontId="0" fillId="9" borderId="0" xfId="0" applyFill="1"/>
    <xf numFmtId="0" fontId="0" fillId="0" borderId="8" xfId="0" applyBorder="1"/>
    <xf numFmtId="0" fontId="0" fillId="4" borderId="13" xfId="0" applyFill="1" applyBorder="1"/>
    <xf numFmtId="0" fontId="0" fillId="7" borderId="11" xfId="0" applyFill="1" applyBorder="1"/>
    <xf numFmtId="0" fontId="16" fillId="7" borderId="11" xfId="0" applyFont="1" applyFill="1" applyBorder="1"/>
    <xf numFmtId="0" fontId="9" fillId="7" borderId="11" xfId="0" applyFont="1" applyFill="1" applyBorder="1"/>
    <xf numFmtId="0" fontId="9" fillId="9" borderId="11" xfId="0" applyFont="1" applyFill="1" applyBorder="1"/>
    <xf numFmtId="0" fontId="18" fillId="3" borderId="0" xfId="0" applyFont="1" applyFill="1"/>
    <xf numFmtId="0" fontId="19" fillId="9" borderId="0" xfId="0" applyFont="1" applyFill="1"/>
    <xf numFmtId="0" fontId="18" fillId="9" borderId="0" xfId="0" applyFont="1" applyFill="1" applyAlignment="1">
      <alignment horizontal="right"/>
    </xf>
    <xf numFmtId="0" fontId="19" fillId="9" borderId="0" xfId="0" applyFont="1" applyFill="1" applyAlignment="1">
      <alignment horizontal="right"/>
    </xf>
    <xf numFmtId="0" fontId="18" fillId="9" borderId="0" xfId="0" applyFont="1" applyFill="1"/>
    <xf numFmtId="0" fontId="26" fillId="15" borderId="19" xfId="0" applyFont="1" applyFill="1" applyBorder="1"/>
    <xf numFmtId="0" fontId="26" fillId="15" borderId="20" xfId="0" applyFont="1" applyFill="1" applyBorder="1"/>
    <xf numFmtId="0" fontId="26" fillId="3" borderId="0" xfId="0" applyFont="1" applyFill="1"/>
    <xf numFmtId="0" fontId="18" fillId="9" borderId="0" xfId="0" applyFont="1" applyFill="1" applyAlignment="1">
      <alignment horizontal="center"/>
    </xf>
    <xf numFmtId="0" fontId="18" fillId="9" borderId="0" xfId="0" applyFont="1" applyFill="1" applyAlignment="1">
      <alignment horizontal="left"/>
    </xf>
    <xf numFmtId="0" fontId="22" fillId="0" borderId="0" xfId="0" applyFont="1"/>
    <xf numFmtId="0" fontId="0" fillId="0" borderId="1" xfId="0" applyBorder="1"/>
    <xf numFmtId="0" fontId="4" fillId="0" borderId="1" xfId="0" applyFont="1" applyBorder="1"/>
    <xf numFmtId="0" fontId="0" fillId="0" borderId="2" xfId="0" applyBorder="1" applyAlignment="1">
      <alignment horizontal="right"/>
    </xf>
    <xf numFmtId="0" fontId="23" fillId="0" borderId="0" xfId="0" applyFont="1"/>
    <xf numFmtId="0" fontId="31" fillId="0" borderId="0" xfId="0" applyFont="1"/>
    <xf numFmtId="0" fontId="31" fillId="4" borderId="0" xfId="0" applyFont="1" applyFill="1"/>
    <xf numFmtId="0" fontId="22" fillId="0" borderId="38" xfId="0" applyFont="1" applyBorder="1"/>
    <xf numFmtId="0" fontId="0" fillId="0" borderId="33" xfId="0" applyBorder="1"/>
    <xf numFmtId="0" fontId="0" fillId="0" borderId="35" xfId="0" applyBorder="1"/>
    <xf numFmtId="0" fontId="9" fillId="0" borderId="39" xfId="0" applyFont="1" applyBorder="1"/>
    <xf numFmtId="0" fontId="0" fillId="0" borderId="36" xfId="0" applyBorder="1"/>
    <xf numFmtId="0" fontId="31" fillId="0" borderId="39" xfId="0" applyFont="1" applyBorder="1"/>
    <xf numFmtId="0" fontId="31" fillId="0" borderId="40" xfId="0" applyFont="1" applyBorder="1"/>
    <xf numFmtId="0" fontId="31" fillId="0" borderId="34" xfId="0" applyFont="1" applyBorder="1"/>
    <xf numFmtId="0" fontId="0" fillId="0" borderId="34" xfId="0" applyBorder="1"/>
    <xf numFmtId="0" fontId="0" fillId="0" borderId="37" xfId="0" applyBorder="1"/>
    <xf numFmtId="0" fontId="9" fillId="0" borderId="31" xfId="0" applyFont="1" applyBorder="1"/>
    <xf numFmtId="0" fontId="9" fillId="13" borderId="0" xfId="0" applyFont="1" applyFill="1"/>
    <xf numFmtId="0" fontId="18" fillId="9" borderId="29" xfId="0" applyFont="1" applyFill="1" applyBorder="1"/>
    <xf numFmtId="0" fontId="20" fillId="9" borderId="0" xfId="0" applyFont="1" applyFill="1"/>
    <xf numFmtId="180" fontId="18" fillId="9" borderId="0" xfId="0" applyNumberFormat="1" applyFont="1" applyFill="1"/>
    <xf numFmtId="183" fontId="18" fillId="9" borderId="0" xfId="0" applyNumberFormat="1" applyFont="1" applyFill="1"/>
    <xf numFmtId="179" fontId="18" fillId="9" borderId="0" xfId="0" applyNumberFormat="1" applyFont="1" applyFill="1"/>
    <xf numFmtId="2" fontId="31" fillId="12" borderId="0" xfId="0" applyNumberFormat="1" applyFont="1" applyFill="1"/>
    <xf numFmtId="0" fontId="18" fillId="16" borderId="0" xfId="0" applyFont="1" applyFill="1"/>
    <xf numFmtId="0" fontId="3" fillId="0" borderId="0" xfId="0" applyFont="1"/>
    <xf numFmtId="2" fontId="3" fillId="0" borderId="0" xfId="0" quotePrefix="1" applyNumberFormat="1" applyFont="1"/>
    <xf numFmtId="0" fontId="0" fillId="0" borderId="0" xfId="0" applyAlignment="1">
      <alignment horizontal="left"/>
    </xf>
    <xf numFmtId="0" fontId="3" fillId="0" borderId="2" xfId="0" applyFont="1" applyBorder="1"/>
    <xf numFmtId="0" fontId="3" fillId="0" borderId="31" xfId="0" applyFont="1" applyBorder="1"/>
    <xf numFmtId="0" fontId="34" fillId="9" borderId="0" xfId="0" applyFont="1" applyFill="1"/>
    <xf numFmtId="0" fontId="21" fillId="19" borderId="0" xfId="0" applyFont="1" applyFill="1" applyAlignment="1">
      <alignment vertical="center"/>
    </xf>
    <xf numFmtId="0" fontId="0" fillId="18" borderId="0" xfId="0" applyFill="1"/>
    <xf numFmtId="0" fontId="54" fillId="18" borderId="0" xfId="0" applyFont="1" applyFill="1"/>
    <xf numFmtId="0" fontId="24" fillId="9" borderId="0" xfId="0" applyFont="1" applyFill="1" applyAlignment="1">
      <alignment horizontal="right"/>
    </xf>
    <xf numFmtId="0" fontId="4" fillId="9" borderId="0" xfId="0" applyFont="1" applyFill="1" applyAlignment="1">
      <alignment horizontal="right"/>
    </xf>
    <xf numFmtId="0" fontId="3" fillId="9" borderId="0" xfId="0" applyFont="1" applyFill="1" applyAlignment="1">
      <alignment horizontal="right"/>
    </xf>
    <xf numFmtId="0" fontId="3" fillId="9" borderId="31" xfId="0" applyFont="1" applyFill="1" applyBorder="1" applyAlignment="1">
      <alignment horizontal="right"/>
    </xf>
    <xf numFmtId="0" fontId="3" fillId="9" borderId="28" xfId="0" applyFont="1" applyFill="1" applyBorder="1"/>
    <xf numFmtId="0" fontId="3" fillId="9" borderId="0" xfId="0" applyFont="1" applyFill="1"/>
    <xf numFmtId="0" fontId="4" fillId="19" borderId="0" xfId="0" applyFont="1" applyFill="1" applyProtection="1">
      <protection locked="0"/>
    </xf>
    <xf numFmtId="0" fontId="57" fillId="9" borderId="0" xfId="0" applyFont="1" applyFill="1"/>
    <xf numFmtId="1" fontId="4" fillId="19" borderId="0" xfId="0" applyNumberFormat="1" applyFont="1" applyFill="1" applyProtection="1">
      <protection locked="0"/>
    </xf>
    <xf numFmtId="0" fontId="58" fillId="9" borderId="0" xfId="0" applyFont="1" applyFill="1"/>
    <xf numFmtId="0" fontId="7" fillId="9" borderId="0" xfId="0" applyFont="1" applyFill="1" applyAlignment="1">
      <alignment horizontal="right"/>
    </xf>
    <xf numFmtId="0" fontId="56" fillId="9" borderId="0" xfId="0" applyFont="1" applyFill="1"/>
    <xf numFmtId="0" fontId="59" fillId="9" borderId="0" xfId="0" applyFont="1" applyFill="1"/>
    <xf numFmtId="0" fontId="4" fillId="9" borderId="0" xfId="0" applyFont="1" applyFill="1"/>
    <xf numFmtId="181" fontId="4" fillId="9" borderId="0" xfId="0" applyNumberFormat="1" applyFont="1" applyFill="1"/>
    <xf numFmtId="0" fontId="3" fillId="16" borderId="0" xfId="0" applyFont="1" applyFill="1"/>
    <xf numFmtId="0" fontId="4" fillId="9" borderId="28" xfId="0" applyFont="1" applyFill="1" applyBorder="1"/>
    <xf numFmtId="0" fontId="59" fillId="16" borderId="0" xfId="0" applyFont="1" applyFill="1"/>
    <xf numFmtId="1" fontId="56" fillId="9" borderId="0" xfId="0" applyNumberFormat="1" applyFont="1" applyFill="1" applyAlignment="1">
      <alignment horizontal="right"/>
    </xf>
    <xf numFmtId="0" fontId="61" fillId="15" borderId="19" xfId="0" applyFont="1" applyFill="1" applyBorder="1"/>
    <xf numFmtId="0" fontId="59" fillId="9" borderId="0" xfId="0" applyFont="1" applyFill="1" applyAlignment="1">
      <alignment vertical="center"/>
    </xf>
    <xf numFmtId="0" fontId="8" fillId="9" borderId="0" xfId="0" applyFont="1" applyFill="1" applyAlignment="1">
      <alignment horizontal="right"/>
    </xf>
    <xf numFmtId="181" fontId="8" fillId="9" borderId="0" xfId="0" applyNumberFormat="1" applyFont="1" applyFill="1"/>
    <xf numFmtId="0" fontId="8" fillId="9" borderId="0" xfId="0" applyFont="1" applyFill="1"/>
    <xf numFmtId="0" fontId="3" fillId="16" borderId="0" xfId="0" applyFont="1" applyFill="1" applyAlignment="1">
      <alignment horizontal="left"/>
    </xf>
    <xf numFmtId="1" fontId="3" fillId="16" borderId="0" xfId="0" applyNumberFormat="1" applyFont="1" applyFill="1" applyAlignment="1">
      <alignment horizontal="right"/>
    </xf>
    <xf numFmtId="0" fontId="4" fillId="9" borderId="0" xfId="0" applyFont="1" applyFill="1" applyAlignment="1">
      <alignment horizontal="left"/>
    </xf>
    <xf numFmtId="0" fontId="62" fillId="9" borderId="0" xfId="0" applyFont="1" applyFill="1"/>
    <xf numFmtId="0" fontId="3" fillId="9" borderId="0" xfId="0" applyFont="1" applyFill="1" applyAlignment="1">
      <alignment horizontal="left"/>
    </xf>
    <xf numFmtId="0" fontId="60" fillId="19" borderId="0" xfId="0" applyFont="1" applyFill="1" applyAlignment="1" applyProtection="1">
      <alignment horizontal="right"/>
      <protection locked="0" hidden="1"/>
    </xf>
    <xf numFmtId="0" fontId="63" fillId="15" borderId="19" xfId="0" applyFont="1" applyFill="1" applyBorder="1"/>
    <xf numFmtId="0" fontId="23" fillId="9" borderId="28" xfId="0" applyFont="1" applyFill="1" applyBorder="1"/>
    <xf numFmtId="1" fontId="3" fillId="9" borderId="0" xfId="0" applyNumberFormat="1" applyFont="1" applyFill="1"/>
    <xf numFmtId="0" fontId="65" fillId="9" borderId="0" xfId="0" applyFont="1" applyFill="1" applyAlignment="1">
      <alignment horizontal="right"/>
    </xf>
    <xf numFmtId="0" fontId="3" fillId="9" borderId="2" xfId="0" applyFont="1" applyFill="1" applyBorder="1"/>
    <xf numFmtId="0" fontId="3" fillId="9" borderId="2" xfId="0" applyFont="1" applyFill="1" applyBorder="1" applyAlignment="1">
      <alignment horizontal="right"/>
    </xf>
    <xf numFmtId="0" fontId="65" fillId="9" borderId="2" xfId="0" applyFont="1" applyFill="1" applyBorder="1" applyAlignment="1">
      <alignment horizontal="right"/>
    </xf>
    <xf numFmtId="0" fontId="4" fillId="9" borderId="3" xfId="0" applyFont="1" applyFill="1" applyBorder="1"/>
    <xf numFmtId="0" fontId="4" fillId="9" borderId="29" xfId="0" applyFont="1" applyFill="1" applyBorder="1"/>
    <xf numFmtId="0" fontId="3" fillId="9" borderId="30" xfId="0" applyFont="1" applyFill="1" applyBorder="1"/>
    <xf numFmtId="0" fontId="3" fillId="9" borderId="31" xfId="0" applyFont="1" applyFill="1" applyBorder="1"/>
    <xf numFmtId="0" fontId="3" fillId="9" borderId="32" xfId="0" applyFont="1" applyFill="1" applyBorder="1"/>
    <xf numFmtId="0" fontId="3" fillId="9" borderId="3" xfId="0" applyFont="1" applyFill="1" applyBorder="1"/>
    <xf numFmtId="0" fontId="3" fillId="9" borderId="29" xfId="0" applyFont="1" applyFill="1" applyBorder="1"/>
    <xf numFmtId="181" fontId="3" fillId="9" borderId="31" xfId="0" applyNumberFormat="1" applyFont="1" applyFill="1" applyBorder="1"/>
    <xf numFmtId="0" fontId="4" fillId="9" borderId="2" xfId="0" applyFont="1" applyFill="1" applyBorder="1"/>
    <xf numFmtId="0" fontId="4" fillId="9" borderId="2" xfId="0" applyFont="1" applyFill="1" applyBorder="1" applyAlignment="1">
      <alignment horizontal="right"/>
    </xf>
    <xf numFmtId="1" fontId="4" fillId="19" borderId="2" xfId="0" applyNumberFormat="1" applyFont="1" applyFill="1" applyBorder="1" applyProtection="1">
      <protection locked="0"/>
    </xf>
    <xf numFmtId="0" fontId="3" fillId="16" borderId="41" xfId="0" applyFont="1" applyFill="1" applyBorder="1" applyAlignment="1">
      <alignment horizontal="left"/>
    </xf>
    <xf numFmtId="0" fontId="60" fillId="19" borderId="41" xfId="0" applyFont="1" applyFill="1" applyBorder="1" applyAlignment="1" applyProtection="1">
      <alignment horizontal="right"/>
      <protection locked="0" hidden="1"/>
    </xf>
    <xf numFmtId="0" fontId="60" fillId="9" borderId="42" xfId="0" applyFont="1" applyFill="1" applyBorder="1" applyAlignment="1">
      <alignment horizontal="left"/>
    </xf>
    <xf numFmtId="0" fontId="60" fillId="9" borderId="29" xfId="0" applyFont="1" applyFill="1" applyBorder="1" applyAlignment="1">
      <alignment horizontal="left"/>
    </xf>
    <xf numFmtId="0" fontId="4" fillId="9" borderId="43" xfId="0" applyFont="1" applyFill="1" applyBorder="1" applyAlignment="1">
      <alignment horizontal="center"/>
    </xf>
    <xf numFmtId="0" fontId="4" fillId="9" borderId="28" xfId="0" applyFont="1" applyFill="1" applyBorder="1" applyAlignment="1">
      <alignment horizontal="center"/>
    </xf>
    <xf numFmtId="0" fontId="4" fillId="9" borderId="43" xfId="0" applyFont="1" applyFill="1" applyBorder="1"/>
    <xf numFmtId="0" fontId="4" fillId="9" borderId="41" xfId="0" applyFont="1" applyFill="1" applyBorder="1"/>
    <xf numFmtId="0" fontId="3" fillId="9" borderId="41" xfId="0" applyFont="1" applyFill="1" applyBorder="1"/>
    <xf numFmtId="0" fontId="3" fillId="9" borderId="42" xfId="0" applyFont="1" applyFill="1" applyBorder="1"/>
    <xf numFmtId="0" fontId="3" fillId="9" borderId="41" xfId="0" applyFont="1" applyFill="1" applyBorder="1" applyAlignment="1">
      <alignment vertical="center"/>
    </xf>
    <xf numFmtId="0" fontId="3" fillId="9" borderId="45" xfId="0" applyFont="1" applyFill="1" applyBorder="1"/>
    <xf numFmtId="0" fontId="4" fillId="9" borderId="45" xfId="0" applyFont="1" applyFill="1" applyBorder="1" applyAlignment="1">
      <alignment horizontal="right"/>
    </xf>
    <xf numFmtId="0" fontId="3" fillId="9" borderId="46" xfId="0" applyFont="1" applyFill="1" applyBorder="1"/>
    <xf numFmtId="0" fontId="3" fillId="16" borderId="45" xfId="0" applyFont="1" applyFill="1" applyBorder="1" applyAlignment="1">
      <alignment horizontal="left"/>
    </xf>
    <xf numFmtId="0" fontId="60" fillId="19" borderId="45" xfId="0" applyFont="1" applyFill="1" applyBorder="1" applyAlignment="1" applyProtection="1">
      <alignment horizontal="right"/>
      <protection locked="0" hidden="1"/>
    </xf>
    <xf numFmtId="0" fontId="60" fillId="9" borderId="46" xfId="0" applyFont="1" applyFill="1" applyBorder="1" applyAlignment="1">
      <alignment horizontal="left"/>
    </xf>
    <xf numFmtId="181" fontId="3" fillId="9" borderId="41" xfId="0" applyNumberFormat="1" applyFont="1" applyFill="1" applyBorder="1" applyAlignment="1">
      <alignment horizontal="left" vertical="center"/>
    </xf>
    <xf numFmtId="1" fontId="3" fillId="9" borderId="45" xfId="0" applyNumberFormat="1" applyFont="1" applyFill="1" applyBorder="1" applyAlignment="1">
      <alignment horizontal="left" vertical="center"/>
    </xf>
    <xf numFmtId="0" fontId="23" fillId="9" borderId="28" xfId="0" applyFont="1" applyFill="1" applyBorder="1" applyAlignment="1">
      <alignment vertical="center"/>
    </xf>
    <xf numFmtId="0" fontId="3" fillId="9" borderId="43" xfId="0" applyFont="1" applyFill="1" applyBorder="1"/>
    <xf numFmtId="0" fontId="3" fillId="16" borderId="28" xfId="0" applyFont="1" applyFill="1" applyBorder="1"/>
    <xf numFmtId="1" fontId="4" fillId="16" borderId="28" xfId="0" applyNumberFormat="1" applyFont="1" applyFill="1" applyBorder="1" applyAlignment="1">
      <alignment horizontal="right" vertical="center"/>
    </xf>
    <xf numFmtId="0" fontId="61" fillId="15" borderId="47" xfId="0" applyFont="1" applyFill="1" applyBorder="1"/>
    <xf numFmtId="0" fontId="18" fillId="3" borderId="28" xfId="0" applyFont="1" applyFill="1" applyBorder="1"/>
    <xf numFmtId="184" fontId="18" fillId="18" borderId="0" xfId="0" applyNumberFormat="1" applyFont="1" applyFill="1" applyAlignment="1">
      <alignment horizontal="center"/>
    </xf>
    <xf numFmtId="0" fontId="18" fillId="18" borderId="0" xfId="0" applyFont="1" applyFill="1"/>
    <xf numFmtId="184" fontId="26" fillId="18" borderId="0" xfId="0" applyNumberFormat="1" applyFont="1" applyFill="1" applyAlignment="1">
      <alignment horizontal="center"/>
    </xf>
    <xf numFmtId="0" fontId="26" fillId="18" borderId="0" xfId="0" applyFont="1" applyFill="1"/>
    <xf numFmtId="0" fontId="3" fillId="16" borderId="0" xfId="0" applyFont="1" applyFill="1" applyProtection="1">
      <protection locked="0"/>
    </xf>
    <xf numFmtId="0" fontId="3" fillId="9" borderId="44" xfId="0" applyFont="1" applyFill="1" applyBorder="1"/>
    <xf numFmtId="0" fontId="4" fillId="9" borderId="45" xfId="0" applyFont="1" applyFill="1" applyBorder="1"/>
    <xf numFmtId="0" fontId="3" fillId="9" borderId="48" xfId="0" applyFont="1" applyFill="1" applyBorder="1"/>
    <xf numFmtId="0" fontId="69" fillId="9" borderId="0" xfId="0" applyFont="1" applyFill="1"/>
    <xf numFmtId="0" fontId="69" fillId="9" borderId="29" xfId="0" applyFont="1" applyFill="1" applyBorder="1"/>
    <xf numFmtId="184" fontId="69" fillId="18" borderId="0" xfId="0" applyNumberFormat="1" applyFont="1" applyFill="1" applyAlignment="1">
      <alignment horizontal="center"/>
    </xf>
    <xf numFmtId="0" fontId="69" fillId="18" borderId="0" xfId="0" applyFont="1" applyFill="1"/>
    <xf numFmtId="184" fontId="69" fillId="3" borderId="0" xfId="0" applyNumberFormat="1" applyFont="1" applyFill="1" applyAlignment="1">
      <alignment horizontal="center"/>
    </xf>
    <xf numFmtId="0" fontId="69" fillId="3" borderId="0" xfId="0" applyFont="1" applyFill="1"/>
    <xf numFmtId="0" fontId="67" fillId="9" borderId="41" xfId="0" applyFont="1" applyFill="1" applyBorder="1" applyAlignment="1">
      <alignment horizontal="right"/>
    </xf>
    <xf numFmtId="0" fontId="3" fillId="16" borderId="31" xfId="0" applyFont="1" applyFill="1" applyBorder="1"/>
    <xf numFmtId="0" fontId="18" fillId="9" borderId="31" xfId="0" applyFont="1" applyFill="1" applyBorder="1"/>
    <xf numFmtId="0" fontId="18" fillId="9" borderId="32" xfId="0" applyFont="1" applyFill="1" applyBorder="1"/>
    <xf numFmtId="0" fontId="68" fillId="9" borderId="28" xfId="0" applyFont="1" applyFill="1" applyBorder="1" applyAlignment="1">
      <alignment vertical="center"/>
    </xf>
    <xf numFmtId="0" fontId="67" fillId="9" borderId="0" xfId="0" applyFont="1" applyFill="1" applyAlignment="1">
      <alignment horizontal="right" vertical="center"/>
    </xf>
    <xf numFmtId="181" fontId="67" fillId="9" borderId="45" xfId="0" applyNumberFormat="1" applyFont="1" applyFill="1" applyBorder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3" fillId="0" borderId="1" xfId="0" applyFont="1" applyBorder="1"/>
    <xf numFmtId="0" fontId="3" fillId="0" borderId="28" xfId="0" applyFont="1" applyBorder="1"/>
    <xf numFmtId="2" fontId="0" fillId="0" borderId="0" xfId="0" applyNumberFormat="1" applyAlignment="1">
      <alignment horizontal="right"/>
    </xf>
    <xf numFmtId="0" fontId="72" fillId="0" borderId="0" xfId="0" applyFont="1"/>
    <xf numFmtId="0" fontId="3" fillId="9" borderId="0" xfId="3" applyFill="1"/>
    <xf numFmtId="49" fontId="3" fillId="9" borderId="0" xfId="3" applyNumberFormat="1" applyFill="1"/>
    <xf numFmtId="0" fontId="12" fillId="9" borderId="0" xfId="3" applyFont="1" applyFill="1" applyAlignment="1">
      <alignment vertical="center"/>
    </xf>
    <xf numFmtId="0" fontId="3" fillId="20" borderId="18" xfId="3" applyFill="1" applyBorder="1" applyAlignment="1">
      <alignment horizontal="center" vertical="center"/>
    </xf>
    <xf numFmtId="0" fontId="3" fillId="9" borderId="18" xfId="3" applyFill="1" applyBorder="1" applyAlignment="1">
      <alignment horizontal="center" vertical="center"/>
    </xf>
    <xf numFmtId="0" fontId="3" fillId="9" borderId="11" xfId="3" applyFill="1" applyBorder="1" applyAlignment="1">
      <alignment vertical="center" wrapText="1"/>
    </xf>
    <xf numFmtId="0" fontId="3" fillId="9" borderId="11" xfId="3" applyFill="1" applyBorder="1" applyAlignment="1">
      <alignment horizontal="left" vertical="center"/>
    </xf>
    <xf numFmtId="0" fontId="3" fillId="9" borderId="0" xfId="3" applyFill="1" applyAlignment="1">
      <alignment vertical="center"/>
    </xf>
    <xf numFmtId="49" fontId="3" fillId="9" borderId="0" xfId="3" applyNumberFormat="1" applyFill="1" applyAlignment="1">
      <alignment vertical="center"/>
    </xf>
    <xf numFmtId="0" fontId="3" fillId="21" borderId="18" xfId="3" applyFill="1" applyBorder="1" applyAlignment="1">
      <alignment horizontal="center" vertical="center"/>
    </xf>
    <xf numFmtId="0" fontId="3" fillId="21" borderId="11" xfId="3" applyFill="1" applyBorder="1" applyAlignment="1">
      <alignment vertical="center" wrapText="1"/>
    </xf>
    <xf numFmtId="186" fontId="3" fillId="21" borderId="11" xfId="3" applyNumberFormat="1" applyFill="1" applyBorder="1" applyAlignment="1">
      <alignment horizontal="center" vertical="center"/>
    </xf>
    <xf numFmtId="0" fontId="3" fillId="21" borderId="11" xfId="3" quotePrefix="1" applyFill="1" applyBorder="1" applyAlignment="1">
      <alignment horizontal="left" vertical="center"/>
    </xf>
    <xf numFmtId="0" fontId="3" fillId="21" borderId="11" xfId="3" applyFill="1" applyBorder="1" applyAlignment="1">
      <alignment horizontal="left" vertical="center"/>
    </xf>
    <xf numFmtId="0" fontId="3" fillId="16" borderId="18" xfId="3" applyFill="1" applyBorder="1" applyAlignment="1">
      <alignment horizontal="center" vertical="center"/>
    </xf>
    <xf numFmtId="0" fontId="3" fillId="16" borderId="11" xfId="3" applyFill="1" applyBorder="1" applyAlignment="1">
      <alignment vertical="center" wrapText="1"/>
    </xf>
    <xf numFmtId="186" fontId="3" fillId="16" borderId="11" xfId="3" applyNumberFormat="1" applyFill="1" applyBorder="1" applyAlignment="1">
      <alignment horizontal="center" vertical="center"/>
    </xf>
    <xf numFmtId="0" fontId="3" fillId="16" borderId="11" xfId="3" quotePrefix="1" applyFill="1" applyBorder="1" applyAlignment="1">
      <alignment horizontal="left" vertical="center"/>
    </xf>
    <xf numFmtId="0" fontId="3" fillId="16" borderId="11" xfId="3" applyFill="1" applyBorder="1" applyAlignment="1">
      <alignment horizontal="left" vertical="center"/>
    </xf>
    <xf numFmtId="188" fontId="3" fillId="9" borderId="11" xfId="3" applyNumberFormat="1" applyFill="1" applyBorder="1" applyAlignment="1">
      <alignment horizontal="center" vertical="center"/>
    </xf>
    <xf numFmtId="0" fontId="3" fillId="9" borderId="15" xfId="3" applyFill="1" applyBorder="1" applyAlignment="1">
      <alignment horizontal="left" vertical="center"/>
    </xf>
    <xf numFmtId="49" fontId="3" fillId="9" borderId="11" xfId="3" applyNumberFormat="1" applyFill="1" applyBorder="1" applyAlignment="1">
      <alignment horizontal="left" vertical="center"/>
    </xf>
    <xf numFmtId="0" fontId="3" fillId="20" borderId="11" xfId="3" applyFill="1" applyBorder="1" applyAlignment="1">
      <alignment vertical="center" wrapText="1"/>
    </xf>
    <xf numFmtId="187" fontId="3" fillId="20" borderId="11" xfId="3" applyNumberFormat="1" applyFill="1" applyBorder="1" applyAlignment="1">
      <alignment horizontal="center" vertical="center"/>
    </xf>
    <xf numFmtId="0" fontId="3" fillId="20" borderId="15" xfId="3" applyFill="1" applyBorder="1" applyAlignment="1">
      <alignment horizontal="left" vertical="center"/>
    </xf>
    <xf numFmtId="0" fontId="3" fillId="20" borderId="11" xfId="3" quotePrefix="1" applyFill="1" applyBorder="1" applyAlignment="1">
      <alignment horizontal="left" vertical="center"/>
    </xf>
    <xf numFmtId="0" fontId="3" fillId="20" borderId="11" xfId="3" applyFill="1" applyBorder="1" applyAlignment="1">
      <alignment horizontal="left" vertical="center"/>
    </xf>
    <xf numFmtId="187" fontId="3" fillId="16" borderId="11" xfId="3" applyNumberFormat="1" applyFill="1" applyBorder="1" applyAlignment="1">
      <alignment horizontal="center" vertical="center"/>
    </xf>
    <xf numFmtId="0" fontId="3" fillId="16" borderId="15" xfId="3" applyFill="1" applyBorder="1" applyAlignment="1">
      <alignment horizontal="left" vertical="center"/>
    </xf>
    <xf numFmtId="188" fontId="3" fillId="16" borderId="11" xfId="3" applyNumberFormat="1" applyFill="1" applyBorder="1" applyAlignment="1">
      <alignment horizontal="center" vertical="center"/>
    </xf>
    <xf numFmtId="188" fontId="3" fillId="20" borderId="11" xfId="3" applyNumberFormat="1" applyFill="1" applyBorder="1" applyAlignment="1">
      <alignment horizontal="center" vertical="center"/>
    </xf>
    <xf numFmtId="185" fontId="3" fillId="20" borderId="11" xfId="3" applyNumberFormat="1" applyFill="1" applyBorder="1" applyAlignment="1">
      <alignment horizontal="center" vertical="center"/>
    </xf>
    <xf numFmtId="0" fontId="3" fillId="16" borderId="11" xfId="3" applyFill="1" applyBorder="1" applyAlignment="1">
      <alignment horizontal="center" vertical="center"/>
    </xf>
    <xf numFmtId="49" fontId="3" fillId="16" borderId="11" xfId="3" applyNumberFormat="1" applyFill="1" applyBorder="1" applyAlignment="1">
      <alignment horizontal="left" vertical="center"/>
    </xf>
    <xf numFmtId="194" fontId="3" fillId="20" borderId="11" xfId="3" applyNumberFormat="1" applyFill="1" applyBorder="1" applyAlignment="1">
      <alignment horizontal="center" vertical="center"/>
    </xf>
    <xf numFmtId="0" fontId="3" fillId="16" borderId="0" xfId="3" applyFill="1"/>
    <xf numFmtId="49" fontId="3" fillId="16" borderId="0" xfId="3" applyNumberFormat="1" applyFill="1"/>
    <xf numFmtId="0" fontId="4" fillId="19" borderId="45" xfId="0" applyFont="1" applyFill="1" applyBorder="1" applyProtection="1">
      <protection locked="0"/>
    </xf>
    <xf numFmtId="0" fontId="4" fillId="19" borderId="0" xfId="0" applyFont="1" applyFill="1" applyAlignment="1" applyProtection="1">
      <alignment horizontal="right"/>
      <protection locked="0"/>
    </xf>
    <xf numFmtId="0" fontId="4" fillId="19" borderId="45" xfId="0" applyFont="1" applyFill="1" applyBorder="1" applyAlignment="1" applyProtection="1">
      <alignment horizontal="right"/>
      <protection locked="0"/>
    </xf>
    <xf numFmtId="0" fontId="74" fillId="16" borderId="0" xfId="0" applyFont="1" applyFill="1"/>
    <xf numFmtId="181" fontId="4" fillId="19" borderId="0" xfId="0" applyNumberFormat="1" applyFont="1" applyFill="1" applyProtection="1">
      <protection locked="0"/>
    </xf>
    <xf numFmtId="0" fontId="4" fillId="9" borderId="0" xfId="3" applyFont="1" applyFill="1"/>
    <xf numFmtId="0" fontId="62" fillId="9" borderId="41" xfId="0" applyFont="1" applyFill="1" applyBorder="1" applyProtection="1">
      <protection locked="0"/>
    </xf>
    <xf numFmtId="1" fontId="0" fillId="4" borderId="0" xfId="0" applyNumberFormat="1" applyFill="1"/>
    <xf numFmtId="0" fontId="3" fillId="9" borderId="0" xfId="0" applyFont="1" applyFill="1" applyAlignment="1">
      <alignment vertical="center"/>
    </xf>
    <xf numFmtId="0" fontId="3" fillId="9" borderId="28" xfId="0" applyFont="1" applyFill="1" applyBorder="1" applyAlignment="1">
      <alignment vertical="center"/>
    </xf>
    <xf numFmtId="0" fontId="3" fillId="9" borderId="0" xfId="0" applyFont="1" applyFill="1" applyAlignment="1">
      <alignment horizontal="right" vertical="center"/>
    </xf>
    <xf numFmtId="181" fontId="3" fillId="9" borderId="0" xfId="0" applyNumberFormat="1" applyFont="1" applyFill="1" applyAlignment="1">
      <alignment vertical="center"/>
    </xf>
    <xf numFmtId="0" fontId="3" fillId="9" borderId="29" xfId="0" applyFont="1" applyFill="1" applyBorder="1" applyAlignment="1">
      <alignment vertical="center"/>
    </xf>
    <xf numFmtId="1" fontId="3" fillId="9" borderId="0" xfId="0" applyNumberFormat="1" applyFont="1" applyFill="1" applyAlignment="1">
      <alignment vertical="center"/>
    </xf>
    <xf numFmtId="0" fontId="3" fillId="9" borderId="30" xfId="0" applyFont="1" applyFill="1" applyBorder="1" applyAlignment="1">
      <alignment vertical="center"/>
    </xf>
    <xf numFmtId="0" fontId="3" fillId="9" borderId="31" xfId="0" applyFont="1" applyFill="1" applyBorder="1" applyAlignment="1">
      <alignment vertical="center"/>
    </xf>
    <xf numFmtId="0" fontId="3" fillId="9" borderId="31" xfId="0" applyFont="1" applyFill="1" applyBorder="1" applyAlignment="1">
      <alignment horizontal="right" vertical="center"/>
    </xf>
    <xf numFmtId="1" fontId="3" fillId="9" borderId="31" xfId="0" applyNumberFormat="1" applyFont="1" applyFill="1" applyBorder="1" applyAlignment="1">
      <alignment vertical="center"/>
    </xf>
    <xf numFmtId="0" fontId="3" fillId="9" borderId="32" xfId="0" applyFont="1" applyFill="1" applyBorder="1" applyAlignment="1">
      <alignment vertical="center"/>
    </xf>
    <xf numFmtId="0" fontId="3" fillId="9" borderId="43" xfId="0" applyFont="1" applyFill="1" applyBorder="1" applyAlignment="1">
      <alignment vertical="center"/>
    </xf>
    <xf numFmtId="0" fontId="3" fillId="9" borderId="2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right" vertical="center"/>
    </xf>
    <xf numFmtId="0" fontId="65" fillId="9" borderId="2" xfId="0" applyFont="1" applyFill="1" applyBorder="1" applyAlignment="1">
      <alignment horizontal="right" vertical="center"/>
    </xf>
    <xf numFmtId="0" fontId="4" fillId="19" borderId="2" xfId="0" applyFont="1" applyFill="1" applyBorder="1" applyAlignment="1" applyProtection="1">
      <alignment vertical="center"/>
      <protection locked="0"/>
    </xf>
    <xf numFmtId="0" fontId="4" fillId="9" borderId="3" xfId="0" applyFont="1" applyFill="1" applyBorder="1" applyAlignment="1">
      <alignment vertical="center"/>
    </xf>
    <xf numFmtId="0" fontId="65" fillId="9" borderId="0" xfId="0" applyFont="1" applyFill="1" applyAlignment="1">
      <alignment horizontal="right" vertical="center"/>
    </xf>
    <xf numFmtId="0" fontId="4" fillId="19" borderId="0" xfId="0" applyFont="1" applyFill="1" applyAlignment="1" applyProtection="1">
      <alignment vertical="center"/>
      <protection locked="0"/>
    </xf>
    <xf numFmtId="0" fontId="4" fillId="9" borderId="29" xfId="0" applyFont="1" applyFill="1" applyBorder="1" applyAlignment="1">
      <alignment vertical="center"/>
    </xf>
    <xf numFmtId="1" fontId="4" fillId="19" borderId="0" xfId="0" applyNumberFormat="1" applyFont="1" applyFill="1" applyAlignment="1" applyProtection="1">
      <alignment vertical="center"/>
      <protection locked="0"/>
    </xf>
    <xf numFmtId="0" fontId="65" fillId="16" borderId="2" xfId="0" applyFont="1" applyFill="1" applyBorder="1" applyAlignment="1">
      <alignment horizontal="right" vertical="center"/>
    </xf>
    <xf numFmtId="1" fontId="3" fillId="9" borderId="0" xfId="0" applyNumberFormat="1" applyFont="1" applyFill="1" applyAlignment="1">
      <alignment horizontal="right" vertical="center"/>
    </xf>
    <xf numFmtId="0" fontId="65" fillId="16" borderId="0" xfId="0" applyFont="1" applyFill="1" applyAlignment="1">
      <alignment horizontal="right" vertical="center"/>
    </xf>
    <xf numFmtId="0" fontId="4" fillId="9" borderId="0" xfId="0" applyFont="1" applyFill="1" applyAlignment="1">
      <alignment vertical="center"/>
    </xf>
    <xf numFmtId="0" fontId="4" fillId="9" borderId="0" xfId="0" applyFont="1" applyFill="1" applyAlignment="1">
      <alignment horizontal="right" vertical="center"/>
    </xf>
    <xf numFmtId="0" fontId="4" fillId="19" borderId="0" xfId="0" applyFont="1" applyFill="1" applyAlignment="1" applyProtection="1">
      <alignment horizontal="right" vertical="center"/>
      <protection locked="0"/>
    </xf>
    <xf numFmtId="0" fontId="3" fillId="9" borderId="45" xfId="0" applyFont="1" applyFill="1" applyBorder="1" applyAlignment="1">
      <alignment horizontal="right" vertical="center"/>
    </xf>
    <xf numFmtId="2" fontId="3" fillId="9" borderId="0" xfId="0" applyNumberFormat="1" applyFont="1" applyFill="1" applyAlignment="1">
      <alignment horizontal="right" vertical="center"/>
    </xf>
    <xf numFmtId="0" fontId="3" fillId="9" borderId="44" xfId="0" applyFont="1" applyFill="1" applyBorder="1" applyAlignment="1">
      <alignment vertical="center"/>
    </xf>
    <xf numFmtId="0" fontId="3" fillId="9" borderId="45" xfId="0" applyFont="1" applyFill="1" applyBorder="1" applyAlignment="1">
      <alignment vertical="center"/>
    </xf>
    <xf numFmtId="0" fontId="3" fillId="9" borderId="46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1" fontId="65" fillId="19" borderId="0" xfId="0" applyNumberFormat="1" applyFont="1" applyFill="1" applyAlignment="1" applyProtection="1">
      <alignment horizontal="right" vertical="center"/>
      <protection locked="0"/>
    </xf>
    <xf numFmtId="0" fontId="4" fillId="9" borderId="29" xfId="0" applyFont="1" applyFill="1" applyBorder="1" applyAlignment="1">
      <alignment horizontal="left" vertical="center"/>
    </xf>
    <xf numFmtId="0" fontId="65" fillId="19" borderId="0" xfId="0" applyFont="1" applyFill="1" applyAlignment="1" applyProtection="1">
      <alignment vertical="center"/>
      <protection locked="0"/>
    </xf>
    <xf numFmtId="2" fontId="8" fillId="12" borderId="2" xfId="0" applyNumberFormat="1" applyFont="1" applyFill="1" applyBorder="1"/>
    <xf numFmtId="2" fontId="8" fillId="12" borderId="0" xfId="0" applyNumberFormat="1" applyFont="1" applyFill="1"/>
    <xf numFmtId="11" fontId="8" fillId="12" borderId="0" xfId="0" applyNumberFormat="1" applyFont="1" applyFill="1"/>
    <xf numFmtId="182" fontId="8" fillId="12" borderId="0" xfId="0" applyNumberFormat="1" applyFont="1" applyFill="1"/>
    <xf numFmtId="0" fontId="0" fillId="0" borderId="41" xfId="0" applyBorder="1"/>
    <xf numFmtId="0" fontId="0" fillId="22" borderId="0" xfId="0" applyFill="1"/>
    <xf numFmtId="0" fontId="3" fillId="0" borderId="0" xfId="0" applyFont="1" applyAlignment="1">
      <alignment horizontal="right"/>
    </xf>
    <xf numFmtId="0" fontId="4" fillId="0" borderId="41" xfId="0" applyFont="1" applyBorder="1" applyAlignment="1">
      <alignment horizontal="right"/>
    </xf>
    <xf numFmtId="0" fontId="4" fillId="0" borderId="3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41" xfId="0" applyFont="1" applyBorder="1"/>
    <xf numFmtId="0" fontId="4" fillId="0" borderId="31" xfId="0" applyFont="1" applyBorder="1"/>
    <xf numFmtId="0" fontId="4" fillId="0" borderId="0" xfId="0" applyFont="1" applyAlignment="1">
      <alignment horizontal="left"/>
    </xf>
    <xf numFmtId="180" fontId="8" fillId="12" borderId="0" xfId="0" applyNumberFormat="1" applyFont="1" applyFill="1"/>
    <xf numFmtId="180" fontId="9" fillId="12" borderId="0" xfId="0" applyNumberFormat="1" applyFont="1" applyFill="1"/>
    <xf numFmtId="180" fontId="4" fillId="22" borderId="2" xfId="0" applyNumberFormat="1" applyFont="1" applyFill="1" applyBorder="1"/>
    <xf numFmtId="0" fontId="4" fillId="19" borderId="2" xfId="0" applyFont="1" applyFill="1" applyBorder="1" applyProtection="1">
      <protection locked="0"/>
    </xf>
    <xf numFmtId="0" fontId="64" fillId="16" borderId="0" xfId="0" applyFont="1" applyFill="1" applyAlignment="1">
      <alignment horizontal="center"/>
    </xf>
    <xf numFmtId="181" fontId="3" fillId="9" borderId="0" xfId="0" applyNumberFormat="1" applyFont="1" applyFill="1"/>
    <xf numFmtId="2" fontId="0" fillId="13" borderId="0" xfId="0" applyNumberFormat="1" applyFill="1"/>
    <xf numFmtId="2" fontId="0" fillId="22" borderId="0" xfId="0" applyNumberFormat="1" applyFill="1"/>
    <xf numFmtId="1" fontId="0" fillId="12" borderId="0" xfId="0" applyNumberFormat="1" applyFill="1"/>
    <xf numFmtId="179" fontId="0" fillId="22" borderId="0" xfId="0" applyNumberFormat="1" applyFill="1"/>
    <xf numFmtId="179" fontId="0" fillId="12" borderId="0" xfId="0" applyNumberFormat="1" applyFill="1"/>
    <xf numFmtId="3" fontId="0" fillId="12" borderId="0" xfId="0" applyNumberFormat="1" applyFill="1"/>
    <xf numFmtId="1" fontId="0" fillId="22" borderId="0" xfId="0" applyNumberFormat="1" applyFill="1"/>
    <xf numFmtId="1" fontId="0" fillId="0" borderId="0" xfId="0" applyNumberFormat="1"/>
    <xf numFmtId="1" fontId="0" fillId="24" borderId="0" xfId="0" applyNumberFormat="1" applyFill="1"/>
    <xf numFmtId="179" fontId="0" fillId="0" borderId="0" xfId="0" applyNumberFormat="1"/>
    <xf numFmtId="0" fontId="0" fillId="23" borderId="0" xfId="0" applyFill="1"/>
    <xf numFmtId="181" fontId="0" fillId="22" borderId="0" xfId="0" applyNumberFormat="1" applyFill="1"/>
    <xf numFmtId="0" fontId="3" fillId="0" borderId="41" xfId="0" applyFont="1" applyBorder="1"/>
    <xf numFmtId="181" fontId="0" fillId="12" borderId="2" xfId="0" applyNumberFormat="1" applyFill="1" applyBorder="1"/>
    <xf numFmtId="0" fontId="3" fillId="0" borderId="30" xfId="0" applyFont="1" applyBorder="1"/>
    <xf numFmtId="0" fontId="8" fillId="0" borderId="31" xfId="0" applyFont="1" applyBorder="1"/>
    <xf numFmtId="0" fontId="4" fillId="0" borderId="54" xfId="0" applyFont="1" applyBorder="1"/>
    <xf numFmtId="0" fontId="0" fillId="24" borderId="0" xfId="0" applyFill="1"/>
    <xf numFmtId="0" fontId="16" fillId="0" borderId="34" xfId="0" applyFont="1" applyBorder="1"/>
    <xf numFmtId="0" fontId="3" fillId="0" borderId="0" xfId="3"/>
    <xf numFmtId="0" fontId="3" fillId="0" borderId="18" xfId="3" applyBorder="1" applyAlignment="1">
      <alignment horizontal="left"/>
    </xf>
    <xf numFmtId="0" fontId="3" fillId="0" borderId="11" xfId="3" applyBorder="1"/>
    <xf numFmtId="0" fontId="3" fillId="0" borderId="58" xfId="3" applyBorder="1"/>
    <xf numFmtId="0" fontId="3" fillId="0" borderId="18" xfId="3" applyBorder="1"/>
    <xf numFmtId="1" fontId="3" fillId="0" borderId="11" xfId="3" applyNumberFormat="1" applyBorder="1"/>
    <xf numFmtId="0" fontId="3" fillId="0" borderId="15" xfId="3" applyBorder="1"/>
    <xf numFmtId="0" fontId="3" fillId="8" borderId="18" xfId="3" applyFill="1" applyBorder="1"/>
    <xf numFmtId="0" fontId="3" fillId="8" borderId="11" xfId="3" applyFill="1" applyBorder="1"/>
    <xf numFmtId="0" fontId="3" fillId="8" borderId="58" xfId="3" applyFill="1" applyBorder="1"/>
    <xf numFmtId="181" fontId="3" fillId="0" borderId="11" xfId="3" applyNumberFormat="1" applyBorder="1"/>
    <xf numFmtId="0" fontId="8" fillId="0" borderId="5" xfId="3" applyFont="1" applyBorder="1" applyAlignment="1">
      <alignment horizontal="center"/>
    </xf>
    <xf numFmtId="0" fontId="8" fillId="0" borderId="6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8" fillId="0" borderId="18" xfId="3" applyFont="1" applyBorder="1"/>
    <xf numFmtId="0" fontId="8" fillId="0" borderId="58" xfId="3" applyFont="1" applyBorder="1"/>
    <xf numFmtId="0" fontId="3" fillId="0" borderId="66" xfId="3" applyBorder="1" applyAlignment="1">
      <alignment horizontal="center"/>
    </xf>
    <xf numFmtId="179" fontId="3" fillId="0" borderId="67" xfId="3" applyNumberFormat="1" applyBorder="1" applyAlignment="1">
      <alignment horizontal="center"/>
    </xf>
    <xf numFmtId="179" fontId="3" fillId="0" borderId="12" xfId="3" applyNumberFormat="1" applyBorder="1" applyAlignment="1">
      <alignment horizontal="center"/>
    </xf>
    <xf numFmtId="179" fontId="3" fillId="0" borderId="68" xfId="3" applyNumberFormat="1" applyBorder="1" applyAlignment="1">
      <alignment horizontal="center"/>
    </xf>
    <xf numFmtId="179" fontId="3" fillId="0" borderId="69" xfId="3" applyNumberFormat="1" applyBorder="1" applyAlignment="1">
      <alignment horizontal="center"/>
    </xf>
    <xf numFmtId="177" fontId="3" fillId="0" borderId="67" xfId="3" applyNumberFormat="1" applyBorder="1" applyAlignment="1">
      <alignment horizontal="center"/>
    </xf>
    <xf numFmtId="177" fontId="3" fillId="0" borderId="68" xfId="3" applyNumberFormat="1" applyBorder="1" applyAlignment="1">
      <alignment horizontal="center"/>
    </xf>
    <xf numFmtId="2" fontId="3" fillId="0" borderId="67" xfId="3" applyNumberFormat="1" applyBorder="1" applyAlignment="1">
      <alignment horizontal="center"/>
    </xf>
    <xf numFmtId="2" fontId="3" fillId="0" borderId="12" xfId="3" applyNumberFormat="1" applyBorder="1" applyAlignment="1">
      <alignment horizontal="center"/>
    </xf>
    <xf numFmtId="2" fontId="3" fillId="0" borderId="18" xfId="3" applyNumberFormat="1" applyBorder="1" applyAlignment="1">
      <alignment horizontal="center"/>
    </xf>
    <xf numFmtId="2" fontId="3" fillId="0" borderId="58" xfId="3" applyNumberFormat="1" applyBorder="1" applyAlignment="1">
      <alignment horizontal="center"/>
    </xf>
    <xf numFmtId="0" fontId="3" fillId="0" borderId="63" xfId="3" applyBorder="1" applyAlignment="1">
      <alignment horizontal="center"/>
    </xf>
    <xf numFmtId="179" fontId="3" fillId="0" borderId="11" xfId="3" applyNumberFormat="1" applyBorder="1" applyAlignment="1">
      <alignment horizontal="center"/>
    </xf>
    <xf numFmtId="179" fontId="3" fillId="0" borderId="58" xfId="3" applyNumberFormat="1" applyBorder="1" applyAlignment="1">
      <alignment horizontal="center"/>
    </xf>
    <xf numFmtId="0" fontId="3" fillId="0" borderId="0" xfId="3" applyAlignment="1">
      <alignment horizontal="center"/>
    </xf>
    <xf numFmtId="179" fontId="3" fillId="0" borderId="0" xfId="3" applyNumberFormat="1" applyAlignment="1">
      <alignment horizontal="center"/>
    </xf>
    <xf numFmtId="177" fontId="3" fillId="0" borderId="0" xfId="3" applyNumberFormat="1" applyAlignment="1">
      <alignment horizontal="center"/>
    </xf>
    <xf numFmtId="2" fontId="3" fillId="0" borderId="0" xfId="3" applyNumberFormat="1" applyAlignment="1">
      <alignment horizontal="center"/>
    </xf>
    <xf numFmtId="0" fontId="3" fillId="0" borderId="0" xfId="3" applyAlignment="1">
      <alignment horizontal="right"/>
    </xf>
    <xf numFmtId="179" fontId="3" fillId="0" borderId="18" xfId="3" applyNumberFormat="1" applyBorder="1" applyAlignment="1">
      <alignment horizontal="center"/>
    </xf>
    <xf numFmtId="179" fontId="3" fillId="0" borderId="8" xfId="3" applyNumberFormat="1" applyBorder="1" applyAlignment="1">
      <alignment horizontal="center"/>
    </xf>
    <xf numFmtId="2" fontId="3" fillId="0" borderId="5" xfId="3" applyNumberFormat="1" applyBorder="1" applyAlignment="1">
      <alignment horizontal="center"/>
    </xf>
    <xf numFmtId="2" fontId="3" fillId="0" borderId="7" xfId="3" applyNumberFormat="1" applyBorder="1" applyAlignment="1">
      <alignment horizontal="center"/>
    </xf>
    <xf numFmtId="2" fontId="3" fillId="0" borderId="0" xfId="3" applyNumberFormat="1"/>
    <xf numFmtId="180" fontId="0" fillId="0" borderId="0" xfId="0" applyNumberFormat="1"/>
    <xf numFmtId="1" fontId="8" fillId="12" borderId="0" xfId="0" applyNumberFormat="1" applyFont="1" applyFill="1"/>
    <xf numFmtId="0" fontId="62" fillId="0" borderId="0" xfId="0" applyFont="1"/>
    <xf numFmtId="0" fontId="3" fillId="4" borderId="70" xfId="3" applyFill="1" applyBorder="1" applyAlignment="1">
      <alignment vertical="center"/>
    </xf>
    <xf numFmtId="0" fontId="3" fillId="0" borderId="71" xfId="3" applyBorder="1" applyAlignment="1">
      <alignment horizontal="center"/>
    </xf>
    <xf numFmtId="2" fontId="3" fillId="0" borderId="11" xfId="3" applyNumberFormat="1" applyBorder="1"/>
    <xf numFmtId="2" fontId="3" fillId="0" borderId="58" xfId="3" applyNumberFormat="1" applyBorder="1"/>
    <xf numFmtId="2" fontId="8" fillId="0" borderId="7" xfId="3" applyNumberFormat="1" applyFont="1" applyBorder="1" applyAlignment="1">
      <alignment horizontal="center"/>
    </xf>
    <xf numFmtId="2" fontId="3" fillId="0" borderId="68" xfId="3" applyNumberFormat="1" applyBorder="1"/>
    <xf numFmtId="1" fontId="3" fillId="9" borderId="2" xfId="0" applyNumberFormat="1" applyFont="1" applyFill="1" applyBorder="1" applyAlignment="1">
      <alignment vertical="center"/>
    </xf>
    <xf numFmtId="0" fontId="4" fillId="9" borderId="44" xfId="0" applyFont="1" applyFill="1" applyBorder="1" applyAlignment="1">
      <alignment horizontal="center"/>
    </xf>
    <xf numFmtId="11" fontId="3" fillId="0" borderId="0" xfId="0" applyNumberFormat="1" applyFont="1"/>
    <xf numFmtId="1" fontId="3" fillId="0" borderId="0" xfId="0" applyNumberFormat="1" applyFont="1"/>
    <xf numFmtId="1" fontId="3" fillId="12" borderId="0" xfId="0" applyNumberFormat="1" applyFont="1" applyFill="1"/>
    <xf numFmtId="0" fontId="3" fillId="23" borderId="0" xfId="0" applyFont="1" applyFill="1"/>
    <xf numFmtId="0" fontId="3" fillId="0" borderId="75" xfId="0" applyFont="1" applyBorder="1"/>
    <xf numFmtId="180" fontId="3" fillId="0" borderId="77" xfId="0" applyNumberFormat="1" applyFont="1" applyBorder="1"/>
    <xf numFmtId="11" fontId="8" fillId="0" borderId="77" xfId="0" applyNumberFormat="1" applyFont="1" applyBorder="1"/>
    <xf numFmtId="0" fontId="72" fillId="0" borderId="77" xfId="0" applyFont="1" applyBorder="1"/>
    <xf numFmtId="1" fontId="62" fillId="0" borderId="0" xfId="0" applyNumberFormat="1" applyFont="1"/>
    <xf numFmtId="0" fontId="81" fillId="0" borderId="0" xfId="0" applyFont="1"/>
    <xf numFmtId="1" fontId="64" fillId="0" borderId="0" xfId="0" applyNumberFormat="1" applyFont="1"/>
    <xf numFmtId="0" fontId="64" fillId="0" borderId="0" xfId="0" applyFont="1"/>
    <xf numFmtId="2" fontId="64" fillId="0" borderId="0" xfId="0" applyNumberFormat="1" applyFont="1"/>
    <xf numFmtId="180" fontId="62" fillId="0" borderId="0" xfId="0" applyNumberFormat="1" applyFont="1"/>
    <xf numFmtId="0" fontId="4" fillId="0" borderId="30" xfId="0" applyFont="1" applyBorder="1"/>
    <xf numFmtId="178" fontId="4" fillId="0" borderId="0" xfId="0" applyNumberFormat="1" applyFont="1"/>
    <xf numFmtId="11" fontId="4" fillId="0" borderId="0" xfId="0" applyNumberFormat="1" applyFont="1"/>
    <xf numFmtId="0" fontId="0" fillId="0" borderId="45" xfId="0" applyBorder="1"/>
    <xf numFmtId="1" fontId="3" fillId="22" borderId="0" xfId="0" applyNumberFormat="1" applyFont="1" applyFill="1"/>
    <xf numFmtId="1" fontId="65" fillId="0" borderId="0" xfId="0" applyNumberFormat="1" applyFont="1"/>
    <xf numFmtId="0" fontId="65" fillId="0" borderId="0" xfId="0" applyFont="1"/>
    <xf numFmtId="0" fontId="72" fillId="0" borderId="58" xfId="3" applyFont="1" applyBorder="1"/>
    <xf numFmtId="180" fontId="0" fillId="12" borderId="0" xfId="0" applyNumberFormat="1" applyFill="1"/>
    <xf numFmtId="198" fontId="3" fillId="0" borderId="0" xfId="0" applyNumberFormat="1" applyFont="1"/>
    <xf numFmtId="179" fontId="8" fillId="12" borderId="0" xfId="0" applyNumberFormat="1" applyFont="1" applyFill="1"/>
    <xf numFmtId="198" fontId="0" fillId="23" borderId="0" xfId="0" applyNumberFormat="1" applyFill="1"/>
    <xf numFmtId="11" fontId="0" fillId="22" borderId="0" xfId="0" applyNumberFormat="1" applyFill="1" applyAlignment="1">
      <alignment horizontal="right"/>
    </xf>
    <xf numFmtId="0" fontId="0" fillId="24" borderId="0" xfId="0" applyFill="1" applyAlignment="1">
      <alignment horizontal="right"/>
    </xf>
    <xf numFmtId="180" fontId="31" fillId="22" borderId="0" xfId="0" applyNumberFormat="1" applyFont="1" applyFill="1"/>
    <xf numFmtId="179" fontId="31" fillId="22" borderId="34" xfId="0" applyNumberFormat="1" applyFont="1" applyFill="1" applyBorder="1"/>
    <xf numFmtId="0" fontId="0" fillId="23" borderId="0" xfId="0" applyFill="1" applyAlignment="1">
      <alignment horizontal="right"/>
    </xf>
    <xf numFmtId="2" fontId="0" fillId="22" borderId="0" xfId="0" applyNumberFormat="1" applyFill="1" applyAlignment="1">
      <alignment horizontal="right"/>
    </xf>
    <xf numFmtId="0" fontId="81" fillId="0" borderId="28" xfId="0" applyFont="1" applyBorder="1"/>
    <xf numFmtId="180" fontId="3" fillId="0" borderId="0" xfId="0" applyNumberFormat="1" applyFont="1"/>
    <xf numFmtId="0" fontId="3" fillId="0" borderId="24" xfId="3" applyBorder="1" applyAlignment="1">
      <alignment horizontal="left"/>
    </xf>
    <xf numFmtId="0" fontId="3" fillId="0" borderId="45" xfId="3" applyBorder="1"/>
    <xf numFmtId="0" fontId="3" fillId="0" borderId="46" xfId="3" applyBorder="1"/>
    <xf numFmtId="180" fontId="3" fillId="0" borderId="45" xfId="3" applyNumberFormat="1" applyBorder="1"/>
    <xf numFmtId="0" fontId="3" fillId="8" borderId="15" xfId="3" applyFill="1" applyBorder="1"/>
    <xf numFmtId="0" fontId="4" fillId="0" borderId="55" xfId="3" applyFont="1" applyBorder="1" applyAlignment="1">
      <alignment horizontal="center"/>
    </xf>
    <xf numFmtId="11" fontId="3" fillId="0" borderId="11" xfId="3" applyNumberFormat="1" applyBorder="1"/>
    <xf numFmtId="1" fontId="3" fillId="0" borderId="45" xfId="3" applyNumberFormat="1" applyBorder="1"/>
    <xf numFmtId="180" fontId="3" fillId="0" borderId="11" xfId="3" applyNumberFormat="1" applyBorder="1"/>
    <xf numFmtId="0" fontId="3" fillId="0" borderId="0" xfId="3" applyAlignment="1">
      <alignment horizontal="left"/>
    </xf>
    <xf numFmtId="1" fontId="3" fillId="0" borderId="0" xfId="3" applyNumberFormat="1"/>
    <xf numFmtId="180" fontId="3" fillId="0" borderId="0" xfId="3" applyNumberFormat="1"/>
    <xf numFmtId="198" fontId="3" fillId="23" borderId="0" xfId="0" applyNumberFormat="1" applyFont="1" applyFill="1" applyAlignment="1">
      <alignment horizontal="right" vertical="center"/>
    </xf>
    <xf numFmtId="199" fontId="9" fillId="12" borderId="0" xfId="0" applyNumberFormat="1" applyFont="1" applyFill="1"/>
    <xf numFmtId="2" fontId="3" fillId="0" borderId="0" xfId="0" applyNumberFormat="1" applyFont="1"/>
    <xf numFmtId="180" fontId="4" fillId="0" borderId="0" xfId="0" applyNumberFormat="1" applyFont="1" applyAlignment="1">
      <alignment horizontal="right"/>
    </xf>
    <xf numFmtId="1" fontId="3" fillId="24" borderId="0" xfId="0" applyNumberFormat="1" applyFont="1" applyFill="1"/>
    <xf numFmtId="0" fontId="3" fillId="24" borderId="0" xfId="0" applyFont="1" applyFill="1"/>
    <xf numFmtId="179" fontId="3" fillId="22" borderId="31" xfId="0" applyNumberFormat="1" applyFont="1" applyFill="1" applyBorder="1"/>
    <xf numFmtId="181" fontId="64" fillId="9" borderId="2" xfId="1" applyNumberFormat="1" applyFont="1" applyFill="1" applyBorder="1" applyAlignment="1" applyProtection="1">
      <alignment horizontal="right"/>
    </xf>
    <xf numFmtId="0" fontId="3" fillId="0" borderId="8" xfId="3" applyBorder="1"/>
    <xf numFmtId="181" fontId="3" fillId="0" borderId="8" xfId="3" applyNumberFormat="1" applyBorder="1"/>
    <xf numFmtId="0" fontId="4" fillId="0" borderId="57" xfId="3" applyFont="1" applyBorder="1" applyAlignment="1">
      <alignment horizontal="center"/>
    </xf>
    <xf numFmtId="0" fontId="3" fillId="8" borderId="64" xfId="3" applyFill="1" applyBorder="1"/>
    <xf numFmtId="180" fontId="3" fillId="0" borderId="44" xfId="3" applyNumberFormat="1" applyBorder="1"/>
    <xf numFmtId="177" fontId="3" fillId="0" borderId="58" xfId="3" applyNumberFormat="1" applyBorder="1" applyAlignment="1">
      <alignment horizontal="center"/>
    </xf>
    <xf numFmtId="180" fontId="65" fillId="0" borderId="0" xfId="0" applyNumberFormat="1" applyFont="1"/>
    <xf numFmtId="1" fontId="4" fillId="0" borderId="0" xfId="0" applyNumberFormat="1" applyFont="1"/>
    <xf numFmtId="200" fontId="4" fillId="12" borderId="0" xfId="0" applyNumberFormat="1" applyFont="1" applyFill="1"/>
    <xf numFmtId="200" fontId="3" fillId="4" borderId="0" xfId="0" applyNumberFormat="1" applyFont="1" applyFill="1"/>
    <xf numFmtId="200" fontId="31" fillId="4" borderId="0" xfId="0" applyNumberFormat="1" applyFont="1" applyFill="1"/>
    <xf numFmtId="200" fontId="0" fillId="12" borderId="0" xfId="0" applyNumberFormat="1" applyFill="1"/>
    <xf numFmtId="200" fontId="0" fillId="4" borderId="31" xfId="0" applyNumberFormat="1" applyFill="1" applyBorder="1"/>
    <xf numFmtId="0" fontId="3" fillId="0" borderId="8" xfId="3" applyBorder="1" applyAlignment="1">
      <alignment horizontal="left"/>
    </xf>
    <xf numFmtId="2" fontId="3" fillId="0" borderId="59" xfId="3" applyNumberFormat="1" applyBorder="1" applyAlignment="1">
      <alignment horizontal="center"/>
    </xf>
    <xf numFmtId="1" fontId="3" fillId="0" borderId="0" xfId="3" applyNumberFormat="1" applyAlignment="1">
      <alignment horizontal="right"/>
    </xf>
    <xf numFmtId="180" fontId="3" fillId="8" borderId="11" xfId="3" applyNumberFormat="1" applyFill="1" applyBorder="1"/>
    <xf numFmtId="0" fontId="3" fillId="9" borderId="76" xfId="0" applyFont="1" applyFill="1" applyBorder="1" applyAlignment="1">
      <alignment horizontal="left"/>
    </xf>
    <xf numFmtId="181" fontId="3" fillId="9" borderId="28" xfId="0" applyNumberFormat="1" applyFont="1" applyFill="1" applyBorder="1" applyAlignment="1">
      <alignment horizontal="right"/>
    </xf>
    <xf numFmtId="0" fontId="3" fillId="9" borderId="29" xfId="0" applyFont="1" applyFill="1" applyBorder="1" applyAlignment="1">
      <alignment horizontal="left"/>
    </xf>
    <xf numFmtId="0" fontId="3" fillId="9" borderId="46" xfId="0" applyFont="1" applyFill="1" applyBorder="1" applyAlignment="1">
      <alignment horizontal="left"/>
    </xf>
    <xf numFmtId="200" fontId="3" fillId="23" borderId="0" xfId="0" applyNumberFormat="1" applyFont="1" applyFill="1"/>
    <xf numFmtId="179" fontId="64" fillId="0" borderId="0" xfId="0" applyNumberFormat="1" applyFont="1"/>
    <xf numFmtId="181" fontId="3" fillId="22" borderId="0" xfId="0" applyNumberFormat="1" applyFont="1" applyFill="1"/>
    <xf numFmtId="1" fontId="4" fillId="22" borderId="0" xfId="0" applyNumberFormat="1" applyFont="1" applyFill="1"/>
    <xf numFmtId="1" fontId="3" fillId="9" borderId="44" xfId="0" applyNumberFormat="1" applyFont="1" applyFill="1" applyBorder="1" applyAlignment="1">
      <alignment horizontal="right"/>
    </xf>
    <xf numFmtId="0" fontId="3" fillId="16" borderId="0" xfId="3" applyFill="1" applyAlignment="1">
      <alignment vertical="center"/>
    </xf>
    <xf numFmtId="49" fontId="3" fillId="16" borderId="0" xfId="3" applyNumberFormat="1" applyFill="1" applyAlignment="1">
      <alignment vertical="center"/>
    </xf>
    <xf numFmtId="202" fontId="3" fillId="21" borderId="11" xfId="3" applyNumberFormat="1" applyFill="1" applyBorder="1" applyAlignment="1">
      <alignment horizontal="center" vertical="center"/>
    </xf>
    <xf numFmtId="185" fontId="3" fillId="21" borderId="11" xfId="3" applyNumberFormat="1" applyFill="1" applyBorder="1" applyAlignment="1">
      <alignment horizontal="center" vertical="center"/>
    </xf>
    <xf numFmtId="0" fontId="3" fillId="21" borderId="15" xfId="3" applyFill="1" applyBorder="1" applyAlignment="1">
      <alignment horizontal="left" vertical="center"/>
    </xf>
    <xf numFmtId="0" fontId="3" fillId="0" borderId="11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72" fillId="0" borderId="11" xfId="0" applyFont="1" applyBorder="1"/>
    <xf numFmtId="0" fontId="3" fillId="0" borderId="13" xfId="0" applyFont="1" applyBorder="1"/>
    <xf numFmtId="0" fontId="3" fillId="4" borderId="11" xfId="0" applyFont="1" applyFill="1" applyBorder="1"/>
    <xf numFmtId="2" fontId="0" fillId="2" borderId="0" xfId="0" applyNumberFormat="1" applyFill="1"/>
    <xf numFmtId="0" fontId="3" fillId="6" borderId="11" xfId="0" applyFont="1" applyFill="1" applyBorder="1"/>
    <xf numFmtId="179" fontId="16" fillId="7" borderId="0" xfId="0" applyNumberFormat="1" applyFont="1" applyFill="1"/>
    <xf numFmtId="2" fontId="16" fillId="7" borderId="0" xfId="0" applyNumberFormat="1" applyFont="1" applyFill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182" fontId="4" fillId="2" borderId="6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2" fontId="4" fillId="14" borderId="6" xfId="0" applyNumberFormat="1" applyFont="1" applyFill="1" applyBorder="1" applyAlignment="1">
      <alignment horizontal="center" vertical="center" wrapText="1"/>
    </xf>
    <xf numFmtId="180" fontId="4" fillId="2" borderId="6" xfId="0" applyNumberFormat="1" applyFont="1" applyFill="1" applyBorder="1" applyAlignment="1">
      <alignment horizontal="center" vertical="center" wrapText="1"/>
    </xf>
    <xf numFmtId="179" fontId="4" fillId="2" borderId="5" xfId="0" applyNumberFormat="1" applyFont="1" applyFill="1" applyBorder="1" applyAlignment="1">
      <alignment horizontal="center" vertical="center" wrapText="1"/>
    </xf>
    <xf numFmtId="179" fontId="4" fillId="2" borderId="6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79" fontId="4" fillId="4" borderId="80" xfId="0" applyNumberFormat="1" applyFont="1" applyFill="1" applyBorder="1" applyAlignment="1">
      <alignment horizontal="center"/>
    </xf>
    <xf numFmtId="179" fontId="4" fillId="4" borderId="2" xfId="0" applyNumberFormat="1" applyFont="1" applyFill="1" applyBorder="1" applyAlignment="1">
      <alignment horizontal="center"/>
    </xf>
    <xf numFmtId="179" fontId="4" fillId="7" borderId="23" xfId="0" applyNumberFormat="1" applyFont="1" applyFill="1" applyBorder="1" applyAlignment="1">
      <alignment horizontal="center" vertical="center" wrapText="1"/>
    </xf>
    <xf numFmtId="0" fontId="62" fillId="19" borderId="23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0" fontId="4" fillId="9" borderId="77" xfId="0" applyFont="1" applyFill="1" applyBorder="1"/>
    <xf numFmtId="0" fontId="3" fillId="9" borderId="77" xfId="0" applyFont="1" applyFill="1" applyBorder="1"/>
    <xf numFmtId="0" fontId="3" fillId="9" borderId="76" xfId="0" applyFont="1" applyFill="1" applyBorder="1"/>
    <xf numFmtId="0" fontId="80" fillId="9" borderId="28" xfId="0" applyFont="1" applyFill="1" applyBorder="1"/>
    <xf numFmtId="0" fontId="16" fillId="0" borderId="39" xfId="0" applyFont="1" applyBorder="1"/>
    <xf numFmtId="2" fontId="16" fillId="4" borderId="0" xfId="0" applyNumberFormat="1" applyFont="1" applyFill="1" applyAlignment="1">
      <alignment horizontal="right"/>
    </xf>
    <xf numFmtId="2" fontId="31" fillId="22" borderId="0" xfId="0" applyNumberFormat="1" applyFont="1" applyFill="1" applyAlignment="1">
      <alignment horizontal="right"/>
    </xf>
    <xf numFmtId="179" fontId="4" fillId="12" borderId="0" xfId="0" applyNumberFormat="1" applyFont="1" applyFill="1"/>
    <xf numFmtId="180" fontId="9" fillId="0" borderId="0" xfId="0" applyNumberFormat="1" applyFont="1"/>
    <xf numFmtId="180" fontId="0" fillId="13" borderId="0" xfId="0" applyNumberFormat="1" applyFill="1"/>
    <xf numFmtId="0" fontId="83" fillId="0" borderId="0" xfId="0" applyFont="1"/>
    <xf numFmtId="2" fontId="4" fillId="0" borderId="0" xfId="0" applyNumberFormat="1" applyFont="1"/>
    <xf numFmtId="0" fontId="18" fillId="16" borderId="28" xfId="0" applyFont="1" applyFill="1" applyBorder="1"/>
    <xf numFmtId="0" fontId="3" fillId="9" borderId="0" xfId="0" applyFont="1" applyFill="1" applyAlignment="1">
      <alignment horizontal="right" vertical="top"/>
    </xf>
    <xf numFmtId="181" fontId="3" fillId="9" borderId="0" xfId="0" applyNumberFormat="1" applyFont="1" applyFill="1" applyAlignment="1">
      <alignment horizontal="left" vertical="center"/>
    </xf>
    <xf numFmtId="0" fontId="67" fillId="9" borderId="77" xfId="0" applyFont="1" applyFill="1" applyBorder="1" applyAlignment="1">
      <alignment horizontal="left"/>
    </xf>
    <xf numFmtId="0" fontId="4" fillId="4" borderId="0" xfId="0" applyFont="1" applyFill="1"/>
    <xf numFmtId="0" fontId="73" fillId="3" borderId="49" xfId="3" applyFont="1" applyFill="1" applyBorder="1" applyAlignment="1">
      <alignment horizontal="center" vertical="center"/>
    </xf>
    <xf numFmtId="0" fontId="73" fillId="3" borderId="50" xfId="3" applyFont="1" applyFill="1" applyBorder="1" applyAlignment="1">
      <alignment horizontal="center" vertical="center"/>
    </xf>
    <xf numFmtId="0" fontId="73" fillId="3" borderId="50" xfId="3" applyFont="1" applyFill="1" applyBorder="1" applyAlignment="1">
      <alignment horizontal="left" vertical="center"/>
    </xf>
    <xf numFmtId="0" fontId="3" fillId="9" borderId="77" xfId="0" applyFont="1" applyFill="1" applyBorder="1" applyAlignment="1">
      <alignment horizontal="right" vertical="center"/>
    </xf>
    <xf numFmtId="0" fontId="3" fillId="9" borderId="41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left" vertical="top"/>
    </xf>
    <xf numFmtId="1" fontId="3" fillId="9" borderId="31" xfId="0" applyNumberFormat="1" applyFont="1" applyFill="1" applyBorder="1" applyAlignment="1">
      <alignment horizontal="right"/>
    </xf>
    <xf numFmtId="0" fontId="3" fillId="9" borderId="0" xfId="0" applyFont="1" applyFill="1" applyAlignment="1">
      <alignment horizontal="right" vertical="top" readingOrder="1"/>
    </xf>
    <xf numFmtId="181" fontId="0" fillId="0" borderId="0" xfId="0" applyNumberFormat="1" applyAlignment="1">
      <alignment horizontal="left"/>
    </xf>
    <xf numFmtId="200" fontId="64" fillId="0" borderId="0" xfId="0" applyNumberFormat="1" applyFont="1"/>
    <xf numFmtId="11" fontId="64" fillId="0" borderId="0" xfId="0" applyNumberFormat="1" applyFont="1"/>
    <xf numFmtId="180" fontId="67" fillId="0" borderId="0" xfId="0" applyNumberFormat="1" applyFont="1"/>
    <xf numFmtId="0" fontId="67" fillId="0" borderId="0" xfId="0" applyFont="1"/>
    <xf numFmtId="180" fontId="4" fillId="9" borderId="0" xfId="0" applyNumberFormat="1" applyFont="1" applyFill="1" applyAlignment="1">
      <alignment horizontal="center"/>
    </xf>
    <xf numFmtId="0" fontId="85" fillId="0" borderId="0" xfId="0" applyFont="1"/>
    <xf numFmtId="0" fontId="4" fillId="5" borderId="69" xfId="0" applyFont="1" applyFill="1" applyBorder="1"/>
    <xf numFmtId="0" fontId="21" fillId="25" borderId="43" xfId="0" applyFont="1" applyFill="1" applyBorder="1"/>
    <xf numFmtId="0" fontId="21" fillId="25" borderId="41" xfId="0" applyFont="1" applyFill="1" applyBorder="1"/>
    <xf numFmtId="0" fontId="18" fillId="25" borderId="41" xfId="0" applyFont="1" applyFill="1" applyBorder="1"/>
    <xf numFmtId="184" fontId="18" fillId="25" borderId="0" xfId="0" applyNumberFormat="1" applyFont="1" applyFill="1" applyAlignment="1">
      <alignment horizontal="center"/>
    </xf>
    <xf numFmtId="0" fontId="18" fillId="25" borderId="0" xfId="0" applyFont="1" applyFill="1"/>
    <xf numFmtId="184" fontId="69" fillId="25" borderId="0" xfId="0" applyNumberFormat="1" applyFont="1" applyFill="1" applyAlignment="1">
      <alignment horizontal="center"/>
    </xf>
    <xf numFmtId="184" fontId="26" fillId="25" borderId="0" xfId="0" applyNumberFormat="1" applyFont="1" applyFill="1" applyAlignment="1">
      <alignment horizontal="center"/>
    </xf>
    <xf numFmtId="0" fontId="27" fillId="25" borderId="28" xfId="0" applyFont="1" applyFill="1" applyBorder="1" applyAlignment="1">
      <alignment horizontal="left"/>
    </xf>
    <xf numFmtId="0" fontId="27" fillId="25" borderId="0" xfId="0" applyFont="1" applyFill="1" applyAlignment="1">
      <alignment horizontal="left"/>
    </xf>
    <xf numFmtId="0" fontId="25" fillId="25" borderId="28" xfId="0" applyFont="1" applyFill="1" applyBorder="1" applyAlignment="1">
      <alignment horizontal="left" vertical="center"/>
    </xf>
    <xf numFmtId="0" fontId="25" fillId="25" borderId="0" xfId="0" applyFont="1" applyFill="1" applyAlignment="1">
      <alignment horizontal="left" vertical="center"/>
    </xf>
    <xf numFmtId="0" fontId="71" fillId="25" borderId="0" xfId="0" applyFont="1" applyFill="1" applyAlignment="1">
      <alignment horizontal="left" vertical="center"/>
    </xf>
    <xf numFmtId="0" fontId="32" fillId="25" borderId="30" xfId="0" applyFont="1" applyFill="1" applyBorder="1"/>
    <xf numFmtId="0" fontId="32" fillId="25" borderId="31" xfId="0" applyFont="1" applyFill="1" applyBorder="1"/>
    <xf numFmtId="0" fontId="21" fillId="25" borderId="31" xfId="0" applyFont="1" applyFill="1" applyBorder="1"/>
    <xf numFmtId="0" fontId="25" fillId="25" borderId="0" xfId="0" quotePrefix="1" applyFont="1" applyFill="1" applyAlignment="1">
      <alignment vertical="center"/>
    </xf>
    <xf numFmtId="0" fontId="21" fillId="25" borderId="0" xfId="0" applyFont="1" applyFill="1" applyAlignment="1">
      <alignment vertical="center"/>
    </xf>
    <xf numFmtId="0" fontId="30" fillId="25" borderId="0" xfId="0" applyFont="1" applyFill="1" applyAlignment="1">
      <alignment vertical="center"/>
    </xf>
    <xf numFmtId="0" fontId="30" fillId="25" borderId="0" xfId="0" applyFont="1" applyFill="1"/>
    <xf numFmtId="0" fontId="28" fillId="25" borderId="31" xfId="0" applyFont="1" applyFill="1" applyBorder="1"/>
    <xf numFmtId="0" fontId="28" fillId="25" borderId="45" xfId="0" applyFont="1" applyFill="1" applyBorder="1"/>
    <xf numFmtId="0" fontId="86" fillId="25" borderId="0" xfId="2" applyFont="1" applyFill="1" applyBorder="1" applyAlignment="1" applyProtection="1">
      <alignment horizontal="left" vertical="center"/>
    </xf>
    <xf numFmtId="180" fontId="4" fillId="24" borderId="0" xfId="0" applyNumberFormat="1" applyFont="1" applyFill="1" applyAlignment="1">
      <alignment horizontal="right"/>
    </xf>
    <xf numFmtId="1" fontId="3" fillId="9" borderId="75" xfId="0" applyNumberFormat="1" applyFont="1" applyFill="1" applyBorder="1" applyAlignment="1">
      <alignment horizontal="right"/>
    </xf>
    <xf numFmtId="0" fontId="88" fillId="0" borderId="28" xfId="0" applyFont="1" applyBorder="1"/>
    <xf numFmtId="181" fontId="4" fillId="22" borderId="0" xfId="0" applyNumberFormat="1" applyFont="1" applyFill="1"/>
    <xf numFmtId="181" fontId="4" fillId="0" borderId="0" xfId="0" applyNumberFormat="1" applyFont="1"/>
    <xf numFmtId="180" fontId="0" fillId="22" borderId="0" xfId="0" applyNumberFormat="1" applyFill="1"/>
    <xf numFmtId="2" fontId="9" fillId="12" borderId="0" xfId="0" applyNumberFormat="1" applyFont="1" applyFill="1"/>
    <xf numFmtId="181" fontId="16" fillId="4" borderId="0" xfId="0" applyNumberFormat="1" applyFont="1" applyFill="1" applyAlignment="1">
      <alignment horizontal="right"/>
    </xf>
    <xf numFmtId="200" fontId="4" fillId="0" borderId="0" xfId="0" applyNumberFormat="1" applyFont="1"/>
    <xf numFmtId="2" fontId="31" fillId="0" borderId="0" xfId="0" applyNumberFormat="1" applyFont="1"/>
    <xf numFmtId="0" fontId="74" fillId="0" borderId="0" xfId="0" applyFont="1"/>
    <xf numFmtId="181" fontId="3" fillId="9" borderId="0" xfId="0" applyNumberFormat="1" applyFont="1" applyFill="1" applyAlignment="1">
      <alignment horizontal="right"/>
    </xf>
    <xf numFmtId="181" fontId="3" fillId="9" borderId="0" xfId="0" applyNumberFormat="1" applyFont="1" applyFill="1" applyAlignment="1">
      <alignment horizontal="right" vertical="center"/>
    </xf>
    <xf numFmtId="11" fontId="64" fillId="22" borderId="0" xfId="0" applyNumberFormat="1" applyFont="1" applyFill="1"/>
    <xf numFmtId="200" fontId="0" fillId="0" borderId="0" xfId="0" applyNumberFormat="1"/>
    <xf numFmtId="2" fontId="0" fillId="4" borderId="0" xfId="0" applyNumberFormat="1" applyFill="1"/>
    <xf numFmtId="1" fontId="0" fillId="0" borderId="0" xfId="0" applyNumberFormat="1" applyAlignment="1">
      <alignment horizontal="left"/>
    </xf>
    <xf numFmtId="2" fontId="4" fillId="0" borderId="0" xfId="0" applyNumberFormat="1" applyFont="1" applyAlignment="1">
      <alignment horizontal="left"/>
    </xf>
    <xf numFmtId="0" fontId="0" fillId="0" borderId="31" xfId="0" applyBorder="1" applyAlignment="1">
      <alignment horizontal="left"/>
    </xf>
    <xf numFmtId="2" fontId="89" fillId="0" borderId="0" xfId="0" applyNumberFormat="1" applyFont="1" applyAlignment="1">
      <alignment horizontal="left"/>
    </xf>
    <xf numFmtId="0" fontId="89" fillId="0" borderId="0" xfId="0" applyFont="1" applyAlignment="1">
      <alignment horizontal="left"/>
    </xf>
    <xf numFmtId="0" fontId="64" fillId="9" borderId="0" xfId="0" applyFont="1" applyFill="1" applyAlignment="1">
      <alignment horizontal="right"/>
    </xf>
    <xf numFmtId="2" fontId="3" fillId="16" borderId="0" xfId="0" applyNumberFormat="1" applyFont="1" applyFill="1"/>
    <xf numFmtId="11" fontId="31" fillId="22" borderId="0" xfId="0" applyNumberFormat="1" applyFont="1" applyFill="1" applyAlignment="1">
      <alignment horizontal="right"/>
    </xf>
    <xf numFmtId="11" fontId="0" fillId="22" borderId="0" xfId="0" applyNumberFormat="1" applyFill="1"/>
    <xf numFmtId="180" fontId="31" fillId="0" borderId="0" xfId="0" applyNumberFormat="1" applyFont="1"/>
    <xf numFmtId="0" fontId="74" fillId="0" borderId="0" xfId="0" applyFont="1" applyAlignment="1">
      <alignment horizontal="left"/>
    </xf>
    <xf numFmtId="0" fontId="62" fillId="0" borderId="0" xfId="0" applyFont="1" applyAlignment="1">
      <alignment horizontal="right"/>
    </xf>
    <xf numFmtId="0" fontId="62" fillId="0" borderId="0" xfId="0" applyFont="1" applyAlignment="1">
      <alignment horizontal="left"/>
    </xf>
    <xf numFmtId="0" fontId="0" fillId="16" borderId="0" xfId="0" applyFill="1"/>
    <xf numFmtId="0" fontId="4" fillId="2" borderId="23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180" fontId="0" fillId="0" borderId="0" xfId="0" applyNumberFormat="1" applyAlignment="1">
      <alignment horizontal="right"/>
    </xf>
    <xf numFmtId="199" fontId="0" fillId="0" borderId="0" xfId="0" applyNumberFormat="1"/>
    <xf numFmtId="0" fontId="4" fillId="0" borderId="28" xfId="0" applyFont="1" applyBorder="1" applyAlignment="1">
      <alignment horizontal="center"/>
    </xf>
    <xf numFmtId="180" fontId="83" fillId="26" borderId="0" xfId="0" applyNumberFormat="1" applyFont="1" applyFill="1" applyAlignment="1">
      <alignment horizontal="center" vertical="center"/>
    </xf>
    <xf numFmtId="179" fontId="4" fillId="26" borderId="0" xfId="0" applyNumberFormat="1" applyFont="1" applyFill="1" applyAlignment="1">
      <alignment horizontal="center" vertical="center" wrapText="1"/>
    </xf>
    <xf numFmtId="0" fontId="4" fillId="2" borderId="2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0" fontId="4" fillId="2" borderId="21" xfId="0" applyNumberFormat="1" applyFont="1" applyFill="1" applyBorder="1" applyAlignment="1">
      <alignment horizontal="center" vertical="center" wrapText="1"/>
    </xf>
    <xf numFmtId="1" fontId="4" fillId="16" borderId="0" xfId="0" applyNumberFormat="1" applyFont="1" applyFill="1" applyAlignment="1" applyProtection="1">
      <alignment horizontal="right" vertical="center"/>
      <protection hidden="1"/>
    </xf>
    <xf numFmtId="0" fontId="62" fillId="2" borderId="6" xfId="0" applyFont="1" applyFill="1" applyBorder="1" applyAlignment="1">
      <alignment horizontal="center" vertical="center" wrapText="1"/>
    </xf>
    <xf numFmtId="181" fontId="81" fillId="0" borderId="0" xfId="0" applyNumberFormat="1" applyFont="1"/>
    <xf numFmtId="10" fontId="81" fillId="0" borderId="0" xfId="0" applyNumberFormat="1" applyFont="1" applyAlignment="1">
      <alignment horizontal="center"/>
    </xf>
    <xf numFmtId="0" fontId="11" fillId="9" borderId="0" xfId="2" applyFill="1" applyAlignment="1" applyProtection="1"/>
    <xf numFmtId="181" fontId="3" fillId="16" borderId="0" xfId="0" applyNumberFormat="1" applyFont="1" applyFill="1"/>
    <xf numFmtId="0" fontId="4" fillId="9" borderId="45" xfId="0" applyFont="1" applyFill="1" applyBorder="1" applyAlignment="1">
      <alignment horizontal="left" vertical="center"/>
    </xf>
    <xf numFmtId="0" fontId="4" fillId="19" borderId="0" xfId="0" applyFont="1" applyFill="1" applyAlignment="1">
      <alignment horizontal="left"/>
    </xf>
    <xf numFmtId="0" fontId="0" fillId="19" borderId="0" xfId="0" applyFill="1"/>
    <xf numFmtId="0" fontId="3" fillId="19" borderId="0" xfId="0" applyFont="1" applyFill="1"/>
    <xf numFmtId="181" fontId="3" fillId="19" borderId="0" xfId="0" applyNumberFormat="1" applyFont="1" applyFill="1"/>
    <xf numFmtId="0" fontId="93" fillId="0" borderId="0" xfId="6" applyFont="1"/>
    <xf numFmtId="0" fontId="65" fillId="0" borderId="0" xfId="6" applyFont="1" applyAlignment="1">
      <alignment horizontal="center"/>
    </xf>
    <xf numFmtId="0" fontId="65" fillId="0" borderId="0" xfId="6" applyFont="1" applyAlignment="1">
      <alignment horizontal="left"/>
    </xf>
    <xf numFmtId="0" fontId="64" fillId="0" borderId="0" xfId="6" applyFont="1"/>
    <xf numFmtId="0" fontId="95" fillId="0" borderId="0" xfId="7" applyFont="1" applyFill="1" applyBorder="1" applyAlignment="1">
      <alignment vertical="center"/>
    </xf>
    <xf numFmtId="0" fontId="95" fillId="0" borderId="0" xfId="7" applyFont="1" applyFill="1" applyBorder="1" applyAlignment="1">
      <alignment horizontal="right" vertical="center"/>
    </xf>
    <xf numFmtId="0" fontId="93" fillId="0" borderId="0" xfId="6" applyFont="1" applyAlignment="1">
      <alignment horizontal="center"/>
    </xf>
    <xf numFmtId="0" fontId="93" fillId="0" borderId="0" xfId="6" applyFont="1" applyAlignment="1">
      <alignment horizontal="left"/>
    </xf>
    <xf numFmtId="0" fontId="64" fillId="0" borderId="0" xfId="6" applyFont="1" applyAlignment="1">
      <alignment horizontal="center"/>
    </xf>
    <xf numFmtId="0" fontId="3" fillId="0" borderId="0" xfId="6" applyFont="1"/>
    <xf numFmtId="0" fontId="96" fillId="18" borderId="0" xfId="6" applyFont="1" applyFill="1" applyAlignment="1">
      <alignment horizontal="center"/>
    </xf>
    <xf numFmtId="0" fontId="97" fillId="0" borderId="0" xfId="7" applyFont="1" applyFill="1" applyBorder="1" applyAlignment="1">
      <alignment vertical="center"/>
    </xf>
    <xf numFmtId="0" fontId="65" fillId="9" borderId="81" xfId="0" applyFont="1" applyFill="1" applyBorder="1" applyAlignment="1">
      <alignment horizontal="right" vertical="center"/>
    </xf>
    <xf numFmtId="0" fontId="4" fillId="19" borderId="82" xfId="0" applyFont="1" applyFill="1" applyBorder="1" applyAlignment="1">
      <alignment horizontal="left"/>
    </xf>
    <xf numFmtId="0" fontId="11" fillId="25" borderId="0" xfId="2" applyFill="1" applyAlignment="1" applyProtection="1">
      <protection locked="0" hidden="1"/>
    </xf>
    <xf numFmtId="0" fontId="18" fillId="9" borderId="0" xfId="0" applyFont="1" applyFill="1" applyAlignment="1">
      <alignment vertical="top"/>
    </xf>
    <xf numFmtId="0" fontId="18" fillId="9" borderId="0" xfId="0" applyFont="1" applyFill="1" applyAlignment="1">
      <alignment horizontal="center" vertical="top"/>
    </xf>
    <xf numFmtId="0" fontId="3" fillId="9" borderId="0" xfId="0" applyFont="1" applyFill="1" applyProtection="1">
      <protection locked="0" hidden="1"/>
    </xf>
    <xf numFmtId="0" fontId="67" fillId="9" borderId="0" xfId="0" applyFont="1" applyFill="1" applyAlignment="1">
      <alignment horizontal="left" vertical="center"/>
    </xf>
    <xf numFmtId="0" fontId="11" fillId="25" borderId="0" xfId="2" applyFill="1" applyBorder="1" applyAlignment="1" applyProtection="1">
      <alignment horizontal="left" vertical="center"/>
      <protection locked="0" hidden="1"/>
    </xf>
    <xf numFmtId="0" fontId="53" fillId="17" borderId="43" xfId="0" applyFont="1" applyFill="1" applyBorder="1" applyAlignment="1">
      <alignment horizontal="center" vertical="center"/>
    </xf>
    <xf numFmtId="0" fontId="53" fillId="17" borderId="41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left" vertical="top"/>
    </xf>
    <xf numFmtId="0" fontId="3" fillId="9" borderId="29" xfId="0" applyFont="1" applyFill="1" applyBorder="1" applyAlignment="1">
      <alignment horizontal="left" vertical="top"/>
    </xf>
    <xf numFmtId="196" fontId="3" fillId="21" borderId="8" xfId="3" applyNumberFormat="1" applyFill="1" applyBorder="1" applyAlignment="1">
      <alignment horizontal="left" vertical="center"/>
    </xf>
    <xf numFmtId="196" fontId="3" fillId="21" borderId="9" xfId="3" applyNumberFormat="1" applyFill="1" applyBorder="1" applyAlignment="1">
      <alignment horizontal="left" vertical="center"/>
    </xf>
    <xf numFmtId="196" fontId="3" fillId="21" borderId="15" xfId="3" applyNumberFormat="1" applyFill="1" applyBorder="1" applyAlignment="1">
      <alignment horizontal="left" vertical="center"/>
    </xf>
    <xf numFmtId="197" fontId="3" fillId="16" borderId="8" xfId="3" applyNumberFormat="1" applyFill="1" applyBorder="1" applyAlignment="1">
      <alignment horizontal="left" vertical="center"/>
    </xf>
    <xf numFmtId="197" fontId="3" fillId="16" borderId="9" xfId="3" applyNumberFormat="1" applyFill="1" applyBorder="1" applyAlignment="1">
      <alignment horizontal="left" vertical="center"/>
    </xf>
    <xf numFmtId="197" fontId="3" fillId="16" borderId="15" xfId="3" applyNumberFormat="1" applyFill="1" applyBorder="1" applyAlignment="1">
      <alignment horizontal="left" vertical="center"/>
    </xf>
    <xf numFmtId="203" fontId="3" fillId="9" borderId="8" xfId="3" applyNumberFormat="1" applyFill="1" applyBorder="1" applyAlignment="1">
      <alignment horizontal="left" vertical="center"/>
    </xf>
    <xf numFmtId="203" fontId="3" fillId="9" borderId="9" xfId="3" applyNumberFormat="1" applyFill="1" applyBorder="1" applyAlignment="1">
      <alignment horizontal="left" vertical="center"/>
    </xf>
    <xf numFmtId="191" fontId="3" fillId="20" borderId="8" xfId="3" applyNumberFormat="1" applyFill="1" applyBorder="1" applyAlignment="1">
      <alignment horizontal="left" vertical="center"/>
    </xf>
    <xf numFmtId="191" fontId="3" fillId="20" borderId="9" xfId="3" applyNumberFormat="1" applyFill="1" applyBorder="1" applyAlignment="1">
      <alignment horizontal="left" vertical="center"/>
    </xf>
    <xf numFmtId="189" fontId="3" fillId="20" borderId="8" xfId="3" applyNumberFormat="1" applyFill="1" applyBorder="1" applyAlignment="1">
      <alignment horizontal="left" vertical="center"/>
    </xf>
    <xf numFmtId="189" fontId="3" fillId="20" borderId="9" xfId="3" applyNumberFormat="1" applyFill="1" applyBorder="1" applyAlignment="1">
      <alignment horizontal="left" vertical="center"/>
    </xf>
    <xf numFmtId="204" fontId="3" fillId="16" borderId="8" xfId="3" applyNumberFormat="1" applyFill="1" applyBorder="1" applyAlignment="1">
      <alignment horizontal="left" vertical="center"/>
    </xf>
    <xf numFmtId="204" fontId="3" fillId="16" borderId="9" xfId="3" applyNumberFormat="1" applyFill="1" applyBorder="1" applyAlignment="1">
      <alignment horizontal="left" vertical="center"/>
    </xf>
    <xf numFmtId="190" fontId="3" fillId="20" borderId="8" xfId="3" applyNumberFormat="1" applyFill="1" applyBorder="1" applyAlignment="1">
      <alignment horizontal="left" vertical="center"/>
    </xf>
    <xf numFmtId="190" fontId="3" fillId="20" borderId="9" xfId="3" applyNumberFormat="1" applyFill="1" applyBorder="1" applyAlignment="1">
      <alignment horizontal="left" vertical="center"/>
    </xf>
    <xf numFmtId="192" fontId="3" fillId="16" borderId="8" xfId="3" applyNumberFormat="1" applyFill="1" applyBorder="1" applyAlignment="1">
      <alignment horizontal="left" vertical="center"/>
    </xf>
    <xf numFmtId="192" fontId="3" fillId="16" borderId="9" xfId="3" applyNumberFormat="1" applyFill="1" applyBorder="1" applyAlignment="1">
      <alignment horizontal="left" vertical="center"/>
    </xf>
    <xf numFmtId="193" fontId="3" fillId="16" borderId="8" xfId="3" applyNumberFormat="1" applyFill="1" applyBorder="1" applyAlignment="1">
      <alignment horizontal="left" vertical="center"/>
    </xf>
    <xf numFmtId="193" fontId="3" fillId="16" borderId="9" xfId="3" applyNumberFormat="1" applyFill="1" applyBorder="1" applyAlignment="1">
      <alignment horizontal="left" vertical="center"/>
    </xf>
    <xf numFmtId="203" fontId="3" fillId="20" borderId="8" xfId="3" applyNumberFormat="1" applyFill="1" applyBorder="1" applyAlignment="1">
      <alignment horizontal="left" vertical="center"/>
    </xf>
    <xf numFmtId="203" fontId="3" fillId="20" borderId="9" xfId="3" applyNumberFormat="1" applyFill="1" applyBorder="1" applyAlignment="1">
      <alignment horizontal="left" vertical="center"/>
    </xf>
    <xf numFmtId="189" fontId="3" fillId="16" borderId="8" xfId="3" applyNumberFormat="1" applyFill="1" applyBorder="1" applyAlignment="1">
      <alignment horizontal="left" vertical="center"/>
    </xf>
    <xf numFmtId="0" fontId="0" fillId="0" borderId="9" xfId="0" applyBorder="1"/>
    <xf numFmtId="0" fontId="73" fillId="3" borderId="51" xfId="3" applyFont="1" applyFill="1" applyBorder="1" applyAlignment="1">
      <alignment horizontal="left" vertical="center"/>
    </xf>
    <xf numFmtId="0" fontId="73" fillId="3" borderId="52" xfId="3" applyFont="1" applyFill="1" applyBorder="1" applyAlignment="1">
      <alignment horizontal="left" vertical="center"/>
    </xf>
    <xf numFmtId="0" fontId="73" fillId="3" borderId="53" xfId="3" applyFont="1" applyFill="1" applyBorder="1" applyAlignment="1">
      <alignment horizontal="left" vertical="center"/>
    </xf>
    <xf numFmtId="191" fontId="3" fillId="21" borderId="8" xfId="3" applyNumberFormat="1" applyFill="1" applyBorder="1" applyAlignment="1">
      <alignment horizontal="left" vertical="center"/>
    </xf>
    <xf numFmtId="191" fontId="3" fillId="21" borderId="9" xfId="3" applyNumberFormat="1" applyFill="1" applyBorder="1" applyAlignment="1">
      <alignment horizontal="left" vertical="center"/>
    </xf>
    <xf numFmtId="196" fontId="3" fillId="16" borderId="8" xfId="3" applyNumberFormat="1" applyFill="1" applyBorder="1" applyAlignment="1">
      <alignment horizontal="left" vertical="center"/>
    </xf>
    <xf numFmtId="196" fontId="3" fillId="16" borderId="9" xfId="3" applyNumberFormat="1" applyFill="1" applyBorder="1" applyAlignment="1">
      <alignment horizontal="left" vertical="center"/>
    </xf>
    <xf numFmtId="196" fontId="3" fillId="16" borderId="15" xfId="3" applyNumberFormat="1" applyFill="1" applyBorder="1" applyAlignment="1">
      <alignment horizontal="left" vertical="center"/>
    </xf>
    <xf numFmtId="201" fontId="3" fillId="16" borderId="8" xfId="3" applyNumberFormat="1" applyFill="1" applyBorder="1" applyAlignment="1">
      <alignment horizontal="left" vertical="center"/>
    </xf>
    <xf numFmtId="201" fontId="3" fillId="16" borderId="9" xfId="3" applyNumberFormat="1" applyFill="1" applyBorder="1" applyAlignment="1">
      <alignment horizontal="left" vertical="center"/>
    </xf>
    <xf numFmtId="201" fontId="3" fillId="16" borderId="15" xfId="3" applyNumberFormat="1" applyFill="1" applyBorder="1" applyAlignment="1">
      <alignment horizontal="left" vertical="center"/>
    </xf>
    <xf numFmtId="205" fontId="3" fillId="21" borderId="8" xfId="3" applyNumberFormat="1" applyFill="1" applyBorder="1" applyAlignment="1">
      <alignment horizontal="left" vertical="center"/>
    </xf>
    <xf numFmtId="205" fontId="3" fillId="21" borderId="9" xfId="3" applyNumberFormat="1" applyFill="1" applyBorder="1" applyAlignment="1">
      <alignment horizontal="left" vertical="center"/>
    </xf>
    <xf numFmtId="205" fontId="3" fillId="21" borderId="15" xfId="3" applyNumberFormat="1" applyFill="1" applyBorder="1" applyAlignment="1">
      <alignment horizontal="left" vertical="center"/>
    </xf>
    <xf numFmtId="195" fontId="3" fillId="20" borderId="8" xfId="3" applyNumberFormat="1" applyFill="1" applyBorder="1" applyAlignment="1">
      <alignment horizontal="left" vertical="center"/>
    </xf>
    <xf numFmtId="195" fontId="3" fillId="20" borderId="9" xfId="3" applyNumberFormat="1" applyFill="1" applyBorder="1" applyAlignment="1">
      <alignment horizontal="left" vertical="center"/>
    </xf>
    <xf numFmtId="195" fontId="3" fillId="20" borderId="15" xfId="3" applyNumberFormat="1" applyFill="1" applyBorder="1" applyAlignment="1">
      <alignment horizontal="left" vertical="center"/>
    </xf>
    <xf numFmtId="0" fontId="4" fillId="9" borderId="79" xfId="3" applyFont="1" applyFill="1" applyBorder="1" applyAlignment="1">
      <alignment horizontal="center" vertical="center"/>
    </xf>
    <xf numFmtId="0" fontId="4" fillId="9" borderId="67" xfId="3" applyFont="1" applyFill="1" applyBorder="1" applyAlignment="1">
      <alignment horizontal="center" vertical="center"/>
    </xf>
    <xf numFmtId="0" fontId="4" fillId="9" borderId="14" xfId="3" applyFont="1" applyFill="1" applyBorder="1" applyAlignment="1">
      <alignment horizontal="left" vertical="center"/>
    </xf>
    <xf numFmtId="0" fontId="4" fillId="9" borderId="12" xfId="3" applyFont="1" applyFill="1" applyBorder="1" applyAlignment="1">
      <alignment horizontal="left" vertical="center"/>
    </xf>
    <xf numFmtId="0" fontId="4" fillId="9" borderId="78" xfId="3" applyFont="1" applyFill="1" applyBorder="1" applyAlignment="1">
      <alignment horizontal="left" vertical="center"/>
    </xf>
    <xf numFmtId="0" fontId="4" fillId="9" borderId="10" xfId="3" applyFont="1" applyFill="1" applyBorder="1" applyAlignment="1">
      <alignment horizontal="left" vertical="center"/>
    </xf>
    <xf numFmtId="0" fontId="4" fillId="9" borderId="16" xfId="3" applyFont="1" applyFill="1" applyBorder="1" applyAlignment="1">
      <alignment horizontal="left" vertical="center"/>
    </xf>
    <xf numFmtId="0" fontId="4" fillId="9" borderId="69" xfId="3" applyFont="1" applyFill="1" applyBorder="1" applyAlignment="1">
      <alignment horizontal="left" vertical="center"/>
    </xf>
    <xf numFmtId="0" fontId="4" fillId="9" borderId="4" xfId="3" applyFont="1" applyFill="1" applyBorder="1" applyAlignment="1">
      <alignment horizontal="left" vertical="center"/>
    </xf>
    <xf numFmtId="0" fontId="4" fillId="9" borderId="17" xfId="3" applyFont="1" applyFill="1" applyBorder="1" applyAlignment="1">
      <alignment horizontal="left" vertical="center"/>
    </xf>
    <xf numFmtId="0" fontId="62" fillId="9" borderId="14" xfId="3" applyFont="1" applyFill="1" applyBorder="1" applyAlignment="1">
      <alignment horizontal="center" vertical="center"/>
    </xf>
    <xf numFmtId="0" fontId="62" fillId="9" borderId="12" xfId="3" applyFont="1" applyFill="1" applyBorder="1" applyAlignment="1">
      <alignment horizontal="center" vertical="center"/>
    </xf>
    <xf numFmtId="0" fontId="4" fillId="9" borderId="14" xfId="3" applyFont="1" applyFill="1" applyBorder="1" applyAlignment="1">
      <alignment horizontal="left" vertical="center" wrapText="1"/>
    </xf>
    <xf numFmtId="0" fontId="4" fillId="9" borderId="12" xfId="3" applyFont="1" applyFill="1" applyBorder="1" applyAlignment="1">
      <alignment horizontal="left" vertical="center" wrapText="1"/>
    </xf>
    <xf numFmtId="0" fontId="64" fillId="0" borderId="0" xfId="6" applyFont="1" applyAlignment="1">
      <alignment wrapText="1"/>
    </xf>
    <xf numFmtId="0" fontId="93" fillId="0" borderId="0" xfId="6" applyFont="1" applyAlignment="1">
      <alignment horizontal="center"/>
    </xf>
    <xf numFmtId="0" fontId="93" fillId="27" borderId="0" xfId="6" applyFont="1" applyFill="1" applyAlignment="1">
      <alignment horizontal="center"/>
    </xf>
    <xf numFmtId="0" fontId="96" fillId="18" borderId="0" xfId="6" applyFont="1" applyFill="1" applyAlignment="1">
      <alignment horizontal="left"/>
    </xf>
    <xf numFmtId="0" fontId="64" fillId="0" borderId="0" xfId="6" applyFont="1" applyAlignment="1">
      <alignment horizontal="left"/>
    </xf>
    <xf numFmtId="0" fontId="52" fillId="16" borderId="28" xfId="0" applyFont="1" applyFill="1" applyBorder="1" applyAlignment="1">
      <alignment horizontal="left" vertical="center"/>
    </xf>
    <xf numFmtId="0" fontId="52" fillId="16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4" fillId="4" borderId="55" xfId="0" applyFont="1" applyFill="1" applyBorder="1" applyAlignment="1">
      <alignment horizontal="center"/>
    </xf>
    <xf numFmtId="0" fontId="4" fillId="4" borderId="56" xfId="0" applyFont="1" applyFill="1" applyBorder="1" applyAlignment="1">
      <alignment horizontal="center"/>
    </xf>
    <xf numFmtId="0" fontId="4" fillId="4" borderId="57" xfId="0" applyFont="1" applyFill="1" applyBorder="1" applyAlignment="1">
      <alignment horizontal="center"/>
    </xf>
    <xf numFmtId="0" fontId="14" fillId="3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182" fontId="4" fillId="4" borderId="55" xfId="0" applyNumberFormat="1" applyFont="1" applyFill="1" applyBorder="1" applyAlignment="1">
      <alignment horizontal="center"/>
    </xf>
    <xf numFmtId="182" fontId="4" fillId="4" borderId="56" xfId="0" applyNumberFormat="1" applyFont="1" applyFill="1" applyBorder="1" applyAlignment="1">
      <alignment horizontal="center"/>
    </xf>
    <xf numFmtId="182" fontId="4" fillId="4" borderId="57" xfId="0" applyNumberFormat="1" applyFont="1" applyFill="1" applyBorder="1" applyAlignment="1">
      <alignment horizontal="center"/>
    </xf>
    <xf numFmtId="0" fontId="4" fillId="4" borderId="47" xfId="0" applyFont="1" applyFill="1" applyBorder="1" applyAlignment="1">
      <alignment horizontal="center"/>
    </xf>
    <xf numFmtId="0" fontId="4" fillId="4" borderId="4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24" borderId="0" xfId="0" applyFont="1" applyFill="1" applyAlignment="1">
      <alignment horizontal="center"/>
    </xf>
    <xf numFmtId="0" fontId="80" fillId="4" borderId="74" xfId="3" applyFont="1" applyFill="1" applyBorder="1" applyAlignment="1">
      <alignment horizontal="center" vertical="center"/>
    </xf>
    <xf numFmtId="0" fontId="80" fillId="4" borderId="66" xfId="3" applyFont="1" applyFill="1" applyBorder="1" applyAlignment="1">
      <alignment horizontal="center" vertical="center"/>
    </xf>
    <xf numFmtId="0" fontId="4" fillId="0" borderId="55" xfId="3" applyFont="1" applyBorder="1" applyAlignment="1">
      <alignment horizontal="center"/>
    </xf>
    <xf numFmtId="0" fontId="4" fillId="0" borderId="56" xfId="3" applyFont="1" applyBorder="1" applyAlignment="1">
      <alignment horizontal="center"/>
    </xf>
    <xf numFmtId="0" fontId="3" fillId="0" borderId="56" xfId="3" applyBorder="1" applyAlignment="1">
      <alignment horizontal="center"/>
    </xf>
    <xf numFmtId="0" fontId="3" fillId="0" borderId="57" xfId="3" applyBorder="1" applyAlignment="1">
      <alignment horizontal="center"/>
    </xf>
    <xf numFmtId="0" fontId="80" fillId="4" borderId="74" xfId="3" applyFont="1" applyFill="1" applyBorder="1" applyAlignment="1">
      <alignment horizontal="center" vertical="top" shrinkToFit="1"/>
    </xf>
    <xf numFmtId="0" fontId="3" fillId="4" borderId="73" xfId="3" applyFill="1" applyBorder="1" applyAlignment="1">
      <alignment horizontal="center" vertical="top" shrinkToFit="1"/>
    </xf>
    <xf numFmtId="0" fontId="3" fillId="4" borderId="72" xfId="3" applyFill="1" applyBorder="1" applyAlignment="1">
      <alignment horizontal="center" vertical="top" shrinkToFit="1"/>
    </xf>
    <xf numFmtId="0" fontId="80" fillId="4" borderId="60" xfId="3" applyFont="1" applyFill="1" applyBorder="1" applyAlignment="1">
      <alignment horizontal="center"/>
    </xf>
    <xf numFmtId="0" fontId="80" fillId="4" borderId="62" xfId="3" applyFont="1" applyFill="1" applyBorder="1" applyAlignment="1">
      <alignment horizontal="center"/>
    </xf>
    <xf numFmtId="0" fontId="4" fillId="0" borderId="57" xfId="3" applyFont="1" applyBorder="1" applyAlignment="1">
      <alignment horizontal="center"/>
    </xf>
    <xf numFmtId="0" fontId="4" fillId="0" borderId="64" xfId="3" applyFont="1" applyBorder="1" applyAlignment="1">
      <alignment horizontal="center"/>
    </xf>
    <xf numFmtId="0" fontId="4" fillId="0" borderId="65" xfId="3" applyFont="1" applyBorder="1" applyAlignment="1">
      <alignment horizontal="center"/>
    </xf>
    <xf numFmtId="0" fontId="80" fillId="4" borderId="55" xfId="3" applyFont="1" applyFill="1" applyBorder="1" applyAlignment="1">
      <alignment horizontal="center"/>
    </xf>
    <xf numFmtId="0" fontId="80" fillId="4" borderId="56" xfId="3" applyFont="1" applyFill="1" applyBorder="1" applyAlignment="1">
      <alignment horizontal="center"/>
    </xf>
    <xf numFmtId="0" fontId="80" fillId="4" borderId="57" xfId="3" applyFont="1" applyFill="1" applyBorder="1" applyAlignment="1">
      <alignment horizontal="center"/>
    </xf>
    <xf numFmtId="0" fontId="3" fillId="4" borderId="61" xfId="3" applyFill="1" applyBorder="1" applyAlignment="1">
      <alignment horizontal="center"/>
    </xf>
    <xf numFmtId="0" fontId="3" fillId="4" borderId="62" xfId="3" applyFill="1" applyBorder="1" applyAlignment="1">
      <alignment horizontal="center"/>
    </xf>
    <xf numFmtId="0" fontId="4" fillId="4" borderId="60" xfId="3" applyFont="1" applyFill="1" applyBorder="1"/>
    <xf numFmtId="0" fontId="4" fillId="4" borderId="62" xfId="3" applyFont="1" applyFill="1" applyBorder="1"/>
    <xf numFmtId="0" fontId="4" fillId="0" borderId="18" xfId="3" applyFont="1" applyBorder="1" applyAlignment="1">
      <alignment horizontal="center"/>
    </xf>
    <xf numFmtId="0" fontId="4" fillId="0" borderId="11" xfId="3" applyFont="1" applyBorder="1" applyAlignment="1">
      <alignment horizontal="center"/>
    </xf>
    <xf numFmtId="0" fontId="4" fillId="0" borderId="58" xfId="3" applyFont="1" applyBorder="1" applyAlignment="1">
      <alignment horizontal="center"/>
    </xf>
  </cellXfs>
  <cellStyles count="8">
    <cellStyle name="Comma 2" xfId="5" xr:uid="{00000000-0005-0000-0000-000001000000}"/>
    <cellStyle name="Hyperlink 2" xfId="7" xr:uid="{7897ACC2-7C15-4806-AE69-F5805461D676}"/>
    <cellStyle name="Normal 2" xfId="3" xr:uid="{00000000-0005-0000-0000-000004000000}"/>
    <cellStyle name="Normal 3" xfId="4" xr:uid="{00000000-0005-0000-0000-000005000000}"/>
    <cellStyle name="Normal 4" xfId="6" xr:uid="{500057F8-7E71-45E8-A9DE-D4316585D26A}"/>
    <cellStyle name="一般" xfId="0" builtinId="0"/>
    <cellStyle name="千分位" xfId="1" builtinId="3"/>
    <cellStyle name="超連結" xfId="2" builtinId="8"/>
  </cellStyles>
  <dxfs count="16">
    <dxf>
      <font>
        <color theme="0"/>
      </font>
    </dxf>
    <dxf>
      <font>
        <b/>
        <i val="0"/>
        <color rgb="FFC00000"/>
      </font>
    </dxf>
    <dxf>
      <font>
        <color theme="0"/>
      </font>
      <fill>
        <patternFill>
          <bgColor theme="0"/>
        </patternFill>
      </fill>
    </dxf>
    <dxf>
      <font>
        <color rgb="FFFF0000"/>
      </font>
    </dxf>
    <dxf>
      <font>
        <b/>
        <i val="0"/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CCFFFF"/>
      <color rgb="FF0000FF"/>
      <color rgb="FFC00000"/>
      <color rgb="FFCC00FF"/>
      <color rgb="FFC0C0C0"/>
      <color rgb="FFFFFFCC"/>
      <color rgb="FFFF9900"/>
      <color rgb="FFFF00FF"/>
      <color rgb="FF99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 u="none">
                <a:latin typeface="Arial" pitchFamily="34" charset="0"/>
                <a:cs typeface="Arial" pitchFamily="34" charset="0"/>
              </a:rPr>
              <a:t>Bode Plot, V</a:t>
            </a:r>
            <a:r>
              <a:rPr lang="en-US" sz="2000" u="none" baseline="-25000">
                <a:latin typeface="Arial" pitchFamily="34" charset="0"/>
                <a:cs typeface="Arial" pitchFamily="34" charset="0"/>
              </a:rPr>
              <a:t>IN</a:t>
            </a:r>
            <a:r>
              <a:rPr lang="en-US" sz="2000" u="none" baseline="0">
                <a:latin typeface="Arial" pitchFamily="34" charset="0"/>
                <a:cs typeface="Arial" pitchFamily="34" charset="0"/>
              </a:rPr>
              <a:t> = </a:t>
            </a:r>
            <a:r>
              <a:rPr lang="en-US" sz="2000" u="none">
                <a:latin typeface="Arial" pitchFamily="34" charset="0"/>
                <a:cs typeface="Arial" pitchFamily="34" charset="0"/>
              </a:rPr>
              <a:t>V</a:t>
            </a:r>
            <a:r>
              <a:rPr lang="en-US" sz="2000" u="none" baseline="-25000">
                <a:latin typeface="Arial" pitchFamily="34" charset="0"/>
                <a:cs typeface="Arial" pitchFamily="34" charset="0"/>
              </a:rPr>
              <a:t>IN(nom)</a:t>
            </a:r>
            <a:endParaRPr lang="en-US" sz="2000" u="none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8.0358613068103324E-2"/>
          <c:y val="2.06299212598425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865550467700392E-2"/>
          <c:y val="0.11264619116931211"/>
          <c:w val="0.82929752780099952"/>
          <c:h val="0.762051843542218"/>
        </c:manualLayout>
      </c:layout>
      <c:scatterChart>
        <c:scatterStyle val="smoothMarker"/>
        <c:varyColors val="0"/>
        <c:ser>
          <c:idx val="2"/>
          <c:order val="0"/>
          <c:tx>
            <c:v>Loop Gain</c:v>
          </c:tx>
          <c:spPr>
            <a:ln w="3175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Calculations'!$Q$13:$Q$613</c:f>
              <c:numCache>
                <c:formatCode>0.00</c:formatCode>
                <c:ptCount val="601"/>
                <c:pt idx="0">
                  <c:v>75.615110933607554</c:v>
                </c:pt>
                <c:pt idx="1">
                  <c:v>74.873714197301965</c:v>
                </c:pt>
                <c:pt idx="2">
                  <c:v>74.123123746713475</c:v>
                </c:pt>
                <c:pt idx="3">
                  <c:v>73.364692989812269</c:v>
                </c:pt>
                <c:pt idx="4">
                  <c:v>72.600099584422864</c:v>
                </c:pt>
                <c:pt idx="5">
                  <c:v>71.829082015147378</c:v>
                </c:pt>
                <c:pt idx="6">
                  <c:v>71.053599755277148</c:v>
                </c:pt>
                <c:pt idx="7">
                  <c:v>70.273885265805319</c:v>
                </c:pt>
                <c:pt idx="8">
                  <c:v>69.491138700548646</c:v>
                </c:pt>
                <c:pt idx="9">
                  <c:v>68.705302488514633</c:v>
                </c:pt>
                <c:pt idx="10">
                  <c:v>67.917279370198443</c:v>
                </c:pt>
                <c:pt idx="11">
                  <c:v>67.127338379257253</c:v>
                </c:pt>
                <c:pt idx="12">
                  <c:v>66.335380300056087</c:v>
                </c:pt>
                <c:pt idx="13">
                  <c:v>65.542434325944456</c:v>
                </c:pt>
                <c:pt idx="14">
                  <c:v>64.74809276059527</c:v>
                </c:pt>
                <c:pt idx="15">
                  <c:v>63.952848877998619</c:v>
                </c:pt>
                <c:pt idx="16">
                  <c:v>63.156795841778496</c:v>
                </c:pt>
                <c:pt idx="17">
                  <c:v>62.360178011988872</c:v>
                </c:pt>
                <c:pt idx="18">
                  <c:v>61.562873011600978</c:v>
                </c:pt>
                <c:pt idx="19">
                  <c:v>60.76518537678696</c:v>
                </c:pt>
                <c:pt idx="20">
                  <c:v>59.967030690766592</c:v>
                </c:pt>
                <c:pt idx="21">
                  <c:v>59.16863316037233</c:v>
                </c:pt>
                <c:pt idx="22">
                  <c:v>58.369872610046386</c:v>
                </c:pt>
                <c:pt idx="23">
                  <c:v>57.570987844259498</c:v>
                </c:pt>
                <c:pt idx="24">
                  <c:v>56.771809011136433</c:v>
                </c:pt>
                <c:pt idx="25">
                  <c:v>55.972486782942362</c:v>
                </c:pt>
                <c:pt idx="26">
                  <c:v>55.172856428840937</c:v>
                </c:pt>
                <c:pt idx="27">
                  <c:v>54.373189390530911</c:v>
                </c:pt>
                <c:pt idx="28">
                  <c:v>53.573467508461512</c:v>
                </c:pt>
                <c:pt idx="29">
                  <c:v>52.774197118969603</c:v>
                </c:pt>
                <c:pt idx="30">
                  <c:v>51.974033046092444</c:v>
                </c:pt>
                <c:pt idx="31">
                  <c:v>51.174096949753149</c:v>
                </c:pt>
                <c:pt idx="32">
                  <c:v>50.373847227259752</c:v>
                </c:pt>
                <c:pt idx="33">
                  <c:v>49.573852537200686</c:v>
                </c:pt>
                <c:pt idx="34">
                  <c:v>48.773491715997878</c:v>
                </c:pt>
                <c:pt idx="35">
                  <c:v>47.973208108021367</c:v>
                </c:pt>
                <c:pt idx="36">
                  <c:v>47.172868978315279</c:v>
                </c:pt>
                <c:pt idx="37">
                  <c:v>46.372029344098422</c:v>
                </c:pt>
                <c:pt idx="38">
                  <c:v>45.571433659801343</c:v>
                </c:pt>
                <c:pt idx="39">
                  <c:v>44.770413673236916</c:v>
                </c:pt>
                <c:pt idx="40">
                  <c:v>43.969242845390468</c:v>
                </c:pt>
                <c:pt idx="41">
                  <c:v>43.16781545050452</c:v>
                </c:pt>
                <c:pt idx="42">
                  <c:v>42.366196320999023</c:v>
                </c:pt>
                <c:pt idx="43">
                  <c:v>41.564093745051565</c:v>
                </c:pt>
                <c:pt idx="44">
                  <c:v>40.761652606791316</c:v>
                </c:pt>
                <c:pt idx="45">
                  <c:v>39.958628314707909</c:v>
                </c:pt>
                <c:pt idx="46">
                  <c:v>39.155083549501398</c:v>
                </c:pt>
                <c:pt idx="47">
                  <c:v>38.350726065428653</c:v>
                </c:pt>
                <c:pt idx="48">
                  <c:v>37.545611456465068</c:v>
                </c:pt>
                <c:pt idx="49">
                  <c:v>36.73936447039717</c:v>
                </c:pt>
                <c:pt idx="50">
                  <c:v>35.931907887958154</c:v>
                </c:pt>
                <c:pt idx="51">
                  <c:v>35.122814521985113</c:v>
                </c:pt>
                <c:pt idx="52">
                  <c:v>34.312060342411193</c:v>
                </c:pt>
                <c:pt idx="53">
                  <c:v>33.499283813353429</c:v>
                </c:pt>
                <c:pt idx="54">
                  <c:v>32.684606232533291</c:v>
                </c:pt>
                <c:pt idx="55">
                  <c:v>31.86619935224703</c:v>
                </c:pt>
                <c:pt idx="56">
                  <c:v>31.044684679932114</c:v>
                </c:pt>
                <c:pt idx="57">
                  <c:v>30.218909595599179</c:v>
                </c:pt>
                <c:pt idx="58">
                  <c:v>29.388787133237507</c:v>
                </c:pt>
                <c:pt idx="59">
                  <c:v>28.552918716769881</c:v>
                </c:pt>
                <c:pt idx="60">
                  <c:v>27.710935006778467</c:v>
                </c:pt>
                <c:pt idx="61">
                  <c:v>26.861800007809457</c:v>
                </c:pt>
                <c:pt idx="62">
                  <c:v>26.004087456575569</c:v>
                </c:pt>
                <c:pt idx="63">
                  <c:v>25.137623864543631</c:v>
                </c:pt>
                <c:pt idx="64">
                  <c:v>24.260736905425205</c:v>
                </c:pt>
                <c:pt idx="65">
                  <c:v>23.372846848739055</c:v>
                </c:pt>
                <c:pt idx="66">
                  <c:v>22.473108546601605</c:v>
                </c:pt>
                <c:pt idx="67">
                  <c:v>21.561097669211676</c:v>
                </c:pt>
                <c:pt idx="68">
                  <c:v>20.636302539199896</c:v>
                </c:pt>
                <c:pt idx="69">
                  <c:v>19.699119434038156</c:v>
                </c:pt>
                <c:pt idx="70">
                  <c:v>18.749979863054904</c:v>
                </c:pt>
                <c:pt idx="71">
                  <c:v>17.790213417105726</c:v>
                </c:pt>
                <c:pt idx="72">
                  <c:v>16.821278860692129</c:v>
                </c:pt>
                <c:pt idx="73">
                  <c:v>15.845569946038808</c:v>
                </c:pt>
                <c:pt idx="74">
                  <c:v>14.865394361830205</c:v>
                </c:pt>
                <c:pt idx="75">
                  <c:v>13.883727191801841</c:v>
                </c:pt>
                <c:pt idx="76">
                  <c:v>12.903266717391071</c:v>
                </c:pt>
                <c:pt idx="77">
                  <c:v>11.927176773366313</c:v>
                </c:pt>
                <c:pt idx="78">
                  <c:v>10.958025531763626</c:v>
                </c:pt>
                <c:pt idx="79">
                  <c:v>9.9986300504502559</c:v>
                </c:pt>
                <c:pt idx="80">
                  <c:v>9.0491235060558513</c:v>
                </c:pt>
                <c:pt idx="81">
                  <c:v>8.1120769736253333</c:v>
                </c:pt>
                <c:pt idx="82">
                  <c:v>7.1875773436984876</c:v>
                </c:pt>
                <c:pt idx="83">
                  <c:v>6.2765407891067593</c:v>
                </c:pt>
                <c:pt idx="84">
                  <c:v>5.3781334086700516</c:v>
                </c:pt>
                <c:pt idx="85">
                  <c:v>4.4924322652243216</c:v>
                </c:pt>
                <c:pt idx="86">
                  <c:v>3.6186556331089728</c:v>
                </c:pt>
                <c:pt idx="87">
                  <c:v>2.755574515752266</c:v>
                </c:pt>
                <c:pt idx="88">
                  <c:v>1.903195413541515</c:v>
                </c:pt>
                <c:pt idx="89">
                  <c:v>1.0600243804706257</c:v>
                </c:pt>
                <c:pt idx="90">
                  <c:v>0.22563695578232054</c:v>
                </c:pt>
                <c:pt idx="91">
                  <c:v>-0.6006942356012015</c:v>
                </c:pt>
                <c:pt idx="92">
                  <c:v>-1.4193955749913294</c:v>
                </c:pt>
                <c:pt idx="93">
                  <c:v>-2.2311147721967619</c:v>
                </c:pt>
                <c:pt idx="94">
                  <c:v>-2.4328848024802161</c:v>
                </c:pt>
                <c:pt idx="95">
                  <c:v>-2.5342338947326102</c:v>
                </c:pt>
                <c:pt idx="96">
                  <c:v>-2.6343175669074599</c:v>
                </c:pt>
                <c:pt idx="97">
                  <c:v>-2.7354429256018173</c:v>
                </c:pt>
                <c:pt idx="98">
                  <c:v>-2.8353060453992809</c:v>
                </c:pt>
                <c:pt idx="99">
                  <c:v>-2.9362339664409594</c:v>
                </c:pt>
                <c:pt idx="100">
                  <c:v>-3.0359020462117678</c:v>
                </c:pt>
                <c:pt idx="101">
                  <c:v>-3.1365802149015742</c:v>
                </c:pt>
                <c:pt idx="102">
                  <c:v>-3.2360021031398807</c:v>
                </c:pt>
                <c:pt idx="103">
                  <c:v>-3.3365275514822019</c:v>
                </c:pt>
                <c:pt idx="104">
                  <c:v>-3.4357977343347357</c:v>
                </c:pt>
                <c:pt idx="105">
                  <c:v>-3.5361145710585702</c:v>
                </c:pt>
                <c:pt idx="106">
                  <c:v>-3.6351784010365664</c:v>
                </c:pt>
                <c:pt idx="107">
                  <c:v>-3.735234610805322</c:v>
                </c:pt>
                <c:pt idx="108">
                  <c:v>-3.8340412196858886</c:v>
                </c:pt>
                <c:pt idx="109">
                  <c:v>-3.9338559789782273</c:v>
                </c:pt>
                <c:pt idx="110">
                  <c:v>-4.0324239211840034</c:v>
                </c:pt>
                <c:pt idx="111">
                  <c:v>-4.1320790216173418</c:v>
                </c:pt>
                <c:pt idx="112">
                  <c:v>-4.2304879066736181</c:v>
                </c:pt>
                <c:pt idx="113">
                  <c:v>-4.3299271814566769</c:v>
                </c:pt>
                <c:pt idx="114">
                  <c:v>-4.4281220838136672</c:v>
                </c:pt>
                <c:pt idx="115">
                  <c:v>-4.527355812389942</c:v>
                </c:pt>
                <c:pt idx="116">
                  <c:v>-4.6253466005302215</c:v>
                </c:pt>
                <c:pt idx="117">
                  <c:v>-4.7243824722601548</c:v>
                </c:pt>
                <c:pt idx="118">
                  <c:v>-4.8221764859885088</c:v>
                </c:pt>
                <c:pt idx="119">
                  <c:v>-4.9209602648211517</c:v>
                </c:pt>
                <c:pt idx="120">
                  <c:v>-5.0185044617635342</c:v>
                </c:pt>
                <c:pt idx="121">
                  <c:v>-5.1170436765382368</c:v>
                </c:pt>
                <c:pt idx="122">
                  <c:v>-5.214345240678206</c:v>
                </c:pt>
                <c:pt idx="123">
                  <c:v>-5.312701752933596</c:v>
                </c:pt>
                <c:pt idx="124">
                  <c:v>-5.4098208399720873</c:v>
                </c:pt>
                <c:pt idx="125">
                  <c:v>-5.5079384116296728</c:v>
                </c:pt>
                <c:pt idx="126">
                  <c:v>-5.6048200269508701</c:v>
                </c:pt>
                <c:pt idx="127">
                  <c:v>-5.7027000195012221</c:v>
                </c:pt>
                <c:pt idx="128">
                  <c:v>-5.7993453306276788</c:v>
                </c:pt>
                <c:pt idx="129">
                  <c:v>-5.8969873339090562</c:v>
                </c:pt>
                <c:pt idx="130">
                  <c:v>-5.9933957811335334</c:v>
                </c:pt>
                <c:pt idx="131">
                  <c:v>-6.0907977609278863</c:v>
                </c:pt>
                <c:pt idx="132">
                  <c:v>-6.1390347560778142</c:v>
                </c:pt>
                <c:pt idx="133">
                  <c:v>-6.1869672019192326</c:v>
                </c:pt>
                <c:pt idx="134">
                  <c:v>-6.2357272545188369</c:v>
                </c:pt>
                <c:pt idx="135">
                  <c:v>-6.2841754790796625</c:v>
                </c:pt>
                <c:pt idx="136">
                  <c:v>-6.3323155075169089</c:v>
                </c:pt>
                <c:pt idx="137">
                  <c:v>-6.3801509080588303</c:v>
                </c:pt>
                <c:pt idx="138">
                  <c:v>-6.4287609275538724</c:v>
                </c:pt>
                <c:pt idx="139">
                  <c:v>-6.4770596811704415</c:v>
                </c:pt>
                <c:pt idx="140">
                  <c:v>-6.5250507887409608</c:v>
                </c:pt>
                <c:pt idx="141">
                  <c:v>-6.5727378068170692</c:v>
                </c:pt>
                <c:pt idx="142">
                  <c:v>-6.6212443040223681</c:v>
                </c:pt>
                <c:pt idx="143">
                  <c:v>-6.6694394648135704</c:v>
                </c:pt>
                <c:pt idx="144">
                  <c:v>-6.7173269083718452</c:v>
                </c:pt>
                <c:pt idx="145">
                  <c:v>-6.764910190741924</c:v>
                </c:pt>
                <c:pt idx="146">
                  <c:v>-6.8132845310725525</c:v>
                </c:pt>
                <c:pt idx="147">
                  <c:v>-6.8613477913725642</c:v>
                </c:pt>
                <c:pt idx="148">
                  <c:v>-6.9091035849438924</c:v>
                </c:pt>
                <c:pt idx="149">
                  <c:v>-6.9565554622217896</c:v>
                </c:pt>
                <c:pt idx="150">
                  <c:v>-7.0047935932113168</c:v>
                </c:pt>
                <c:pt idx="151">
                  <c:v>-7.0527209152995525</c:v>
                </c:pt>
                <c:pt idx="152">
                  <c:v>-7.1003410361507822</c:v>
                </c:pt>
                <c:pt idx="153">
                  <c:v>-7.1476575008304923</c:v>
                </c:pt>
                <c:pt idx="154">
                  <c:v>-7.1957769914957312</c:v>
                </c:pt>
                <c:pt idx="155">
                  <c:v>-7.2435856820113385</c:v>
                </c:pt>
                <c:pt idx="156">
                  <c:v>-7.2910871794935606</c:v>
                </c:pt>
                <c:pt idx="157">
                  <c:v>-7.3382850286142132</c:v>
                </c:pt>
                <c:pt idx="158">
                  <c:v>-7.3862793131953106</c:v>
                </c:pt>
                <c:pt idx="159">
                  <c:v>-7.4339628546040561</c:v>
                </c:pt>
                <c:pt idx="160">
                  <c:v>-7.4813392591458481</c:v>
                </c:pt>
                <c:pt idx="161">
                  <c:v>-7.528412070845909</c:v>
                </c:pt>
                <c:pt idx="162">
                  <c:v>-7.5762533751898529</c:v>
                </c:pt>
                <c:pt idx="163">
                  <c:v>-7.6237843181185525</c:v>
                </c:pt>
                <c:pt idx="164">
                  <c:v>-7.6710085001069857</c:v>
                </c:pt>
                <c:pt idx="165">
                  <c:v>-7.7179294596327299</c:v>
                </c:pt>
                <c:pt idx="166">
                  <c:v>-7.7656531897874492</c:v>
                </c:pt>
                <c:pt idx="167">
                  <c:v>-7.813066450276466</c:v>
                </c:pt>
                <c:pt idx="168">
                  <c:v>-7.8601728449082211</c:v>
                </c:pt>
                <c:pt idx="169">
                  <c:v>-7.9069759155698724</c:v>
                </c:pt>
                <c:pt idx="170">
                  <c:v>-7.9544738061711939</c:v>
                </c:pt>
                <c:pt idx="171">
                  <c:v>-8.0016624939088423</c:v>
                </c:pt>
                <c:pt idx="172">
                  <c:v>-8.0485455627676217</c:v>
                </c:pt>
                <c:pt idx="173">
                  <c:v>-8.0951265354176609</c:v>
                </c:pt>
                <c:pt idx="174">
                  <c:v>-8.1425718269403085</c:v>
                </c:pt>
                <c:pt idx="175">
                  <c:v>-8.1897069053544431</c:v>
                </c:pt>
                <c:pt idx="176">
                  <c:v>-8.2365353750799564</c:v>
                </c:pt>
                <c:pt idx="177">
                  <c:v>-8.2830607789146935</c:v>
                </c:pt>
                <c:pt idx="178">
                  <c:v>-8.3304195552268538</c:v>
                </c:pt>
                <c:pt idx="179">
                  <c:v>-8.3774675151460904</c:v>
                </c:pt>
                <c:pt idx="180">
                  <c:v>-8.4242082773035847</c:v>
                </c:pt>
                <c:pt idx="181">
                  <c:v>-8.470645398546047</c:v>
                </c:pt>
                <c:pt idx="182">
                  <c:v>-8.5177020771441079</c:v>
                </c:pt>
                <c:pt idx="183">
                  <c:v>-8.5644501326307125</c:v>
                </c:pt>
                <c:pt idx="184">
                  <c:v>-8.6108931500354888</c:v>
                </c:pt>
                <c:pt idx="185">
                  <c:v>-8.6570346535251712</c:v>
                </c:pt>
                <c:pt idx="186">
                  <c:v>-8.704132385007231</c:v>
                </c:pt>
                <c:pt idx="187">
                  <c:v>-8.7509191730197013</c:v>
                </c:pt>
                <c:pt idx="188">
                  <c:v>-8.7973986484502245</c:v>
                </c:pt>
                <c:pt idx="189">
                  <c:v>-8.8435743804496205</c:v>
                </c:pt>
                <c:pt idx="190">
                  <c:v>-8.8903224676207202</c:v>
                </c:pt>
                <c:pt idx="191">
                  <c:v>-8.9367624019871368</c:v>
                </c:pt>
                <c:pt idx="192">
                  <c:v>-8.982897772145396</c:v>
                </c:pt>
                <c:pt idx="193">
                  <c:v>-9.0287321060700094</c:v>
                </c:pt>
                <c:pt idx="194">
                  <c:v>-9.0754587484733378</c:v>
                </c:pt>
                <c:pt idx="195">
                  <c:v>-9.1218757012475749</c:v>
                </c:pt>
                <c:pt idx="196">
                  <c:v>-9.1679865871551538</c:v>
                </c:pt>
                <c:pt idx="197">
                  <c:v>-9.213794967729342</c:v>
                </c:pt>
                <c:pt idx="198">
                  <c:v>-9.2602975810059114</c:v>
                </c:pt>
                <c:pt idx="199">
                  <c:v>-9.3064916258034422</c:v>
                </c:pt>
                <c:pt idx="200">
                  <c:v>-9.3523807136550943</c:v>
                </c:pt>
                <c:pt idx="201">
                  <c:v>-9.3979683952758357</c:v>
                </c:pt>
                <c:pt idx="202">
                  <c:v>-9.444225422034588</c:v>
                </c:pt>
                <c:pt idx="203">
                  <c:v>-9.4901752871053304</c:v>
                </c:pt>
                <c:pt idx="204">
                  <c:v>-9.5358215867942651</c:v>
                </c:pt>
                <c:pt idx="205">
                  <c:v>-9.5811678570845409</c:v>
                </c:pt>
                <c:pt idx="206">
                  <c:v>-9.6273165015736115</c:v>
                </c:pt>
                <c:pt idx="207">
                  <c:v>-9.6731575752187453</c:v>
                </c:pt>
                <c:pt idx="208">
                  <c:v>-9.718694691994914</c:v>
                </c:pt>
                <c:pt idx="209">
                  <c:v>-9.7639314053106556</c:v>
                </c:pt>
                <c:pt idx="210">
                  <c:v>-9.8100941034161391</c:v>
                </c:pt>
                <c:pt idx="211">
                  <c:v>-9.8559471819640301</c:v>
                </c:pt>
                <c:pt idx="212">
                  <c:v>-9.9014943027991418</c:v>
                </c:pt>
                <c:pt idx="213">
                  <c:v>-9.9467390662791573</c:v>
                </c:pt>
                <c:pt idx="214">
                  <c:v>-9.9925779314814438</c:v>
                </c:pt>
                <c:pt idx="215">
                  <c:v>-10.038109641016186</c:v>
                </c:pt>
                <c:pt idx="216">
                  <c:v>-10.083337826125319</c:v>
                </c:pt>
                <c:pt idx="217">
                  <c:v>-10.12826605738546</c:v>
                </c:pt>
                <c:pt idx="218">
                  <c:v>-10.173912079581662</c:v>
                </c:pt>
                <c:pt idx="219">
                  <c:v>-10.219251680603922</c:v>
                </c:pt>
                <c:pt idx="220">
                  <c:v>-10.264288492777231</c:v>
                </c:pt>
                <c:pt idx="221">
                  <c:v>-10.309026087867942</c:v>
                </c:pt>
                <c:pt idx="222">
                  <c:v>-10.354455378332057</c:v>
                </c:pt>
                <c:pt idx="223">
                  <c:v>-10.399579323107947</c:v>
                </c:pt>
                <c:pt idx="224">
                  <c:v>-10.444401550722644</c:v>
                </c:pt>
                <c:pt idx="225">
                  <c:v>-10.488925629349108</c:v>
                </c:pt>
                <c:pt idx="226">
                  <c:v>-10.534253626321952</c:v>
                </c:pt>
                <c:pt idx="227">
                  <c:v>-10.579275829414996</c:v>
                </c:pt>
                <c:pt idx="228">
                  <c:v>-10.623995891719497</c:v>
                </c:pt>
                <c:pt idx="229">
                  <c:v>-10.668417405538346</c:v>
                </c:pt>
                <c:pt idx="230">
                  <c:v>-10.758503278235104</c:v>
                </c:pt>
                <c:pt idx="231">
                  <c:v>-10.803091180090416</c:v>
                </c:pt>
                <c:pt idx="232">
                  <c:v>-10.847380559500667</c:v>
                </c:pt>
                <c:pt idx="233">
                  <c:v>-10.892415788978786</c:v>
                </c:pt>
                <c:pt idx="234">
                  <c:v>-10.93714562128387</c:v>
                </c:pt>
                <c:pt idx="235">
                  <c:v>-10.98157373966345</c:v>
                </c:pt>
                <c:pt idx="236">
                  <c:v>-11.025703766087538</c:v>
                </c:pt>
                <c:pt idx="237">
                  <c:v>-11.07042565439891</c:v>
                </c:pt>
                <c:pt idx="238">
                  <c:v>-11.114844659896448</c:v>
                </c:pt>
                <c:pt idx="239">
                  <c:v>-11.158964441005866</c:v>
                </c:pt>
                <c:pt idx="240">
                  <c:v>-11.20278859548748</c:v>
                </c:pt>
                <c:pt idx="241">
                  <c:v>-11.247429898946724</c:v>
                </c:pt>
                <c:pt idx="242">
                  <c:v>-11.291767740178912</c:v>
                </c:pt>
                <c:pt idx="243">
                  <c:v>-11.335805809947681</c:v>
                </c:pt>
                <c:pt idx="244">
                  <c:v>-11.379547737682367</c:v>
                </c:pt>
                <c:pt idx="245">
                  <c:v>-11.423956672702083</c:v>
                </c:pt>
                <c:pt idx="246">
                  <c:v>-11.468063672763758</c:v>
                </c:pt>
                <c:pt idx="247">
                  <c:v>-11.511872424006416</c:v>
                </c:pt>
                <c:pt idx="248">
                  <c:v>-11.55538655136094</c:v>
                </c:pt>
                <c:pt idx="249">
                  <c:v>-11.599660234691791</c:v>
                </c:pt>
                <c:pt idx="250">
                  <c:v>-11.643632256477215</c:v>
                </c:pt>
                <c:pt idx="251">
                  <c:v>-11.687306322343405</c:v>
                </c:pt>
                <c:pt idx="252">
                  <c:v>-11.730686076278783</c:v>
                </c:pt>
                <c:pt idx="253">
                  <c:v>-11.774683923206545</c:v>
                </c:pt>
                <c:pt idx="254">
                  <c:v>-11.818382358168025</c:v>
                </c:pt>
                <c:pt idx="255">
                  <c:v>-11.861785071122789</c:v>
                </c:pt>
                <c:pt idx="256">
                  <c:v>-11.904895690715009</c:v>
                </c:pt>
                <c:pt idx="257">
                  <c:v>-11.948823363747573</c:v>
                </c:pt>
                <c:pt idx="258">
                  <c:v>-11.992451157828423</c:v>
                </c:pt>
                <c:pt idx="259">
                  <c:v>-12.035782798527864</c:v>
                </c:pt>
                <c:pt idx="260">
                  <c:v>-12.078821949261593</c:v>
                </c:pt>
                <c:pt idx="261">
                  <c:v>-12.122540480000266</c:v>
                </c:pt>
                <c:pt idx="262">
                  <c:v>-12.165960632237729</c:v>
                </c:pt>
                <c:pt idx="263">
                  <c:v>-12.209086131883055</c:v>
                </c:pt>
                <c:pt idx="264">
                  <c:v>-12.251920642603158</c:v>
                </c:pt>
                <c:pt idx="265">
                  <c:v>-12.295410021932982</c:v>
                </c:pt>
                <c:pt idx="266">
                  <c:v>-12.338602884265789</c:v>
                </c:pt>
                <c:pt idx="267">
                  <c:v>-12.381502950002565</c:v>
                </c:pt>
                <c:pt idx="268">
                  <c:v>-12.424113877314182</c:v>
                </c:pt>
                <c:pt idx="269">
                  <c:v>-12.467458113593974</c:v>
                </c:pt>
                <c:pt idx="270">
                  <c:v>-12.510506647189088</c:v>
                </c:pt>
                <c:pt idx="271">
                  <c:v>-12.55326321355723</c:v>
                </c:pt>
                <c:pt idx="272">
                  <c:v>-12.59573148544791</c:v>
                </c:pt>
                <c:pt idx="273">
                  <c:v>-12.638906562964582</c:v>
                </c:pt>
                <c:pt idx="274">
                  <c:v>-12.681787178218002</c:v>
                </c:pt>
                <c:pt idx="275">
                  <c:v>-12.72437707461479</c:v>
                </c:pt>
                <c:pt idx="276">
                  <c:v>-12.76667993249864</c:v>
                </c:pt>
                <c:pt idx="277">
                  <c:v>-12.809567767189652</c:v>
                </c:pt>
                <c:pt idx="278">
                  <c:v>-12.852164088764457</c:v>
                </c:pt>
                <c:pt idx="279">
                  <c:v>-12.894472616698184</c:v>
                </c:pt>
                <c:pt idx="280">
                  <c:v>-12.936497007728224</c:v>
                </c:pt>
                <c:pt idx="281">
                  <c:v>-12.979367746883064</c:v>
                </c:pt>
                <c:pt idx="282">
                  <c:v>-13.021946369244082</c:v>
                </c:pt>
                <c:pt idx="283">
                  <c:v>-13.064236638949057</c:v>
                </c:pt>
                <c:pt idx="284">
                  <c:v>-13.106242256144171</c:v>
                </c:pt>
                <c:pt idx="285">
                  <c:v>-13.148789370302556</c:v>
                </c:pt>
                <c:pt idx="286">
                  <c:v>-13.19104803430923</c:v>
                </c:pt>
                <c:pt idx="287">
                  <c:v>-13.233021975391704</c:v>
                </c:pt>
                <c:pt idx="288">
                  <c:v>-13.274714857334729</c:v>
                </c:pt>
                <c:pt idx="289">
                  <c:v>-13.317197721652491</c:v>
                </c:pt>
                <c:pt idx="290">
                  <c:v>-13.359392413423894</c:v>
                </c:pt>
                <c:pt idx="291">
                  <c:v>-13.401302688803913</c:v>
                </c:pt>
                <c:pt idx="292">
                  <c:v>-13.442932239524231</c:v>
                </c:pt>
                <c:pt idx="293">
                  <c:v>-13.48523707105344</c:v>
                </c:pt>
                <c:pt idx="294">
                  <c:v>-13.527255670712734</c:v>
                </c:pt>
                <c:pt idx="295">
                  <c:v>-13.568991791649429</c:v>
                </c:pt>
                <c:pt idx="296">
                  <c:v>-13.610449122292245</c:v>
                </c:pt>
                <c:pt idx="297">
                  <c:v>-13.652558330436293</c:v>
                </c:pt>
                <c:pt idx="298">
                  <c:v>-13.694383611602705</c:v>
                </c:pt>
                <c:pt idx="299">
                  <c:v>-13.7359287087917</c:v>
                </c:pt>
                <c:pt idx="300">
                  <c:v>-13.777197300116047</c:v>
                </c:pt>
                <c:pt idx="301">
                  <c:v>-13.819095474412961</c:v>
                </c:pt>
                <c:pt idx="302">
                  <c:v>-13.860712361025486</c:v>
                </c:pt>
                <c:pt idx="303">
                  <c:v>-13.902051685981851</c:v>
                </c:pt>
                <c:pt idx="304">
                  <c:v>-13.943117110376267</c:v>
                </c:pt>
                <c:pt idx="305">
                  <c:v>-13.984950641803772</c:v>
                </c:pt>
                <c:pt idx="306">
                  <c:v>-14.026503698761692</c:v>
                </c:pt>
                <c:pt idx="307">
                  <c:v>-14.067780026317108</c:v>
                </c:pt>
                <c:pt idx="308">
                  <c:v>-14.108783303682099</c:v>
                </c:pt>
                <c:pt idx="309">
                  <c:v>-14.150372648756226</c:v>
                </c:pt>
                <c:pt idx="310">
                  <c:v>-14.191684863320592</c:v>
                </c:pt>
                <c:pt idx="311">
                  <c:v>-14.232723660612363</c:v>
                </c:pt>
                <c:pt idx="312">
                  <c:v>-14.273492688244522</c:v>
                </c:pt>
                <c:pt idx="313">
                  <c:v>-14.314980108249307</c:v>
                </c:pt>
                <c:pt idx="314">
                  <c:v>-14.356191982350957</c:v>
                </c:pt>
                <c:pt idx="315">
                  <c:v>-14.397132026524599</c:v>
                </c:pt>
                <c:pt idx="316">
                  <c:v>-14.437803890507038</c:v>
                </c:pt>
                <c:pt idx="317">
                  <c:v>-14.47917004118664</c:v>
                </c:pt>
                <c:pt idx="318">
                  <c:v>-14.520262624838857</c:v>
                </c:pt>
                <c:pt idx="319">
                  <c:v>-14.56108535157777</c:v>
                </c:pt>
                <c:pt idx="320">
                  <c:v>-14.601641864832612</c:v>
                </c:pt>
                <c:pt idx="321">
                  <c:v>-14.642869713122098</c:v>
                </c:pt>
                <c:pt idx="322">
                  <c:v>-14.683826332712302</c:v>
                </c:pt>
                <c:pt idx="323">
                  <c:v>-14.724515419643971</c:v>
                </c:pt>
                <c:pt idx="324">
                  <c:v>-14.764940602991658</c:v>
                </c:pt>
                <c:pt idx="325">
                  <c:v>-14.806015285561573</c:v>
                </c:pt>
                <c:pt idx="326">
                  <c:v>-14.846821402504816</c:v>
                </c:pt>
                <c:pt idx="327">
                  <c:v>-14.887362627998685</c:v>
                </c:pt>
                <c:pt idx="328">
                  <c:v>-14.927642569135084</c:v>
                </c:pt>
                <c:pt idx="329">
                  <c:v>-14.968619434539224</c:v>
                </c:pt>
                <c:pt idx="330">
                  <c:v>-15.009329804888583</c:v>
                </c:pt>
                <c:pt idx="331">
                  <c:v>-15.049777343306394</c:v>
                </c:pt>
                <c:pt idx="332">
                  <c:v>-15.089965645425057</c:v>
                </c:pt>
                <c:pt idx="333">
                  <c:v>-15.130762082522608</c:v>
                </c:pt>
                <c:pt idx="334">
                  <c:v>-15.17129528798943</c:v>
                </c:pt>
                <c:pt idx="335">
                  <c:v>-15.211568887883262</c:v>
                </c:pt>
                <c:pt idx="336">
                  <c:v>-15.251586440984973</c:v>
                </c:pt>
                <c:pt idx="337">
                  <c:v>-15.292322930916761</c:v>
                </c:pt>
                <c:pt idx="338">
                  <c:v>-15.332798021097942</c:v>
                </c:pt>
                <c:pt idx="339">
                  <c:v>-15.373015328358955</c:v>
                </c:pt>
                <c:pt idx="340">
                  <c:v>-15.412978401765692</c:v>
                </c:pt>
                <c:pt idx="341">
                  <c:v>-15.453637736884005</c:v>
                </c:pt>
                <c:pt idx="342">
                  <c:v>-15.494037847935827</c:v>
                </c:pt>
                <c:pt idx="343">
                  <c:v>-15.534182333733316</c:v>
                </c:pt>
                <c:pt idx="344">
                  <c:v>-15.574074725039061</c:v>
                </c:pt>
                <c:pt idx="345">
                  <c:v>-15.61458024738446</c:v>
                </c:pt>
                <c:pt idx="346">
                  <c:v>-15.654829803021846</c:v>
                </c:pt>
                <c:pt idx="347">
                  <c:v>-15.694826948374224</c:v>
                </c:pt>
                <c:pt idx="348">
                  <c:v>-15.734575172138189</c:v>
                </c:pt>
                <c:pt idx="349">
                  <c:v>-15.775038339424192</c:v>
                </c:pt>
                <c:pt idx="350">
                  <c:v>-15.815247494418028</c:v>
                </c:pt>
                <c:pt idx="351">
                  <c:v>-15.855206176179667</c:v>
                </c:pt>
                <c:pt idx="352">
                  <c:v>-15.894917855731794</c:v>
                </c:pt>
                <c:pt idx="353">
                  <c:v>-15.935322712411551</c:v>
                </c:pt>
                <c:pt idx="354">
                  <c:v>-15.975475816166425</c:v>
                </c:pt>
                <c:pt idx="355">
                  <c:v>-16.015380680262147</c:v>
                </c:pt>
                <c:pt idx="356">
                  <c:v>-16.055040749831473</c:v>
                </c:pt>
                <c:pt idx="357">
                  <c:v>-16.095316157659941</c:v>
                </c:pt>
                <c:pt idx="358">
                  <c:v>-16.135343041937141</c:v>
                </c:pt>
                <c:pt idx="359">
                  <c:v>-16.17512486768695</c:v>
                </c:pt>
                <c:pt idx="360">
                  <c:v>-16.214665032294821</c:v>
                </c:pt>
                <c:pt idx="361">
                  <c:v>-16.254914343148474</c:v>
                </c:pt>
                <c:pt idx="362">
                  <c:v>-16.294917166629965</c:v>
                </c:pt>
                <c:pt idx="363">
                  <c:v>-16.334676942116129</c:v>
                </c:pt>
                <c:pt idx="364">
                  <c:v>-16.374197041270055</c:v>
                </c:pt>
                <c:pt idx="365">
                  <c:v>-16.414351081595889</c:v>
                </c:pt>
                <c:pt idx="366">
                  <c:v>-16.454261589882908</c:v>
                </c:pt>
                <c:pt idx="367">
                  <c:v>-16.493931958396601</c:v>
                </c:pt>
                <c:pt idx="368">
                  <c:v>-16.533365512195616</c:v>
                </c:pt>
                <c:pt idx="369">
                  <c:v>-16.573521307658115</c:v>
                </c:pt>
                <c:pt idx="370">
                  <c:v>-16.613435418748118</c:v>
                </c:pt>
                <c:pt idx="371">
                  <c:v>-16.653111211364362</c:v>
                </c:pt>
                <c:pt idx="372">
                  <c:v>-16.692551984185272</c:v>
                </c:pt>
                <c:pt idx="373">
                  <c:v>-16.732642345364546</c:v>
                </c:pt>
                <c:pt idx="374">
                  <c:v>-16.772493737298117</c:v>
                </c:pt>
                <c:pt idx="375">
                  <c:v>-16.81210947915271</c:v>
                </c:pt>
                <c:pt idx="376">
                  <c:v>-16.851492823432128</c:v>
                </c:pt>
                <c:pt idx="377">
                  <c:v>-16.891608978359699</c:v>
                </c:pt>
                <c:pt idx="378">
                  <c:v>-16.931487846531798</c:v>
                </c:pt>
                <c:pt idx="379">
                  <c:v>-16.971132719532342</c:v>
                </c:pt>
                <c:pt idx="380">
                  <c:v>-17.010546822364162</c:v>
                </c:pt>
                <c:pt idx="381">
                  <c:v>-17.050574090097101</c:v>
                </c:pt>
                <c:pt idx="382">
                  <c:v>-17.090367146413328</c:v>
                </c:pt>
                <c:pt idx="383">
                  <c:v>-17.129929224243146</c:v>
                </c:pt>
                <c:pt idx="384">
                  <c:v>-17.169263490894654</c:v>
                </c:pt>
                <c:pt idx="385">
                  <c:v>-17.20933948033441</c:v>
                </c:pt>
                <c:pt idx="386">
                  <c:v>-17.249182757478234</c:v>
                </c:pt>
                <c:pt idx="387">
                  <c:v>-17.288796527010891</c:v>
                </c:pt>
                <c:pt idx="388">
                  <c:v>-17.328183928180096</c:v>
                </c:pt>
                <c:pt idx="389">
                  <c:v>-17.368245216459382</c:v>
                </c:pt>
                <c:pt idx="390">
                  <c:v>-17.408076058552354</c:v>
                </c:pt>
                <c:pt idx="391">
                  <c:v>-17.447679613038144</c:v>
                </c:pt>
                <c:pt idx="392">
                  <c:v>-17.487058973777433</c:v>
                </c:pt>
                <c:pt idx="393">
                  <c:v>-17.527094094788907</c:v>
                </c:pt>
                <c:pt idx="394">
                  <c:v>-17.566901180144111</c:v>
                </c:pt>
                <c:pt idx="395">
                  <c:v>-17.606483337499938</c:v>
                </c:pt>
                <c:pt idx="396">
                  <c:v>-17.645843610700293</c:v>
                </c:pt>
                <c:pt idx="397">
                  <c:v>-17.685932537253258</c:v>
                </c:pt>
                <c:pt idx="398">
                  <c:v>-17.725794941469832</c:v>
                </c:pt>
                <c:pt idx="399">
                  <c:v>-17.765433896603582</c:v>
                </c:pt>
                <c:pt idx="400">
                  <c:v>-17.804852412607289</c:v>
                </c:pt>
                <c:pt idx="401">
                  <c:v>-17.844935849175755</c:v>
                </c:pt>
                <c:pt idx="402">
                  <c:v>-17.88479495236264</c:v>
                </c:pt>
                <c:pt idx="403">
                  <c:v>-17.924432745717446</c:v>
                </c:pt>
                <c:pt idx="404">
                  <c:v>-17.963852190479791</c:v>
                </c:pt>
                <c:pt idx="405">
                  <c:v>-18.003962357156563</c:v>
                </c:pt>
                <c:pt idx="406">
                  <c:v>-18.043850015055646</c:v>
                </c:pt>
                <c:pt idx="407">
                  <c:v>-18.08351814401162</c:v>
                </c:pt>
                <c:pt idx="408">
                  <c:v>-18.122969662438557</c:v>
                </c:pt>
                <c:pt idx="409">
                  <c:v>-18.163136064507025</c:v>
                </c:pt>
                <c:pt idx="410">
                  <c:v>-18.203081452077679</c:v>
                </c:pt>
                <c:pt idx="411">
                  <c:v>-18.24280876666549</c:v>
                </c:pt>
                <c:pt idx="412">
                  <c:v>-18.282320889169938</c:v>
                </c:pt>
                <c:pt idx="413">
                  <c:v>-18.322529203556314</c:v>
                </c:pt>
                <c:pt idx="414">
                  <c:v>-18.362518147411954</c:v>
                </c:pt>
                <c:pt idx="415">
                  <c:v>-18.402290619947507</c:v>
                </c:pt>
                <c:pt idx="416">
                  <c:v>-18.441849460736343</c:v>
                </c:pt>
                <c:pt idx="417">
                  <c:v>-18.482126950088087</c:v>
                </c:pt>
                <c:pt idx="418">
                  <c:v>-18.522186404487389</c:v>
                </c:pt>
                <c:pt idx="419">
                  <c:v>-18.562030686154984</c:v>
                </c:pt>
                <c:pt idx="420">
                  <c:v>-18.601662598571302</c:v>
                </c:pt>
                <c:pt idx="421">
                  <c:v>-18.641955063080047</c:v>
                </c:pt>
                <c:pt idx="422">
                  <c:v>-18.682031395359743</c:v>
                </c:pt>
                <c:pt idx="423">
                  <c:v>-18.721894409032181</c:v>
                </c:pt>
                <c:pt idx="424">
                  <c:v>-18.761546860254434</c:v>
                </c:pt>
                <c:pt idx="425">
                  <c:v>-18.801959436964466</c:v>
                </c:pt>
                <c:pt idx="426">
                  <c:v>-18.842156641234801</c:v>
                </c:pt>
                <c:pt idx="427">
                  <c:v>-18.882141260043589</c:v>
                </c:pt>
                <c:pt idx="428">
                  <c:v>-18.921916023644872</c:v>
                </c:pt>
                <c:pt idx="429">
                  <c:v>-18.962393405702208</c:v>
                </c:pt>
                <c:pt idx="430">
                  <c:v>-19.002656750572978</c:v>
                </c:pt>
                <c:pt idx="431">
                  <c:v>-19.042708807329188</c:v>
                </c:pt>
                <c:pt idx="432">
                  <c:v>-19.08255226942358</c:v>
                </c:pt>
                <c:pt idx="433">
                  <c:v>-19.12308066307088</c:v>
                </c:pt>
                <c:pt idx="434">
                  <c:v>-19.163396479072855</c:v>
                </c:pt>
                <c:pt idx="435">
                  <c:v>-19.20350242644275</c:v>
                </c:pt>
                <c:pt idx="436">
                  <c:v>-19.243401159791077</c:v>
                </c:pt>
                <c:pt idx="437">
                  <c:v>-19.284040502754166</c:v>
                </c:pt>
                <c:pt idx="438">
                  <c:v>-19.324468082902825</c:v>
                </c:pt>
                <c:pt idx="439">
                  <c:v>-19.364686581888392</c:v>
                </c:pt>
                <c:pt idx="440">
                  <c:v>-19.404698627888088</c:v>
                </c:pt>
                <c:pt idx="441">
                  <c:v>-19.44543264726849</c:v>
                </c:pt>
                <c:pt idx="442">
                  <c:v>-19.485955876418885</c:v>
                </c:pt>
                <c:pt idx="443">
                  <c:v>-19.526270967218561</c:v>
                </c:pt>
                <c:pt idx="444">
                  <c:v>-19.56638051911289</c:v>
                </c:pt>
                <c:pt idx="445">
                  <c:v>-19.607194086777703</c:v>
                </c:pt>
                <c:pt idx="446">
                  <c:v>-19.647797980308013</c:v>
                </c:pt>
                <c:pt idx="447">
                  <c:v>-19.688194819956969</c:v>
                </c:pt>
                <c:pt idx="448">
                  <c:v>-19.728387174673163</c:v>
                </c:pt>
                <c:pt idx="449">
                  <c:v>-19.769334598242786</c:v>
                </c:pt>
                <c:pt idx="450">
                  <c:v>-19.810072899914807</c:v>
                </c:pt>
                <c:pt idx="451">
                  <c:v>-19.850604679860755</c:v>
                </c:pt>
                <c:pt idx="452">
                  <c:v>-19.890932487812766</c:v>
                </c:pt>
                <c:pt idx="453">
                  <c:v>-19.931963136341398</c:v>
                </c:pt>
                <c:pt idx="454">
                  <c:v>-19.972785728828935</c:v>
                </c:pt>
                <c:pt idx="455">
                  <c:v>-20.013402837005358</c:v>
                </c:pt>
                <c:pt idx="456">
                  <c:v>-20.053816983271453</c:v>
                </c:pt>
                <c:pt idx="457">
                  <c:v>-20.094982560600435</c:v>
                </c:pt>
                <c:pt idx="458">
                  <c:v>-20.135940625709566</c:v>
                </c:pt>
                <c:pt idx="459">
                  <c:v>-20.176693732901096</c:v>
                </c:pt>
                <c:pt idx="460">
                  <c:v>-20.217244388000005</c:v>
                </c:pt>
                <c:pt idx="461">
                  <c:v>-20.25852808429773</c:v>
                </c:pt>
                <c:pt idx="462">
                  <c:v>-20.299604991190719</c:v>
                </c:pt>
                <c:pt idx="463">
                  <c:v>-20.340477643735547</c:v>
                </c:pt>
                <c:pt idx="464">
                  <c:v>-20.381148529426397</c:v>
                </c:pt>
                <c:pt idx="465">
                  <c:v>-20.4225662705514</c:v>
                </c:pt>
                <c:pt idx="466">
                  <c:v>-20.463777801083541</c:v>
                </c:pt>
                <c:pt idx="467">
                  <c:v>-20.504785641082446</c:v>
                </c:pt>
                <c:pt idx="468">
                  <c:v>-20.545592263863885</c:v>
                </c:pt>
                <c:pt idx="469">
                  <c:v>-20.587127738209539</c:v>
                </c:pt>
                <c:pt idx="470">
                  <c:v>-20.628457764447528</c:v>
                </c:pt>
                <c:pt idx="471">
                  <c:v>-20.669584845995455</c:v>
                </c:pt>
                <c:pt idx="472">
                  <c:v>-20.710511440388188</c:v>
                </c:pt>
                <c:pt idx="473">
                  <c:v>-20.752210179961374</c:v>
                </c:pt>
                <c:pt idx="474">
                  <c:v>-20.793703814543932</c:v>
                </c:pt>
                <c:pt idx="475">
                  <c:v>-20.834994840334456</c:v>
                </c:pt>
                <c:pt idx="476">
                  <c:v>-20.876085708276296</c:v>
                </c:pt>
                <c:pt idx="477">
                  <c:v>-20.917930259766251</c:v>
                </c:pt>
                <c:pt idx="478">
                  <c:v>-20.95957026076394</c:v>
                </c:pt>
                <c:pt idx="479">
                  <c:v>-21.001008198230309</c:v>
                </c:pt>
                <c:pt idx="480">
                  <c:v>-21.042246514537478</c:v>
                </c:pt>
                <c:pt idx="481">
                  <c:v>-21.084220738014842</c:v>
                </c:pt>
                <c:pt idx="482">
                  <c:v>-21.125991167462004</c:v>
                </c:pt>
                <c:pt idx="483">
                  <c:v>-21.167560278795566</c:v>
                </c:pt>
                <c:pt idx="484">
                  <c:v>-21.208930504033798</c:v>
                </c:pt>
                <c:pt idx="485">
                  <c:v>-21.251048134355898</c:v>
                </c:pt>
                <c:pt idx="486">
                  <c:v>-21.292962645379241</c:v>
                </c:pt>
                <c:pt idx="487">
                  <c:v>-21.334676505325163</c:v>
                </c:pt>
                <c:pt idx="488">
                  <c:v>-21.376192139102702</c:v>
                </c:pt>
                <c:pt idx="489">
                  <c:v>-21.418494034355998</c:v>
                </c:pt>
                <c:pt idx="490">
                  <c:v>-21.460593154991709</c:v>
                </c:pt>
                <c:pt idx="491">
                  <c:v>-21.502491969382199</c:v>
                </c:pt>
                <c:pt idx="492">
                  <c:v>-21.544192902960859</c:v>
                </c:pt>
                <c:pt idx="493">
                  <c:v>-21.586661915008193</c:v>
                </c:pt>
                <c:pt idx="494">
                  <c:v>-21.62892873448007</c:v>
                </c:pt>
                <c:pt idx="495">
                  <c:v>-21.670995827391781</c:v>
                </c:pt>
                <c:pt idx="496">
                  <c:v>-21.712865617216334</c:v>
                </c:pt>
                <c:pt idx="497">
                  <c:v>-21.75551302253951</c:v>
                </c:pt>
                <c:pt idx="498">
                  <c:v>-21.797958790015862</c:v>
                </c:pt>
                <c:pt idx="499">
                  <c:v>-21.84020538554438</c:v>
                </c:pt>
                <c:pt idx="500">
                  <c:v>-21.882255232786672</c:v>
                </c:pt>
                <c:pt idx="501">
                  <c:v>-21.925091668230515</c:v>
                </c:pt>
                <c:pt idx="502">
                  <c:v>-21.967727009012265</c:v>
                </c:pt>
                <c:pt idx="503">
                  <c:v>-22.01016372278875</c:v>
                </c:pt>
                <c:pt idx="504">
                  <c:v>-22.052404235196811</c:v>
                </c:pt>
                <c:pt idx="505">
                  <c:v>-22.095413765765798</c:v>
                </c:pt>
                <c:pt idx="506">
                  <c:v>-22.138222989294555</c:v>
                </c:pt>
                <c:pt idx="507">
                  <c:v>-22.180834372256161</c:v>
                </c:pt>
                <c:pt idx="508">
                  <c:v>-22.223250339338676</c:v>
                </c:pt>
                <c:pt idx="509">
                  <c:v>-22.266444014425957</c:v>
                </c:pt>
                <c:pt idx="510">
                  <c:v>-22.30943816764843</c:v>
                </c:pt>
                <c:pt idx="511">
                  <c:v>-22.352235265738486</c:v>
                </c:pt>
                <c:pt idx="512">
                  <c:v>-22.394837733793128</c:v>
                </c:pt>
                <c:pt idx="513">
                  <c:v>-22.438251219622948</c:v>
                </c:pt>
                <c:pt idx="514">
                  <c:v>-22.481465749979183</c:v>
                </c:pt>
                <c:pt idx="515">
                  <c:v>-22.52448379717627</c:v>
                </c:pt>
                <c:pt idx="516">
                  <c:v>-22.567307791868402</c:v>
                </c:pt>
                <c:pt idx="517">
                  <c:v>-22.610925302811697</c:v>
                </c:pt>
                <c:pt idx="518">
                  <c:v>-22.654344686575449</c:v>
                </c:pt>
                <c:pt idx="519">
                  <c:v>-22.69756841731029</c:v>
                </c:pt>
                <c:pt idx="520">
                  <c:v>-22.740598927508664</c:v>
                </c:pt>
                <c:pt idx="521">
                  <c:v>-22.784430378933362</c:v>
                </c:pt>
                <c:pt idx="522">
                  <c:v>-22.828064562023439</c:v>
                </c:pt>
                <c:pt idx="523">
                  <c:v>-22.871503953110658</c:v>
                </c:pt>
                <c:pt idx="524">
                  <c:v>-22.914750986804187</c:v>
                </c:pt>
                <c:pt idx="525">
                  <c:v>-22.958806037711717</c:v>
                </c:pt>
                <c:pt idx="526">
                  <c:v>-23.002664717905489</c:v>
                </c:pt>
                <c:pt idx="527">
                  <c:v>-23.046329505892039</c:v>
                </c:pt>
                <c:pt idx="528">
                  <c:v>-23.08980283833144</c:v>
                </c:pt>
                <c:pt idx="529">
                  <c:v>-23.134090948542148</c:v>
                </c:pt>
                <c:pt idx="530">
                  <c:v>-23.178183631185625</c:v>
                </c:pt>
                <c:pt idx="531">
                  <c:v>-23.222083366597019</c:v>
                </c:pt>
                <c:pt idx="532">
                  <c:v>-23.265792593089159</c:v>
                </c:pt>
                <c:pt idx="533">
                  <c:v>-23.310346013090573</c:v>
                </c:pt>
                <c:pt idx="534">
                  <c:v>-23.354704799948628</c:v>
                </c:pt>
                <c:pt idx="535">
                  <c:v>-23.398871438966967</c:v>
                </c:pt>
                <c:pt idx="536">
                  <c:v>-23.442848373120313</c:v>
                </c:pt>
                <c:pt idx="537">
                  <c:v>-23.487630039812007</c:v>
                </c:pt>
                <c:pt idx="538">
                  <c:v>-23.532218326468502</c:v>
                </c:pt>
                <c:pt idx="539">
                  <c:v>-23.576615714667469</c:v>
                </c:pt>
                <c:pt idx="540">
                  <c:v>-23.620824643489293</c:v>
                </c:pt>
                <c:pt idx="541">
                  <c:v>-23.665889204160329</c:v>
                </c:pt>
                <c:pt idx="542">
                  <c:v>-23.710761301708526</c:v>
                </c:pt>
                <c:pt idx="543">
                  <c:v>-23.755443420249144</c:v>
                </c:pt>
                <c:pt idx="544">
                  <c:v>-23.799938001031826</c:v>
                </c:pt>
                <c:pt idx="545">
                  <c:v>-23.845271657556779</c:v>
                </c:pt>
                <c:pt idx="546">
                  <c:v>-23.890414024339869</c:v>
                </c:pt>
                <c:pt idx="547">
                  <c:v>-23.935367582675248</c:v>
                </c:pt>
                <c:pt idx="548">
                  <c:v>-23.980134770690196</c:v>
                </c:pt>
                <c:pt idx="549">
                  <c:v>-24.025746652801487</c:v>
                </c:pt>
                <c:pt idx="550">
                  <c:v>-24.071168475522047</c:v>
                </c:pt>
                <c:pt idx="551">
                  <c:v>-24.116402715528103</c:v>
                </c:pt>
                <c:pt idx="552">
                  <c:v>-24.161451806016757</c:v>
                </c:pt>
                <c:pt idx="553">
                  <c:v>-24.207372130435722</c:v>
                </c:pt>
                <c:pt idx="554">
                  <c:v>-24.253103508263596</c:v>
                </c:pt>
                <c:pt idx="555">
                  <c:v>-24.298648412917419</c:v>
                </c:pt>
                <c:pt idx="556">
                  <c:v>-24.344009273940735</c:v>
                </c:pt>
                <c:pt idx="557">
                  <c:v>-24.436295314681459</c:v>
                </c:pt>
                <c:pt idx="558">
                  <c:v>-24.527840112610658</c:v>
                </c:pt>
                <c:pt idx="559">
                  <c:v>-24.620736347183801</c:v>
                </c:pt>
                <c:pt idx="560">
                  <c:v>-24.712896905728098</c:v>
                </c:pt>
                <c:pt idx="561">
                  <c:v>-24.806501943544085</c:v>
                </c:pt>
                <c:pt idx="562">
                  <c:v>-24.899375788523894</c:v>
                </c:pt>
                <c:pt idx="563">
                  <c:v>-24.993507543368771</c:v>
                </c:pt>
                <c:pt idx="564">
                  <c:v>-25.086915824867269</c:v>
                </c:pt>
                <c:pt idx="565">
                  <c:v>-25.181947596386941</c:v>
                </c:pt>
                <c:pt idx="566">
                  <c:v>-25.276258310307547</c:v>
                </c:pt>
                <c:pt idx="567">
                  <c:v>-25.372159945504173</c:v>
                </c:pt>
                <c:pt idx="568">
                  <c:v>-25.467343865139632</c:v>
                </c:pt>
                <c:pt idx="569">
                  <c:v>-25.563711510081085</c:v>
                </c:pt>
                <c:pt idx="570">
                  <c:v>-25.659371081807887</c:v>
                </c:pt>
                <c:pt idx="571">
                  <c:v>-25.756938446785465</c:v>
                </c:pt>
                <c:pt idx="572">
                  <c:v>-25.853796949300097</c:v>
                </c:pt>
                <c:pt idx="573">
                  <c:v>-25.951793707935312</c:v>
                </c:pt>
                <c:pt idx="574">
                  <c:v>-26.049092204537594</c:v>
                </c:pt>
                <c:pt idx="575">
                  <c:v>-26.148234533381469</c:v>
                </c:pt>
                <c:pt idx="576">
                  <c:v>-26.246679192218451</c:v>
                </c:pt>
                <c:pt idx="577">
                  <c:v>-26.656123600615011</c:v>
                </c:pt>
                <c:pt idx="578">
                  <c:v>-27.054598459517166</c:v>
                </c:pt>
                <c:pt idx="579">
                  <c:v>-27.89430563094443</c:v>
                </c:pt>
                <c:pt idx="580">
                  <c:v>-28.770866784147294</c:v>
                </c:pt>
                <c:pt idx="581">
                  <c:v>-29.68642063194072</c:v>
                </c:pt>
                <c:pt idx="582">
                  <c:v>-30.644439883638135</c:v>
                </c:pt>
                <c:pt idx="583">
                  <c:v>-31.646468262979109</c:v>
                </c:pt>
                <c:pt idx="584">
                  <c:v>-32.694779400507727</c:v>
                </c:pt>
                <c:pt idx="585">
                  <c:v>-33.789504143364567</c:v>
                </c:pt>
                <c:pt idx="586">
                  <c:v>-34.930691654478991</c:v>
                </c:pt>
                <c:pt idx="587">
                  <c:v>-36.118104508538671</c:v>
                </c:pt>
                <c:pt idx="588">
                  <c:v>-37.349021672574345</c:v>
                </c:pt>
                <c:pt idx="589">
                  <c:v>-38.622229825431369</c:v>
                </c:pt>
                <c:pt idx="590">
                  <c:v>-39.934594199447702</c:v>
                </c:pt>
                <c:pt idx="591">
                  <c:v>-41.283220263172737</c:v>
                </c:pt>
                <c:pt idx="592">
                  <c:v>-42.66471594271102</c:v>
                </c:pt>
                <c:pt idx="593">
                  <c:v>-44.076219133932312</c:v>
                </c:pt>
                <c:pt idx="594">
                  <c:v>-45.514127105140361</c:v>
                </c:pt>
                <c:pt idx="595">
                  <c:v>-46.975624796779094</c:v>
                </c:pt>
                <c:pt idx="596">
                  <c:v>-48.457500831087245</c:v>
                </c:pt>
                <c:pt idx="597">
                  <c:v>-49.957387470215309</c:v>
                </c:pt>
                <c:pt idx="598">
                  <c:v>-51.472479848131847</c:v>
                </c:pt>
                <c:pt idx="599">
                  <c:v>-53.000987344339336</c:v>
                </c:pt>
                <c:pt idx="600">
                  <c:v>-54.540751997107265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08-48B6-A860-793AEC41F97D}"/>
            </c:ext>
          </c:extLst>
        </c:ser>
        <c:ser>
          <c:idx val="6"/>
          <c:order val="2"/>
          <c:tx>
            <c:v>FZCOMP</c:v>
          </c:tx>
          <c:spPr>
            <a:ln w="28575">
              <a:noFill/>
            </a:ln>
          </c:spPr>
          <c:marker>
            <c:symbol val="circle"/>
            <c:size val="8"/>
            <c:spPr>
              <a:noFill/>
              <a:ln w="19050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1.771840147036232E-2"/>
                  <c:y val="-3.791727068562853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</a:t>
                    </a:r>
                    <a:r>
                      <a:rPr lang="en-US" baseline="-25000"/>
                      <a:t>ZCOMP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zh-TW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Calculations'!$C$635</c:f>
              <c:numCache>
                <c:formatCode>0.00</c:formatCode>
                <c:ptCount val="1"/>
                <c:pt idx="0">
                  <c:v>1210.3957964389413</c:v>
                </c:pt>
              </c:numCache>
            </c:numRef>
          </c:xVal>
          <c:yVal>
            <c:numRef>
              <c:f>'Stability Calculations'!$D$635</c:f>
              <c:numCache>
                <c:formatCode>0.00</c:formatCode>
                <c:ptCount val="1"/>
                <c:pt idx="0">
                  <c:v>11.856301579851252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108-48B6-A860-793AEC41F97D}"/>
            </c:ext>
          </c:extLst>
        </c:ser>
        <c:ser>
          <c:idx val="8"/>
          <c:order val="3"/>
          <c:tx>
            <c:v>FpEA</c:v>
          </c:tx>
          <c:spPr>
            <a:ln w="28575">
              <a:noFill/>
            </a:ln>
          </c:spPr>
          <c:marker>
            <c:symbol val="x"/>
            <c:size val="8"/>
            <c:spPr>
              <a:noFill/>
              <a:ln w="22225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9316756823388307E-3"/>
                  <c:y val="-1.5965166604475167E-2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rgbClr val="0000FF"/>
                        </a:solidFill>
                      </a:rPr>
                      <a:t>F</a:t>
                    </a:r>
                    <a:r>
                      <a:rPr lang="en-US" baseline="-25000">
                        <a:solidFill>
                          <a:srgbClr val="0000FF"/>
                        </a:solidFill>
                      </a:rPr>
                      <a:t>PEA</a:t>
                    </a:r>
                    <a:endParaRPr lang="en-US" baseline="-25000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zh-TW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Calculations'!$C$5</c:f>
              <c:numCache>
                <c:formatCode>0.0</c:formatCode>
                <c:ptCount val="1"/>
                <c:pt idx="0">
                  <c:v>0.29465962681375302</c:v>
                </c:pt>
              </c:numCache>
            </c:numRef>
          </c:xVal>
          <c:yVal>
            <c:numRef>
              <c:f>'Stability Calculations'!$Q$624</c:f>
              <c:numCache>
                <c:formatCode>0.00</c:formatCode>
                <c:ptCount val="1"/>
                <c:pt idx="0">
                  <c:v>83.579995808175411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108-48B6-A860-793AEC41F97D}"/>
            </c:ext>
          </c:extLst>
        </c:ser>
        <c:ser>
          <c:idx val="9"/>
          <c:order val="4"/>
          <c:tx>
            <c:v>FpLOAD</c:v>
          </c:tx>
          <c:spPr>
            <a:ln w="28575">
              <a:solidFill>
                <a:schemeClr val="tx1"/>
              </a:solidFill>
            </a:ln>
          </c:spPr>
          <c:marker>
            <c:symbol val="x"/>
            <c:size val="8"/>
            <c:spPr>
              <a:noFill/>
              <a:ln w="22225">
                <a:solidFill>
                  <a:schemeClr val="tx1"/>
                </a:solidFill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tx1"/>
                        </a:solidFill>
                      </a:rPr>
                      <a:t>F</a:t>
                    </a:r>
                    <a:r>
                      <a:rPr lang="en-US" baseline="-25000">
                        <a:solidFill>
                          <a:schemeClr val="tx1"/>
                        </a:solidFill>
                      </a:rPr>
                      <a:t>PLOAD</a:t>
                    </a:r>
                  </a:p>
                </c:rich>
              </c:tx>
              <c:dLblPos val="t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zh-TW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Calculations'!$K$4</c:f>
              <c:numCache>
                <c:formatCode>0</c:formatCode>
                <c:ptCount val="1"/>
                <c:pt idx="0">
                  <c:v>761.06805460157761</c:v>
                </c:pt>
              </c:numCache>
            </c:numRef>
          </c:xVal>
          <c:yVal>
            <c:numRef>
              <c:f>'Stability Calculations'!$D$632</c:f>
              <c:numCache>
                <c:formatCode>0.00</c:formatCode>
                <c:ptCount val="1"/>
                <c:pt idx="0">
                  <c:v>16.786691203081283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108-48B6-A860-793AEC41F97D}"/>
            </c:ext>
          </c:extLst>
        </c:ser>
        <c:ser>
          <c:idx val="4"/>
          <c:order val="6"/>
          <c:tx>
            <c:v>FZESR</c:v>
          </c:tx>
          <c:spPr>
            <a:ln w="28575">
              <a:noFill/>
            </a:ln>
          </c:spPr>
          <c:marker>
            <c:symbol val="circle"/>
            <c:size val="8"/>
            <c:spPr>
              <a:noFill/>
              <a:ln w="19050"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9306499421109475E-2"/>
                  <c:y val="3.9912923770191157E-2"/>
                </c:manualLayout>
              </c:layout>
              <c:tx>
                <c:rich>
                  <a:bodyPr/>
                  <a:lstStyle/>
                  <a:p>
                    <a:r>
                      <a:rPr lang="en-US" b="1"/>
                      <a:t>F</a:t>
                    </a:r>
                    <a:r>
                      <a:rPr lang="en-US" b="1" baseline="-25000"/>
                      <a:t>ZESR</a:t>
                    </a:r>
                    <a:endParaRPr lang="en-US" baseline="-25000"/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108-48B6-A860-793AEC41F97D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zh-TW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Calculations'!$A$623</c:f>
              <c:numCache>
                <c:formatCode>0</c:formatCode>
                <c:ptCount val="1"/>
                <c:pt idx="0">
                  <c:v>26793.761493898379</c:v>
                </c:pt>
              </c:numCache>
            </c:numRef>
          </c:xVal>
          <c:yVal>
            <c:numRef>
              <c:f>'Stability Calculations'!$Q$623</c:f>
              <c:numCache>
                <c:formatCode>0.00</c:formatCode>
                <c:ptCount val="1"/>
                <c:pt idx="0">
                  <c:v>-15.219897133178314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77280"/>
        <c:axId val="139720192"/>
      </c:scatterChart>
      <c:scatterChart>
        <c:scatterStyle val="lineMarker"/>
        <c:varyColors val="0"/>
        <c:ser>
          <c:idx val="10"/>
          <c:order val="5"/>
          <c:tx>
            <c:v>FPCOMP</c:v>
          </c:tx>
          <c:spPr>
            <a:ln>
              <a:solidFill>
                <a:schemeClr val="tx1"/>
              </a:solidFill>
            </a:ln>
          </c:spPr>
          <c:marker>
            <c:symbol val="x"/>
            <c:size val="8"/>
            <c:spPr>
              <a:noFill/>
              <a:ln w="22225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5.8718924670594424E-3"/>
                  <c:y val="-8.0265817928798291E-3"/>
                </c:manualLayout>
              </c:layout>
              <c:tx>
                <c:rich>
                  <a:bodyPr/>
                  <a:lstStyle/>
                  <a:p>
                    <a:r>
                      <a:rPr lang="en-US">
                        <a:solidFill>
                          <a:srgbClr val="0000FF"/>
                        </a:solidFill>
                        <a:latin typeface="Arial" pitchFamily="34" charset="0"/>
                        <a:cs typeface="Arial" pitchFamily="34" charset="0"/>
                      </a:rPr>
                      <a:t>F</a:t>
                    </a:r>
                    <a:r>
                      <a:rPr lang="en-US" baseline="-25000">
                        <a:solidFill>
                          <a:srgbClr val="0000FF"/>
                        </a:solidFill>
                        <a:latin typeface="Arial" pitchFamily="34" charset="0"/>
                        <a:cs typeface="Arial" pitchFamily="34" charset="0"/>
                      </a:rPr>
                      <a:t>PCOMP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108-48B6-A860-793AEC41F97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Calculations'!$A$627</c:f>
              <c:numCache>
                <c:formatCode>0</c:formatCode>
                <c:ptCount val="1"/>
                <c:pt idx="0">
                  <c:v>38663.204730653437</c:v>
                </c:pt>
              </c:numCache>
            </c:numRef>
          </c:xVal>
          <c:yVal>
            <c:numRef>
              <c:f>'Stability Calculations'!$Q$627</c:f>
              <c:numCache>
                <c:formatCode>0.00</c:formatCode>
                <c:ptCount val="1"/>
                <c:pt idx="0">
                  <c:v>-17.761811136775929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108-48B6-A860-793AEC41F97D}"/>
            </c:ext>
          </c:extLst>
        </c:ser>
        <c:ser>
          <c:idx val="11"/>
          <c:order val="9"/>
          <c:tx>
            <c:v>FzRHP</c:v>
          </c:tx>
          <c:spPr>
            <a:ln>
              <a:solidFill>
                <a:srgbClr val="FF00FF"/>
              </a:solidFill>
            </a:ln>
          </c:spPr>
          <c:marker>
            <c:symbol val="circle"/>
            <c:size val="8"/>
            <c:spPr>
              <a:noFill/>
              <a:ln w="19050">
                <a:solidFill>
                  <a:srgbClr val="FF00FF"/>
                </a:solidFill>
              </a:ln>
            </c:spPr>
          </c:marker>
          <c:dLbls>
            <c:dLbl>
              <c:idx val="0"/>
              <c:layout>
                <c:manualLayout>
                  <c:x val="-2.3423587921912771E-2"/>
                  <c:y val="2.917186362268608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F</a:t>
                    </a:r>
                    <a:r>
                      <a:rPr lang="en-US" baseline="-25000"/>
                      <a:t>ZRHP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108-48B6-A860-793AEC41F97D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'Stability Calculations'!$A$628</c:f>
              <c:numCache>
                <c:formatCode>0</c:formatCode>
                <c:ptCount val="1"/>
                <c:pt idx="0">
                  <c:v>100591.86030319271</c:v>
                </c:pt>
              </c:numCache>
            </c:numRef>
          </c:xVal>
          <c:yVal>
            <c:numRef>
              <c:f>'Stability Calculations'!$D$637</c:f>
              <c:numCache>
                <c:formatCode>0.00</c:formatCode>
                <c:ptCount val="1"/>
                <c:pt idx="0">
                  <c:v>-24.760544090271196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77280"/>
        <c:axId val="139720192"/>
      </c:scatterChart>
      <c:scatterChart>
        <c:scatterStyle val="lineMarker"/>
        <c:varyColors val="0"/>
        <c:ser>
          <c:idx val="3"/>
          <c:order val="1"/>
          <c:tx>
            <c:v>Loop Phase</c:v>
          </c:tx>
          <c:spPr>
            <a:ln w="34925">
              <a:solidFill>
                <a:srgbClr val="002060"/>
              </a:solidFill>
              <a:prstDash val="sysDash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Calculations'!$R$13:$R$613</c:f>
              <c:numCache>
                <c:formatCode>0.00</c:formatCode>
                <c:ptCount val="601"/>
                <c:pt idx="0">
                  <c:v>-73.610393476542058</c:v>
                </c:pt>
                <c:pt idx="1">
                  <c:v>-74.989666947669434</c:v>
                </c:pt>
                <c:pt idx="2">
                  <c:v>-76.263655860047237</c:v>
                </c:pt>
                <c:pt idx="3">
                  <c:v>-77.43821998227628</c:v>
                </c:pt>
                <c:pt idx="4">
                  <c:v>-78.518765005423717</c:v>
                </c:pt>
                <c:pt idx="5">
                  <c:v>-79.513182554317581</c:v>
                </c:pt>
                <c:pt idx="6">
                  <c:v>-80.426059476801143</c:v>
                </c:pt>
                <c:pt idx="7">
                  <c:v>-81.263939399533896</c:v>
                </c:pt>
                <c:pt idx="8">
                  <c:v>-82.031932180346161</c:v>
                </c:pt>
                <c:pt idx="9">
                  <c:v>-82.736069591102748</c:v>
                </c:pt>
                <c:pt idx="10">
                  <c:v>-83.381082671267947</c:v>
                </c:pt>
                <c:pt idx="11">
                  <c:v>-83.971929383324181</c:v>
                </c:pt>
                <c:pt idx="12">
                  <c:v>-84.513423738002004</c:v>
                </c:pt>
                <c:pt idx="13">
                  <c:v>-85.009272032912477</c:v>
                </c:pt>
                <c:pt idx="14">
                  <c:v>-85.463810687269259</c:v>
                </c:pt>
                <c:pt idx="15">
                  <c:v>-85.880493289246985</c:v>
                </c:pt>
                <c:pt idx="16">
                  <c:v>-86.262730563404688</c:v>
                </c:pt>
                <c:pt idx="17">
                  <c:v>-86.613593878715136</c:v>
                </c:pt>
                <c:pt idx="18">
                  <c:v>-86.936067701722706</c:v>
                </c:pt>
                <c:pt idx="19">
                  <c:v>-87.232728092639476</c:v>
                </c:pt>
                <c:pt idx="20">
                  <c:v>-87.506098572577116</c:v>
                </c:pt>
                <c:pt idx="21">
                  <c:v>-87.75840264559433</c:v>
                </c:pt>
                <c:pt idx="22">
                  <c:v>-87.991804709418489</c:v>
                </c:pt>
                <c:pt idx="23">
                  <c:v>-88.20820483477398</c:v>
                </c:pt>
                <c:pt idx="24">
                  <c:v>-88.409477439909182</c:v>
                </c:pt>
                <c:pt idx="25">
                  <c:v>-88.597283925901962</c:v>
                </c:pt>
                <c:pt idx="26">
                  <c:v>-88.773248689903369</c:v>
                </c:pt>
                <c:pt idx="27">
                  <c:v>-88.93879960325981</c:v>
                </c:pt>
                <c:pt idx="28">
                  <c:v>-89.095344684380123</c:v>
                </c:pt>
                <c:pt idx="29">
                  <c:v>-89.244118650703271</c:v>
                </c:pt>
                <c:pt idx="30">
                  <c:v>-89.386628373699153</c:v>
                </c:pt>
                <c:pt idx="31">
                  <c:v>-89.523873460408453</c:v>
                </c:pt>
                <c:pt idx="32">
                  <c:v>-89.657108751814889</c:v>
                </c:pt>
                <c:pt idx="33">
                  <c:v>-89.787365435246414</c:v>
                </c:pt>
                <c:pt idx="34">
                  <c:v>-89.915844297016761</c:v>
                </c:pt>
                <c:pt idx="35">
                  <c:v>-90.043555539549587</c:v>
                </c:pt>
                <c:pt idx="36">
                  <c:v>-90.171593470338266</c:v>
                </c:pt>
                <c:pt idx="37">
                  <c:v>-90.30110268081269</c:v>
                </c:pt>
                <c:pt idx="38">
                  <c:v>-90.433043135822473</c:v>
                </c:pt>
                <c:pt idx="39">
                  <c:v>-90.568620716607469</c:v>
                </c:pt>
                <c:pt idx="40">
                  <c:v>-90.70891010675463</c:v>
                </c:pt>
                <c:pt idx="41">
                  <c:v>-90.855079785469343</c:v>
                </c:pt>
                <c:pt idx="42">
                  <c:v>-91.008304514143973</c:v>
                </c:pt>
                <c:pt idx="43">
                  <c:v>-91.16987210974672</c:v>
                </c:pt>
                <c:pt idx="44">
                  <c:v>-91.341035090552879</c:v>
                </c:pt>
                <c:pt idx="45">
                  <c:v>-91.523180551834031</c:v>
                </c:pt>
                <c:pt idx="46">
                  <c:v>-91.71768579811723</c:v>
                </c:pt>
                <c:pt idx="47">
                  <c:v>-91.926071287019084</c:v>
                </c:pt>
                <c:pt idx="48">
                  <c:v>-92.149827371657537</c:v>
                </c:pt>
                <c:pt idx="49">
                  <c:v>-92.390613920979533</c:v>
                </c:pt>
                <c:pt idx="50">
                  <c:v>-92.650052161065986</c:v>
                </c:pt>
                <c:pt idx="51">
                  <c:v>-92.929903894409478</c:v>
                </c:pt>
                <c:pt idx="52">
                  <c:v>-93.231798275788648</c:v>
                </c:pt>
                <c:pt idx="53">
                  <c:v>-93.557445006516687</c:v>
                </c:pt>
                <c:pt idx="54">
                  <c:v>-93.90826319656324</c:v>
                </c:pt>
                <c:pt idx="55">
                  <c:v>-94.286398333816408</c:v>
                </c:pt>
                <c:pt idx="56">
                  <c:v>-94.692701673486624</c:v>
                </c:pt>
                <c:pt idx="57">
                  <c:v>-95.128518419173872</c:v>
                </c:pt>
                <c:pt idx="58">
                  <c:v>-95.59420316125167</c:v>
                </c:pt>
                <c:pt idx="59">
                  <c:v>-96.090233122995784</c:v>
                </c:pt>
                <c:pt idx="60">
                  <c:v>-96.615731996400257</c:v>
                </c:pt>
                <c:pt idx="61">
                  <c:v>-97.169240287686961</c:v>
                </c:pt>
                <c:pt idx="62">
                  <c:v>-97.748400134828756</c:v>
                </c:pt>
                <c:pt idx="63">
                  <c:v>-98.348618772810354</c:v>
                </c:pt>
                <c:pt idx="64">
                  <c:v>-98.964751210914713</c:v>
                </c:pt>
                <c:pt idx="65">
                  <c:v>-99.589197303089847</c:v>
                </c:pt>
                <c:pt idx="66">
                  <c:v>-100.21279765485535</c:v>
                </c:pt>
                <c:pt idx="67">
                  <c:v>-100.82445168944172</c:v>
                </c:pt>
                <c:pt idx="68">
                  <c:v>-101.4117163567077</c:v>
                </c:pt>
                <c:pt idx="69">
                  <c:v>-101.9606069694774</c:v>
                </c:pt>
                <c:pt idx="70">
                  <c:v>-102.45681426222646</c:v>
                </c:pt>
                <c:pt idx="71">
                  <c:v>-102.88603827992613</c:v>
                </c:pt>
                <c:pt idx="72">
                  <c:v>-103.23533660299395</c:v>
                </c:pt>
                <c:pt idx="73">
                  <c:v>-103.49375813827308</c:v>
                </c:pt>
                <c:pt idx="74">
                  <c:v>-103.65358496010387</c:v>
                </c:pt>
                <c:pt idx="75">
                  <c:v>-103.71079258572449</c:v>
                </c:pt>
                <c:pt idx="76">
                  <c:v>-103.66558328832035</c:v>
                </c:pt>
                <c:pt idx="77">
                  <c:v>-103.52240233488459</c:v>
                </c:pt>
                <c:pt idx="78">
                  <c:v>-103.28959001387621</c:v>
                </c:pt>
                <c:pt idx="79">
                  <c:v>-102.97889425443739</c:v>
                </c:pt>
                <c:pt idx="80">
                  <c:v>-102.60357218424309</c:v>
                </c:pt>
                <c:pt idx="81">
                  <c:v>-102.17922740028919</c:v>
                </c:pt>
                <c:pt idx="82">
                  <c:v>-101.72109771367356</c:v>
                </c:pt>
                <c:pt idx="83">
                  <c:v>-101.24457992935338</c:v>
                </c:pt>
                <c:pt idx="84">
                  <c:v>-100.76331180819125</c:v>
                </c:pt>
                <c:pt idx="85">
                  <c:v>-100.29009158578577</c:v>
                </c:pt>
                <c:pt idx="86">
                  <c:v>-99.835698784544675</c:v>
                </c:pt>
                <c:pt idx="87">
                  <c:v>-99.40906561147888</c:v>
                </c:pt>
                <c:pt idx="88">
                  <c:v>-99.018168274462667</c:v>
                </c:pt>
                <c:pt idx="89">
                  <c:v>-98.668862076218161</c:v>
                </c:pt>
                <c:pt idx="90">
                  <c:v>-98.366330628671392</c:v>
                </c:pt>
                <c:pt idx="91">
                  <c:v>-98.114713450980304</c:v>
                </c:pt>
                <c:pt idx="92">
                  <c:v>-97.91762038760281</c:v>
                </c:pt>
                <c:pt idx="93">
                  <c:v>-97.778274492245657</c:v>
                </c:pt>
                <c:pt idx="94">
                  <c:v>-97.752853225866517</c:v>
                </c:pt>
                <c:pt idx="95">
                  <c:v>-97.741520705066819</c:v>
                </c:pt>
                <c:pt idx="96">
                  <c:v>-97.731285142246904</c:v>
                </c:pt>
                <c:pt idx="97">
                  <c:v>-97.721917169633755</c:v>
                </c:pt>
                <c:pt idx="98">
                  <c:v>-97.713636775741591</c:v>
                </c:pt>
                <c:pt idx="99">
                  <c:v>-97.706258127809036</c:v>
                </c:pt>
                <c:pt idx="100">
                  <c:v>-97.699958283203046</c:v>
                </c:pt>
                <c:pt idx="101">
                  <c:v>-97.694600298453125</c:v>
                </c:pt>
                <c:pt idx="102">
                  <c:v>-97.690311335095757</c:v>
                </c:pt>
                <c:pt idx="103">
                  <c:v>-97.686997825081278</c:v>
                </c:pt>
                <c:pt idx="104">
                  <c:v>-97.684745757893978</c:v>
                </c:pt>
                <c:pt idx="105">
                  <c:v>-97.683510576851546</c:v>
                </c:pt>
                <c:pt idx="106">
                  <c:v>-97.683328292085747</c:v>
                </c:pt>
                <c:pt idx="107">
                  <c:v>-97.684201920462698</c:v>
                </c:pt>
                <c:pt idx="108">
                  <c:v>-97.686119088267617</c:v>
                </c:pt>
                <c:pt idx="109">
                  <c:v>-97.689131381224058</c:v>
                </c:pt>
                <c:pt idx="110">
                  <c:v>-97.693178585596002</c:v>
                </c:pt>
                <c:pt idx="111">
                  <c:v>-97.698366034871142</c:v>
                </c:pt>
                <c:pt idx="112">
                  <c:v>-97.704581821664675</c:v>
                </c:pt>
                <c:pt idx="113">
                  <c:v>-97.711978756655796</c:v>
                </c:pt>
                <c:pt idx="114">
                  <c:v>-97.720396718598906</c:v>
                </c:pt>
                <c:pt idx="115">
                  <c:v>-97.730041096306891</c:v>
                </c:pt>
                <c:pt idx="116">
                  <c:v>-97.740699869461608</c:v>
                </c:pt>
                <c:pt idx="117">
                  <c:v>-97.752632220815215</c:v>
                </c:pt>
                <c:pt idx="118">
                  <c:v>-97.765573007206356</c:v>
                </c:pt>
                <c:pt idx="119">
                  <c:v>-97.779827424184802</c:v>
                </c:pt>
                <c:pt idx="120">
                  <c:v>-97.79508378327013</c:v>
                </c:pt>
                <c:pt idx="121">
                  <c:v>-97.811702178234043</c:v>
                </c:pt>
                <c:pt idx="122">
                  <c:v>-97.829316786795772</c:v>
                </c:pt>
                <c:pt idx="123">
                  <c:v>-97.848355009855638</c:v>
                </c:pt>
                <c:pt idx="124">
                  <c:v>-97.868385612168993</c:v>
                </c:pt>
                <c:pt idx="125">
                  <c:v>-97.889881734766973</c:v>
                </c:pt>
                <c:pt idx="126">
                  <c:v>-97.91236596780638</c:v>
                </c:pt>
                <c:pt idx="127">
                  <c:v>-97.93636957180432</c:v>
                </c:pt>
                <c:pt idx="128">
                  <c:v>-97.961357780757709</c:v>
                </c:pt>
                <c:pt idx="129">
                  <c:v>-97.987920985192432</c:v>
                </c:pt>
                <c:pt idx="130">
                  <c:v>-98.015466055976503</c:v>
                </c:pt>
                <c:pt idx="131">
                  <c:v>-98.044643504159964</c:v>
                </c:pt>
                <c:pt idx="132">
                  <c:v>-98.059601139464817</c:v>
                </c:pt>
                <c:pt idx="133">
                  <c:v>-98.07480085236098</c:v>
                </c:pt>
                <c:pt idx="134">
                  <c:v>-98.090609723743327</c:v>
                </c:pt>
                <c:pt idx="135">
                  <c:v>-98.106666403350459</c:v>
                </c:pt>
                <c:pt idx="136">
                  <c:v>-98.122967995241595</c:v>
                </c:pt>
                <c:pt idx="137">
                  <c:v>-98.139511666097079</c:v>
                </c:pt>
                <c:pt idx="138">
                  <c:v>-98.156678438132957</c:v>
                </c:pt>
                <c:pt idx="139">
                  <c:v>-98.174092605341428</c:v>
                </c:pt>
                <c:pt idx="140">
                  <c:v>-98.191751329506474</c:v>
                </c:pt>
                <c:pt idx="141">
                  <c:v>-98.20965183384989</c:v>
                </c:pt>
                <c:pt idx="142">
                  <c:v>-98.228224432410485</c:v>
                </c:pt>
                <c:pt idx="143">
                  <c:v>-98.247044715082794</c:v>
                </c:pt>
                <c:pt idx="144">
                  <c:v>-98.266109892260161</c:v>
                </c:pt>
                <c:pt idx="145">
                  <c:v>-98.285417234797009</c:v>
                </c:pt>
                <c:pt idx="146">
                  <c:v>-98.305419674770619</c:v>
                </c:pt>
                <c:pt idx="147">
                  <c:v>-98.32567003566885</c:v>
                </c:pt>
                <c:pt idx="148">
                  <c:v>-98.346165580248638</c:v>
                </c:pt>
                <c:pt idx="149">
                  <c:v>-98.366903630583394</c:v>
                </c:pt>
                <c:pt idx="150">
                  <c:v>-98.388369422223619</c:v>
                </c:pt>
                <c:pt idx="151">
                  <c:v>-98.410083575390928</c:v>
                </c:pt>
                <c:pt idx="152">
                  <c:v>-98.432043404432449</c:v>
                </c:pt>
                <c:pt idx="153">
                  <c:v>-98.454246281825618</c:v>
                </c:pt>
                <c:pt idx="154">
                  <c:v>-98.477220840690123</c:v>
                </c:pt>
                <c:pt idx="155">
                  <c:v>-98.500444635060347</c:v>
                </c:pt>
                <c:pt idx="156">
                  <c:v>-98.523915026330982</c:v>
                </c:pt>
                <c:pt idx="157">
                  <c:v>-98.54762943290288</c:v>
                </c:pt>
                <c:pt idx="158">
                  <c:v>-98.57215019031085</c:v>
                </c:pt>
                <c:pt idx="159">
                  <c:v>-98.596921250434022</c:v>
                </c:pt>
                <c:pt idx="160">
                  <c:v>-98.621940020976695</c:v>
                </c:pt>
                <c:pt idx="161">
                  <c:v>-98.647203965473167</c:v>
                </c:pt>
                <c:pt idx="162">
                  <c:v>-98.673298074073728</c:v>
                </c:pt>
                <c:pt idx="163">
                  <c:v>-98.699643528042571</c:v>
                </c:pt>
                <c:pt idx="164">
                  <c:v>-98.726237783735428</c:v>
                </c:pt>
                <c:pt idx="165">
                  <c:v>-98.753078352016956</c:v>
                </c:pt>
                <c:pt idx="166">
                  <c:v>-98.780808339867633</c:v>
                </c:pt>
                <c:pt idx="167">
                  <c:v>-98.808791356120537</c:v>
                </c:pt>
                <c:pt idx="168">
                  <c:v>-98.837024897823696</c:v>
                </c:pt>
                <c:pt idx="169">
                  <c:v>-98.865506515356671</c:v>
                </c:pt>
                <c:pt idx="170">
                  <c:v>-98.894852951647422</c:v>
                </c:pt>
                <c:pt idx="171">
                  <c:v>-98.924453222084139</c:v>
                </c:pt>
                <c:pt idx="172">
                  <c:v>-98.954304878555845</c:v>
                </c:pt>
                <c:pt idx="173">
                  <c:v>-98.984405524618623</c:v>
                </c:pt>
                <c:pt idx="174">
                  <c:v>-99.015521038904907</c:v>
                </c:pt>
                <c:pt idx="175">
                  <c:v>-99.04689331422442</c:v>
                </c:pt>
                <c:pt idx="176">
                  <c:v>-99.078519927778927</c:v>
                </c:pt>
                <c:pt idx="177">
                  <c:v>-99.110398507507924</c:v>
                </c:pt>
                <c:pt idx="178">
                  <c:v>-99.143319894307737</c:v>
                </c:pt>
                <c:pt idx="179">
                  <c:v>-99.176500906842364</c:v>
                </c:pt>
                <c:pt idx="180">
                  <c:v>-99.20993914991746</c:v>
                </c:pt>
                <c:pt idx="181">
                  <c:v>-99.243632277977113</c:v>
                </c:pt>
                <c:pt idx="182">
                  <c:v>-99.278259468814468</c:v>
                </c:pt>
                <c:pt idx="183">
                  <c:v>-99.313147064069881</c:v>
                </c:pt>
                <c:pt idx="184">
                  <c:v>-99.34829272496097</c:v>
                </c:pt>
                <c:pt idx="185">
                  <c:v>-99.383694160353386</c:v>
                </c:pt>
                <c:pt idx="186">
                  <c:v>-99.420331443366322</c:v>
                </c:pt>
                <c:pt idx="187">
                  <c:v>-99.457233980943556</c:v>
                </c:pt>
                <c:pt idx="188">
                  <c:v>-99.494399435996996</c:v>
                </c:pt>
                <c:pt idx="189">
                  <c:v>-99.531825518467343</c:v>
                </c:pt>
                <c:pt idx="190">
                  <c:v>-99.570231651166992</c:v>
                </c:pt>
                <c:pt idx="191">
                  <c:v>-99.608903794888349</c:v>
                </c:pt>
                <c:pt idx="192">
                  <c:v>-99.647839667756728</c:v>
                </c:pt>
                <c:pt idx="193">
                  <c:v>-99.687037032765986</c:v>
                </c:pt>
                <c:pt idx="194">
                  <c:v>-99.727531609308784</c:v>
                </c:pt>
                <c:pt idx="195">
                  <c:v>-99.768296934712566</c:v>
                </c:pt>
                <c:pt idx="196">
                  <c:v>-99.809330729944008</c:v>
                </c:pt>
                <c:pt idx="197">
                  <c:v>-99.850630759935925</c:v>
                </c:pt>
                <c:pt idx="198">
                  <c:v>-99.893107932391132</c:v>
                </c:pt>
                <c:pt idx="199">
                  <c:v>-99.935858542730031</c:v>
                </c:pt>
                <c:pt idx="200">
                  <c:v>-99.978880339511875</c:v>
                </c:pt>
                <c:pt idx="201">
                  <c:v>-100.02217111359758</c:v>
                </c:pt>
                <c:pt idx="202">
                  <c:v>-100.06666497778724</c:v>
                </c:pt>
                <c:pt idx="203">
                  <c:v>-100.11143494072371</c:v>
                </c:pt>
                <c:pt idx="204">
                  <c:v>-100.15647877654342</c:v>
                </c:pt>
                <c:pt idx="205">
                  <c:v>-100.20179429996392</c:v>
                </c:pt>
                <c:pt idx="206">
                  <c:v>-100.24849844480444</c:v>
                </c:pt>
                <c:pt idx="207">
                  <c:v>-100.29548322127934</c:v>
                </c:pt>
                <c:pt idx="208">
                  <c:v>-100.34274640404071</c:v>
                </c:pt>
                <c:pt idx="209">
                  <c:v>-100.39028580708769</c:v>
                </c:pt>
                <c:pt idx="210">
                  <c:v>-100.43940859358248</c:v>
                </c:pt>
                <c:pt idx="211">
                  <c:v>-100.48881833524523</c:v>
                </c:pt>
                <c:pt idx="212">
                  <c:v>-100.5385127837296</c:v>
                </c:pt>
                <c:pt idx="213">
                  <c:v>-100.58848972920096</c:v>
                </c:pt>
                <c:pt idx="214">
                  <c:v>-100.6397516400925</c:v>
                </c:pt>
                <c:pt idx="215">
                  <c:v>-100.69130289623982</c:v>
                </c:pt>
                <c:pt idx="216">
                  <c:v>-100.74314126902401</c:v>
                </c:pt>
                <c:pt idx="217">
                  <c:v>-100.7952645664035</c:v>
                </c:pt>
                <c:pt idx="218">
                  <c:v>-100.84886883880299</c:v>
                </c:pt>
                <c:pt idx="219">
                  <c:v>-100.90276665078208</c:v>
                </c:pt>
                <c:pt idx="220">
                  <c:v>-100.95695576813992</c:v>
                </c:pt>
                <c:pt idx="221">
                  <c:v>-101.01143399177606</c:v>
                </c:pt>
                <c:pt idx="222">
                  <c:v>-101.06742328927437</c:v>
                </c:pt>
                <c:pt idx="223">
                  <c:v>-101.12371018650433</c:v>
                </c:pt>
                <c:pt idx="224">
                  <c:v>-101.18029244048978</c:v>
                </c:pt>
                <c:pt idx="225">
                  <c:v>-101.23716784183888</c:v>
                </c:pt>
                <c:pt idx="226">
                  <c:v>-101.29576261833893</c:v>
                </c:pt>
                <c:pt idx="227">
                  <c:v>-101.35466073986922</c:v>
                </c:pt>
                <c:pt idx="228">
                  <c:v>-101.41385993047425</c:v>
                </c:pt>
                <c:pt idx="229">
                  <c:v>-101.47335794663481</c:v>
                </c:pt>
                <c:pt idx="230">
                  <c:v>-101.5961713717651</c:v>
                </c:pt>
                <c:pt idx="231">
                  <c:v>-101.65803907626467</c:v>
                </c:pt>
                <c:pt idx="232">
                  <c:v>-101.72021105704134</c:v>
                </c:pt>
                <c:pt idx="233">
                  <c:v>-101.78417177751106</c:v>
                </c:pt>
                <c:pt idx="234">
                  <c:v>-101.84844665013541</c:v>
                </c:pt>
                <c:pt idx="235">
                  <c:v>-101.91303332274306</c:v>
                </c:pt>
                <c:pt idx="236">
                  <c:v>-101.97792947314547</c:v>
                </c:pt>
                <c:pt idx="237">
                  <c:v>-102.04445893812468</c:v>
                </c:pt>
                <c:pt idx="238">
                  <c:v>-102.11130577417021</c:v>
                </c:pt>
                <c:pt idx="239">
                  <c:v>-102.17846760510432</c:v>
                </c:pt>
                <c:pt idx="240">
                  <c:v>-102.24594208315698</c:v>
                </c:pt>
                <c:pt idx="241">
                  <c:v>-102.31546407056969</c:v>
                </c:pt>
                <c:pt idx="242">
                  <c:v>-102.38530998294702</c:v>
                </c:pt>
                <c:pt idx="243">
                  <c:v>-102.45547737488239</c:v>
                </c:pt>
                <c:pt idx="244">
                  <c:v>-102.52596382846163</c:v>
                </c:pt>
                <c:pt idx="245">
                  <c:v>-102.59833956512557</c:v>
                </c:pt>
                <c:pt idx="246">
                  <c:v>-102.67104363690612</c:v>
                </c:pt>
                <c:pt idx="247">
                  <c:v>-102.74407354489816</c:v>
                </c:pt>
                <c:pt idx="248">
                  <c:v>-102.81742681647955</c:v>
                </c:pt>
                <c:pt idx="249">
                  <c:v>-102.8929019244746</c:v>
                </c:pt>
                <c:pt idx="250">
                  <c:v>-102.96871119047348</c:v>
                </c:pt>
                <c:pt idx="251">
                  <c:v>-103.04485203683994</c:v>
                </c:pt>
                <c:pt idx="252">
                  <c:v>-103.12132191133179</c:v>
                </c:pt>
                <c:pt idx="253">
                  <c:v>-103.19974711628417</c:v>
                </c:pt>
                <c:pt idx="254">
                  <c:v>-103.27851012222862</c:v>
                </c:pt>
                <c:pt idx="255">
                  <c:v>-103.35760828830544</c:v>
                </c:pt>
                <c:pt idx="256">
                  <c:v>-103.4370389979496</c:v>
                </c:pt>
                <c:pt idx="257">
                  <c:v>-103.51887035806972</c:v>
                </c:pt>
                <c:pt idx="258">
                  <c:v>-103.60104621131703</c:v>
                </c:pt>
                <c:pt idx="259">
                  <c:v>-103.68356380734203</c:v>
                </c:pt>
                <c:pt idx="260">
                  <c:v>-103.76642041956001</c:v>
                </c:pt>
                <c:pt idx="261">
                  <c:v>-103.85150798027421</c:v>
                </c:pt>
                <c:pt idx="262">
                  <c:v>-103.93694444651258</c:v>
                </c:pt>
                <c:pt idx="263">
                  <c:v>-104.02272697414953</c:v>
                </c:pt>
                <c:pt idx="264">
                  <c:v>-104.10885274212539</c:v>
                </c:pt>
                <c:pt idx="265">
                  <c:v>-104.1972442685588</c:v>
                </c:pt>
                <c:pt idx="266">
                  <c:v>-104.28598856973498</c:v>
                </c:pt>
                <c:pt idx="267">
                  <c:v>-104.37508270287758</c:v>
                </c:pt>
                <c:pt idx="268">
                  <c:v>-104.46452374768816</c:v>
                </c:pt>
                <c:pt idx="269">
                  <c:v>-104.55648175800215</c:v>
                </c:pt>
                <c:pt idx="270">
                  <c:v>-104.64879751093657</c:v>
                </c:pt>
                <c:pt idx="271">
                  <c:v>-104.74146793888237</c:v>
                </c:pt>
                <c:pt idx="272">
                  <c:v>-104.83448999645762</c:v>
                </c:pt>
                <c:pt idx="273">
                  <c:v>-104.93006698162696</c:v>
                </c:pt>
                <c:pt idx="274">
                  <c:v>-105.02600599058327</c:v>
                </c:pt>
                <c:pt idx="275">
                  <c:v>-105.12230382616417</c:v>
                </c:pt>
                <c:pt idx="276">
                  <c:v>-105.21895731331493</c:v>
                </c:pt>
                <c:pt idx="277">
                  <c:v>-105.31797865179864</c:v>
                </c:pt>
                <c:pt idx="278">
                  <c:v>-105.41736392875548</c:v>
                </c:pt>
                <c:pt idx="279">
                  <c:v>-105.51710983556357</c:v>
                </c:pt>
                <c:pt idx="280">
                  <c:v>-105.61721308554607</c:v>
                </c:pt>
                <c:pt idx="281">
                  <c:v>-105.72039650024985</c:v>
                </c:pt>
                <c:pt idx="282">
                  <c:v>-105.82394992075903</c:v>
                </c:pt>
                <c:pt idx="283">
                  <c:v>-105.92786985540501</c:v>
                </c:pt>
                <c:pt idx="284">
                  <c:v>-106.03215283506606</c:v>
                </c:pt>
                <c:pt idx="285">
                  <c:v>-106.13886886945916</c:v>
                </c:pt>
                <c:pt idx="286">
                  <c:v>-106.24595523619369</c:v>
                </c:pt>
                <c:pt idx="287">
                  <c:v>-106.35340832607397</c:v>
                </c:pt>
                <c:pt idx="288">
                  <c:v>-106.46122455264528</c:v>
                </c:pt>
                <c:pt idx="289">
                  <c:v>-106.5722027399347</c:v>
                </c:pt>
                <c:pt idx="290">
                  <c:v>-106.68355551533068</c:v>
                </c:pt>
                <c:pt idx="291">
                  <c:v>-106.79527907919781</c:v>
                </c:pt>
                <c:pt idx="292">
                  <c:v>-106.9073696556279</c:v>
                </c:pt>
                <c:pt idx="293">
                  <c:v>-107.02242647979143</c:v>
                </c:pt>
                <c:pt idx="294">
                  <c:v>-107.13785955377502</c:v>
                </c:pt>
                <c:pt idx="295">
                  <c:v>-107.2536649089319</c:v>
                </c:pt>
                <c:pt idx="296">
                  <c:v>-107.36983860134507</c:v>
                </c:pt>
                <c:pt idx="297">
                  <c:v>-107.48901316738656</c:v>
                </c:pt>
                <c:pt idx="298">
                  <c:v>-107.60856463472886</c:v>
                </c:pt>
                <c:pt idx="299">
                  <c:v>-107.72848886465559</c:v>
                </c:pt>
                <c:pt idx="300">
                  <c:v>-107.84878174440726</c:v>
                </c:pt>
                <c:pt idx="301">
                  <c:v>-107.97210839546482</c:v>
                </c:pt>
                <c:pt idx="302">
                  <c:v>-108.09581155611869</c:v>
                </c:pt>
                <c:pt idx="303">
                  <c:v>-108.21988691764211</c:v>
                </c:pt>
                <c:pt idx="304">
                  <c:v>-108.34433019872139</c:v>
                </c:pt>
                <c:pt idx="305">
                  <c:v>-108.47232947423974</c:v>
                </c:pt>
                <c:pt idx="306">
                  <c:v>-108.6007066698933</c:v>
                </c:pt>
                <c:pt idx="307">
                  <c:v>-108.72945725650251</c:v>
                </c:pt>
                <c:pt idx="308">
                  <c:v>-108.85857673443661</c:v>
                </c:pt>
                <c:pt idx="309">
                  <c:v>-108.99079310972044</c:v>
                </c:pt>
                <c:pt idx="310">
                  <c:v>-109.12338469936721</c:v>
                </c:pt>
                <c:pt idx="311">
                  <c:v>-109.25634680760579</c:v>
                </c:pt>
                <c:pt idx="312">
                  <c:v>-109.38967477014354</c:v>
                </c:pt>
                <c:pt idx="313">
                  <c:v>-109.52662913955881</c:v>
                </c:pt>
                <c:pt idx="314">
                  <c:v>-109.66395761958567</c:v>
                </c:pt>
                <c:pt idx="315">
                  <c:v>-109.80165529815852</c:v>
                </c:pt>
                <c:pt idx="316">
                  <c:v>-109.93971729733613</c:v>
                </c:pt>
                <c:pt idx="317">
                  <c:v>-110.08143886437212</c:v>
                </c:pt>
                <c:pt idx="318">
                  <c:v>-110.2235320685307</c:v>
                </c:pt>
                <c:pt idx="319">
                  <c:v>-110.36599178553183</c:v>
                </c:pt>
                <c:pt idx="320">
                  <c:v>-110.50881292812402</c:v>
                </c:pt>
                <c:pt idx="321">
                  <c:v>-110.65532435566656</c:v>
                </c:pt>
                <c:pt idx="322">
                  <c:v>-110.80220355595041</c:v>
                </c:pt>
                <c:pt idx="323">
                  <c:v>-110.94944519824193</c:v>
                </c:pt>
                <c:pt idx="324">
                  <c:v>-111.09704399198634</c:v>
                </c:pt>
                <c:pt idx="325">
                  <c:v>-111.24836125135431</c:v>
                </c:pt>
                <c:pt idx="326">
                  <c:v>-111.40004101574145</c:v>
                </c:pt>
                <c:pt idx="327">
                  <c:v>-111.55207775541234</c:v>
                </c:pt>
                <c:pt idx="328">
                  <c:v>-111.70446598418765</c:v>
                </c:pt>
                <c:pt idx="329">
                  <c:v>-111.86085963368436</c:v>
                </c:pt>
                <c:pt idx="330">
                  <c:v>-112.01761029504377</c:v>
                </c:pt>
                <c:pt idx="331">
                  <c:v>-112.17471222002754</c:v>
                </c:pt>
                <c:pt idx="332">
                  <c:v>-112.3321597078492</c:v>
                </c:pt>
                <c:pt idx="333">
                  <c:v>-112.49337526597429</c:v>
                </c:pt>
                <c:pt idx="334">
                  <c:v>-112.65493966912197</c:v>
                </c:pt>
                <c:pt idx="335">
                  <c:v>-112.81684698998853</c:v>
                </c:pt>
                <c:pt idx="336">
                  <c:v>-112.97909135249334</c:v>
                </c:pt>
                <c:pt idx="337">
                  <c:v>-113.14565573670585</c:v>
                </c:pt>
                <c:pt idx="338">
                  <c:v>-113.31256156447499</c:v>
                </c:pt>
                <c:pt idx="339">
                  <c:v>-113.47980268339803</c:v>
                </c:pt>
                <c:pt idx="340">
                  <c:v>-113.64737299691539</c:v>
                </c:pt>
                <c:pt idx="341">
                  <c:v>-113.81928696265848</c:v>
                </c:pt>
                <c:pt idx="342">
                  <c:v>-113.99153330463093</c:v>
                </c:pt>
                <c:pt idx="343">
                  <c:v>-114.16410565909429</c:v>
                </c:pt>
                <c:pt idx="344">
                  <c:v>-114.33699772295108</c:v>
                </c:pt>
                <c:pt idx="345">
                  <c:v>-114.51398376705235</c:v>
                </c:pt>
                <c:pt idx="346">
                  <c:v>-114.6912905035623</c:v>
                </c:pt>
                <c:pt idx="347">
                  <c:v>-114.86891140283279</c:v>
                </c:pt>
                <c:pt idx="348">
                  <c:v>-115.0468400003918</c:v>
                </c:pt>
                <c:pt idx="349">
                  <c:v>-115.22942067779081</c:v>
                </c:pt>
                <c:pt idx="350">
                  <c:v>-115.41231072197968</c:v>
                </c:pt>
                <c:pt idx="351">
                  <c:v>-115.59550339489671</c:v>
                </c:pt>
                <c:pt idx="352">
                  <c:v>-115.77899202907479</c:v>
                </c:pt>
                <c:pt idx="353">
                  <c:v>-115.96714916696946</c:v>
                </c:pt>
                <c:pt idx="354">
                  <c:v>-116.1556026087361</c:v>
                </c:pt>
                <c:pt idx="355">
                  <c:v>-116.34434542707771</c:v>
                </c:pt>
                <c:pt idx="356">
                  <c:v>-116.53337077078669</c:v>
                </c:pt>
                <c:pt idx="357">
                  <c:v>-116.72680208952001</c:v>
                </c:pt>
                <c:pt idx="358">
                  <c:v>-116.92051416622652</c:v>
                </c:pt>
                <c:pt idx="359">
                  <c:v>-117.11449993529779</c:v>
                </c:pt>
                <c:pt idx="360">
                  <c:v>-117.30875241226633</c:v>
                </c:pt>
                <c:pt idx="361">
                  <c:v>-117.50797156433444</c:v>
                </c:pt>
                <c:pt idx="362">
                  <c:v>-117.70745590827059</c:v>
                </c:pt>
                <c:pt idx="363">
                  <c:v>-117.9071982020276</c:v>
                </c:pt>
                <c:pt idx="364">
                  <c:v>-118.1071912906359</c:v>
                </c:pt>
                <c:pt idx="365">
                  <c:v>-118.3118805272521</c:v>
                </c:pt>
                <c:pt idx="366">
                  <c:v>-118.51681698574195</c:v>
                </c:pt>
                <c:pt idx="367">
                  <c:v>-118.72199330175191</c:v>
                </c:pt>
                <c:pt idx="368">
                  <c:v>-118.92740220337778</c:v>
                </c:pt>
                <c:pt idx="369">
                  <c:v>-119.13806837398819</c:v>
                </c:pt>
                <c:pt idx="370">
                  <c:v>-119.34896348971081</c:v>
                </c:pt>
                <c:pt idx="371">
                  <c:v>-119.56008002920957</c:v>
                </c:pt>
                <c:pt idx="372">
                  <c:v>-119.77141056984739</c:v>
                </c:pt>
                <c:pt idx="373">
                  <c:v>-119.9877195197044</c:v>
                </c:pt>
                <c:pt idx="374">
                  <c:v>-120.20423684450607</c:v>
                </c:pt>
                <c:pt idx="375">
                  <c:v>-120.42095492292479</c:v>
                </c:pt>
                <c:pt idx="376">
                  <c:v>-120.63786623788238</c:v>
                </c:pt>
                <c:pt idx="377">
                  <c:v>-120.86031565348128</c:v>
                </c:pt>
                <c:pt idx="378">
                  <c:v>-121.08295229968475</c:v>
                </c:pt>
                <c:pt idx="379">
                  <c:v>-121.30576842419788</c:v>
                </c:pt>
                <c:pt idx="380">
                  <c:v>-121.52875638538079</c:v>
                </c:pt>
                <c:pt idx="381">
                  <c:v>-121.75671241263829</c:v>
                </c:pt>
                <c:pt idx="382">
                  <c:v>-121.9848319803035</c:v>
                </c:pt>
                <c:pt idx="383">
                  <c:v>-122.21310729324033</c:v>
                </c:pt>
                <c:pt idx="384">
                  <c:v>-122.4415306719622</c:v>
                </c:pt>
                <c:pt idx="385">
                  <c:v>-122.6757608037957</c:v>
                </c:pt>
                <c:pt idx="386">
                  <c:v>-122.91013046894683</c:v>
                </c:pt>
                <c:pt idx="387">
                  <c:v>-123.14463177254902</c:v>
                </c:pt>
                <c:pt idx="388">
                  <c:v>-123.37925694175638</c:v>
                </c:pt>
                <c:pt idx="389">
                  <c:v>-123.61939272108306</c:v>
                </c:pt>
                <c:pt idx="390">
                  <c:v>-123.85964205273818</c:v>
                </c:pt>
                <c:pt idx="391">
                  <c:v>-124.09999700291922</c:v>
                </c:pt>
                <c:pt idx="392">
                  <c:v>-124.3404497652399</c:v>
                </c:pt>
                <c:pt idx="393">
                  <c:v>-124.58639589886475</c:v>
                </c:pt>
                <c:pt idx="394">
                  <c:v>-124.8324281831044</c:v>
                </c:pt>
                <c:pt idx="395">
                  <c:v>-125.07853867664438</c:v>
                </c:pt>
                <c:pt idx="396">
                  <c:v>-125.32471957052439</c:v>
                </c:pt>
                <c:pt idx="397">
                  <c:v>-125.57694207136774</c:v>
                </c:pt>
                <c:pt idx="398">
                  <c:v>-125.82922226611763</c:v>
                </c:pt>
                <c:pt idx="399">
                  <c:v>-126.08155218363881</c:v>
                </c:pt>
                <c:pt idx="400">
                  <c:v>-126.33392399081477</c:v>
                </c:pt>
                <c:pt idx="401">
                  <c:v>-126.59202797853077</c:v>
                </c:pt>
                <c:pt idx="402">
                  <c:v>-126.85015963550966</c:v>
                </c:pt>
                <c:pt idx="403">
                  <c:v>-127.10831102134631</c:v>
                </c:pt>
                <c:pt idx="404">
                  <c:v>-127.36647433814944</c:v>
                </c:pt>
                <c:pt idx="405">
                  <c:v>-127.63062593572526</c:v>
                </c:pt>
                <c:pt idx="406">
                  <c:v>-127.89477395529025</c:v>
                </c:pt>
                <c:pt idx="407">
                  <c:v>-128.15891049369083</c:v>
                </c:pt>
                <c:pt idx="408">
                  <c:v>-128.42302779481713</c:v>
                </c:pt>
                <c:pt idx="409">
                  <c:v>-128.69338537852738</c:v>
                </c:pt>
                <c:pt idx="410">
                  <c:v>-128.96370681324595</c:v>
                </c:pt>
                <c:pt idx="411">
                  <c:v>-129.23398424152927</c:v>
                </c:pt>
                <c:pt idx="412">
                  <c:v>-129.50420995750773</c:v>
                </c:pt>
                <c:pt idx="413">
                  <c:v>-129.78063872081387</c:v>
                </c:pt>
                <c:pt idx="414">
                  <c:v>-130.05699750018377</c:v>
                </c:pt>
                <c:pt idx="415">
                  <c:v>-130.33327851806106</c:v>
                </c:pt>
                <c:pt idx="416">
                  <c:v>-130.60947415231831</c:v>
                </c:pt>
                <c:pt idx="417">
                  <c:v>-130.89211577241045</c:v>
                </c:pt>
                <c:pt idx="418">
                  <c:v>-131.17465223951748</c:v>
                </c:pt>
                <c:pt idx="419">
                  <c:v>-131.45707586593394</c:v>
                </c:pt>
                <c:pt idx="420">
                  <c:v>-131.73937912317035</c:v>
                </c:pt>
                <c:pt idx="421">
                  <c:v>-132.02779847225187</c:v>
                </c:pt>
                <c:pt idx="422">
                  <c:v>-132.31607665690174</c:v>
                </c:pt>
                <c:pt idx="423">
                  <c:v>-132.60420613511249</c:v>
                </c:pt>
                <c:pt idx="424">
                  <c:v>-132.89217952650947</c:v>
                </c:pt>
                <c:pt idx="425">
                  <c:v>-133.18706943132005</c:v>
                </c:pt>
                <c:pt idx="426">
                  <c:v>-133.48178029409061</c:v>
                </c:pt>
                <c:pt idx="427">
                  <c:v>-133.77630468473774</c:v>
                </c:pt>
                <c:pt idx="428">
                  <c:v>-134.07063533837652</c:v>
                </c:pt>
                <c:pt idx="429">
                  <c:v>-134.37154381891722</c:v>
                </c:pt>
                <c:pt idx="430">
                  <c:v>-134.67223465948717</c:v>
                </c:pt>
                <c:pt idx="431">
                  <c:v>-134.97270059739316</c:v>
                </c:pt>
                <c:pt idx="432">
                  <c:v>-135.27293453727972</c:v>
                </c:pt>
                <c:pt idx="433">
                  <c:v>-135.57968719304392</c:v>
                </c:pt>
                <c:pt idx="434">
                  <c:v>-135.88618279335921</c:v>
                </c:pt>
                <c:pt idx="435">
                  <c:v>-136.19241427366688</c:v>
                </c:pt>
                <c:pt idx="436">
                  <c:v>-136.49837473810473</c:v>
                </c:pt>
                <c:pt idx="437">
                  <c:v>-136.81135221678153</c:v>
                </c:pt>
                <c:pt idx="438">
                  <c:v>-137.12403148036401</c:v>
                </c:pt>
                <c:pt idx="439">
                  <c:v>-137.43640565449155</c:v>
                </c:pt>
                <c:pt idx="440">
                  <c:v>-137.74846803529641</c:v>
                </c:pt>
                <c:pt idx="441">
                  <c:v>-138.06747760417963</c:v>
                </c:pt>
                <c:pt idx="442">
                  <c:v>-138.3861469965114</c:v>
                </c:pt>
                <c:pt idx="443">
                  <c:v>-138.70446955962055</c:v>
                </c:pt>
                <c:pt idx="444">
                  <c:v>-139.02243881230609</c:v>
                </c:pt>
                <c:pt idx="445">
                  <c:v>-139.34728158153351</c:v>
                </c:pt>
                <c:pt idx="446">
                  <c:v>-139.67174157384869</c:v>
                </c:pt>
                <c:pt idx="447">
                  <c:v>-139.99581238738116</c:v>
                </c:pt>
                <c:pt idx="448">
                  <c:v>-140.31948779190827</c:v>
                </c:pt>
                <c:pt idx="449">
                  <c:v>-140.65051310226025</c:v>
                </c:pt>
                <c:pt idx="450">
                  <c:v>-140.98111111453349</c:v>
                </c:pt>
                <c:pt idx="451">
                  <c:v>-141.31127567384934</c:v>
                </c:pt>
                <c:pt idx="452">
                  <c:v>-141.64100079752222</c:v>
                </c:pt>
                <c:pt idx="453">
                  <c:v>-141.97771527942388</c:v>
                </c:pt>
                <c:pt idx="454">
                  <c:v>-142.31395812466164</c:v>
                </c:pt>
                <c:pt idx="455">
                  <c:v>-142.64972346889707</c:v>
                </c:pt>
                <c:pt idx="456">
                  <c:v>-142.98500561915921</c:v>
                </c:pt>
                <c:pt idx="457">
                  <c:v>-143.32773824848988</c:v>
                </c:pt>
                <c:pt idx="458">
                  <c:v>-143.66995293633451</c:v>
                </c:pt>
                <c:pt idx="459">
                  <c:v>-144.01164410668159</c:v>
                </c:pt>
                <c:pt idx="460">
                  <c:v>-144.35280635440563</c:v>
                </c:pt>
                <c:pt idx="461">
                  <c:v>-144.70132431999818</c:v>
                </c:pt>
                <c:pt idx="462">
                  <c:v>-145.04927763805048</c:v>
                </c:pt>
                <c:pt idx="463">
                  <c:v>-145.39666104758697</c:v>
                </c:pt>
                <c:pt idx="464">
                  <c:v>-145.74346945725873</c:v>
                </c:pt>
                <c:pt idx="465">
                  <c:v>-146.09780567709296</c:v>
                </c:pt>
                <c:pt idx="466">
                  <c:v>-146.45152936368893</c:v>
                </c:pt>
                <c:pt idx="467">
                  <c:v>-146.80463558402542</c:v>
                </c:pt>
                <c:pt idx="468">
                  <c:v>-147.15711957322662</c:v>
                </c:pt>
                <c:pt idx="469">
                  <c:v>-147.51702715057689</c:v>
                </c:pt>
                <c:pt idx="470">
                  <c:v>-147.87627410632837</c:v>
                </c:pt>
                <c:pt idx="471">
                  <c:v>-148.23485585932042</c:v>
                </c:pt>
                <c:pt idx="472">
                  <c:v>-148.59276799433312</c:v>
                </c:pt>
                <c:pt idx="473">
                  <c:v>-148.9585290483293</c:v>
                </c:pt>
                <c:pt idx="474">
                  <c:v>-149.32357926756762</c:v>
                </c:pt>
                <c:pt idx="475">
                  <c:v>-149.68791442585729</c:v>
                </c:pt>
                <c:pt idx="476">
                  <c:v>-150.05153046102001</c:v>
                </c:pt>
                <c:pt idx="477">
                  <c:v>-150.42287878854475</c:v>
                </c:pt>
                <c:pt idx="478">
                  <c:v>-150.79346595710433</c:v>
                </c:pt>
                <c:pt idx="479">
                  <c:v>-151.16328811904876</c:v>
                </c:pt>
                <c:pt idx="480">
                  <c:v>-151.53234158810585</c:v>
                </c:pt>
                <c:pt idx="481">
                  <c:v>-151.90900768194354</c:v>
                </c:pt>
                <c:pt idx="482">
                  <c:v>-152.2848623412608</c:v>
                </c:pt>
                <c:pt idx="483">
                  <c:v>-152.65990211780431</c:v>
                </c:pt>
                <c:pt idx="484">
                  <c:v>-153.03412372141872</c:v>
                </c:pt>
                <c:pt idx="485">
                  <c:v>-153.41609526379492</c:v>
                </c:pt>
                <c:pt idx="486">
                  <c:v>-153.79720411968853</c:v>
                </c:pt>
                <c:pt idx="487">
                  <c:v>-154.17744725241596</c:v>
                </c:pt>
                <c:pt idx="488">
                  <c:v>-154.55682177994339</c:v>
                </c:pt>
                <c:pt idx="489">
                  <c:v>-154.94433243704376</c:v>
                </c:pt>
                <c:pt idx="490">
                  <c:v>-155.33092696963146</c:v>
                </c:pt>
                <c:pt idx="491">
                  <c:v>-155.71660276051648</c:v>
                </c:pt>
                <c:pt idx="492">
                  <c:v>-156.10135734393114</c:v>
                </c:pt>
                <c:pt idx="493">
                  <c:v>-156.49410962625328</c:v>
                </c:pt>
                <c:pt idx="494">
                  <c:v>-156.88589257003528</c:v>
                </c:pt>
                <c:pt idx="495">
                  <c:v>-157.27670399775349</c:v>
                </c:pt>
                <c:pt idx="496">
                  <c:v>-157.66654187947151</c:v>
                </c:pt>
                <c:pt idx="497">
                  <c:v>-158.06448883634368</c:v>
                </c:pt>
                <c:pt idx="498">
                  <c:v>-158.46141232167511</c:v>
                </c:pt>
                <c:pt idx="499">
                  <c:v>-158.85731061202074</c:v>
                </c:pt>
                <c:pt idx="500">
                  <c:v>-159.25218212749863</c:v>
                </c:pt>
                <c:pt idx="501">
                  <c:v>-159.65526524728472</c:v>
                </c:pt>
                <c:pt idx="502">
                  <c:v>-160.05726987686782</c:v>
                </c:pt>
                <c:pt idx="503">
                  <c:v>-160.45819476195075</c:v>
                </c:pt>
                <c:pt idx="504">
                  <c:v>-160.85803878758085</c:v>
                </c:pt>
                <c:pt idx="505">
                  <c:v>-161.26594099638595</c:v>
                </c:pt>
                <c:pt idx="506">
                  <c:v>-161.67271022671676</c:v>
                </c:pt>
                <c:pt idx="507">
                  <c:v>-162.07834571036892</c:v>
                </c:pt>
                <c:pt idx="508">
                  <c:v>-162.48284681374048</c:v>
                </c:pt>
                <c:pt idx="509">
                  <c:v>-162.89549493256118</c:v>
                </c:pt>
                <c:pt idx="510">
                  <c:v>-163.30695485861244</c:v>
                </c:pt>
                <c:pt idx="511">
                  <c:v>-163.71722632385166</c:v>
                </c:pt>
                <c:pt idx="512">
                  <c:v>-164.12630918993281</c:v>
                </c:pt>
                <c:pt idx="513">
                  <c:v>-164.54386048933509</c:v>
                </c:pt>
                <c:pt idx="514">
                  <c:v>-164.96016626152294</c:v>
                </c:pt>
                <c:pt idx="515">
                  <c:v>-165.37522675379509</c:v>
                </c:pt>
                <c:pt idx="516">
                  <c:v>-165.78904233835206</c:v>
                </c:pt>
                <c:pt idx="517">
                  <c:v>-166.21115455631261</c:v>
                </c:pt>
                <c:pt idx="518">
                  <c:v>-166.63196470195481</c:v>
                </c:pt>
                <c:pt idx="519">
                  <c:v>-167.05147355367862</c:v>
                </c:pt>
                <c:pt idx="520">
                  <c:v>-167.46968200949411</c:v>
                </c:pt>
                <c:pt idx="521">
                  <c:v>-167.89624927889474</c:v>
                </c:pt>
                <c:pt idx="522">
                  <c:v>-168.3214573740955</c:v>
                </c:pt>
                <c:pt idx="523">
                  <c:v>-168.74530762010204</c:v>
                </c:pt>
                <c:pt idx="524">
                  <c:v>-169.16780145604307</c:v>
                </c:pt>
                <c:pt idx="525">
                  <c:v>-169.59870743761405</c:v>
                </c:pt>
                <c:pt idx="526">
                  <c:v>-170.02819665566301</c:v>
                </c:pt>
                <c:pt idx="527">
                  <c:v>-170.45627099763652</c:v>
                </c:pt>
                <c:pt idx="528">
                  <c:v>-170.88293245940793</c:v>
                </c:pt>
                <c:pt idx="529">
                  <c:v>-171.31805058726738</c:v>
                </c:pt>
                <c:pt idx="530">
                  <c:v>-171.75169395091331</c:v>
                </c:pt>
                <c:pt idx="531">
                  <c:v>-172.18386501630275</c:v>
                </c:pt>
                <c:pt idx="532">
                  <c:v>-172.61456635190032</c:v>
                </c:pt>
                <c:pt idx="533">
                  <c:v>-173.05398646284164</c:v>
                </c:pt>
                <c:pt idx="534">
                  <c:v>-173.49187189819773</c:v>
                </c:pt>
                <c:pt idx="535">
                  <c:v>-173.92822572345443</c:v>
                </c:pt>
                <c:pt idx="536">
                  <c:v>-174.3630511006443</c:v>
                </c:pt>
                <c:pt idx="537">
                  <c:v>-174.80617117235775</c:v>
                </c:pt>
                <c:pt idx="538">
                  <c:v>-175.24769958769332</c:v>
                </c:pt>
                <c:pt idx="539">
                  <c:v>-175.68764001843326</c:v>
                </c:pt>
                <c:pt idx="540">
                  <c:v>-176.12599622629526</c:v>
                </c:pt>
                <c:pt idx="541">
                  <c:v>-176.57311035804645</c:v>
                </c:pt>
                <c:pt idx="542">
                  <c:v>-177.01857249254039</c:v>
                </c:pt>
                <c:pt idx="543">
                  <c:v>-177.46238693501508</c:v>
                </c:pt>
                <c:pt idx="544">
                  <c:v>-177.90455807412832</c:v>
                </c:pt>
                <c:pt idx="545">
                  <c:v>-178.35527553708496</c:v>
                </c:pt>
                <c:pt idx="546">
                  <c:v>-178.80428223087537</c:v>
                </c:pt>
                <c:pt idx="547">
                  <c:v>-179.25158310459</c:v>
                </c:pt>
                <c:pt idx="548">
                  <c:v>-179.69718318375661</c:v>
                </c:pt>
                <c:pt idx="549">
                  <c:v>-180.15133123643983</c:v>
                </c:pt>
                <c:pt idx="550">
                  <c:v>-180.60370980891469</c:v>
                </c:pt>
                <c:pt idx="551">
                  <c:v>-181.05432450960529</c:v>
                </c:pt>
                <c:pt idx="552">
                  <c:v>-181.5031810160929</c:v>
                </c:pt>
                <c:pt idx="553">
                  <c:v>-181.96078905484896</c:v>
                </c:pt>
                <c:pt idx="554">
                  <c:v>-182.41656739117016</c:v>
                </c:pt>
                <c:pt idx="555">
                  <c:v>-182.87052231651882</c:v>
                </c:pt>
                <c:pt idx="556">
                  <c:v>-183.322660184033</c:v>
                </c:pt>
                <c:pt idx="557">
                  <c:v>-184.24251010512921</c:v>
                </c:pt>
                <c:pt idx="558">
                  <c:v>-185.15482939612545</c:v>
                </c:pt>
                <c:pt idx="559">
                  <c:v>-186.08032770975723</c:v>
                </c:pt>
                <c:pt idx="560">
                  <c:v>-186.99806673985904</c:v>
                </c:pt>
                <c:pt idx="561">
                  <c:v>-187.92960710495382</c:v>
                </c:pt>
                <c:pt idx="562">
                  <c:v>-188.85314798399682</c:v>
                </c:pt>
                <c:pt idx="563">
                  <c:v>-189.78831910401712</c:v>
                </c:pt>
                <c:pt idx="564">
                  <c:v>-190.7152874451628</c:v>
                </c:pt>
                <c:pt idx="565">
                  <c:v>-191.65718593186031</c:v>
                </c:pt>
                <c:pt idx="566">
                  <c:v>-192.59061932511918</c:v>
                </c:pt>
                <c:pt idx="567">
                  <c:v>-193.53830945833406</c:v>
                </c:pt>
                <c:pt idx="568">
                  <c:v>-194.47728270150662</c:v>
                </c:pt>
                <c:pt idx="569">
                  <c:v>-195.42614456774047</c:v>
                </c:pt>
                <c:pt idx="570">
                  <c:v>-196.36611840640671</c:v>
                </c:pt>
                <c:pt idx="571">
                  <c:v>-197.32273418328921</c:v>
                </c:pt>
                <c:pt idx="572">
                  <c:v>-198.27016281843939</c:v>
                </c:pt>
                <c:pt idx="573">
                  <c:v>-199.22632269494432</c:v>
                </c:pt>
                <c:pt idx="574">
                  <c:v>-200.17314842678138</c:v>
                </c:pt>
                <c:pt idx="575">
                  <c:v>-201.13520191510784</c:v>
                </c:pt>
                <c:pt idx="576">
                  <c:v>-202.08764678838585</c:v>
                </c:pt>
                <c:pt idx="577">
                  <c:v>-206.01599805050867</c:v>
                </c:pt>
                <c:pt idx="578">
                  <c:v>-209.78241909934965</c:v>
                </c:pt>
                <c:pt idx="579">
                  <c:v>-217.50867968703096</c:v>
                </c:pt>
                <c:pt idx="580">
                  <c:v>-225.23139700680409</c:v>
                </c:pt>
                <c:pt idx="581">
                  <c:v>-232.8927004784569</c:v>
                </c:pt>
                <c:pt idx="582">
                  <c:v>-240.45268992844049</c:v>
                </c:pt>
                <c:pt idx="583">
                  <c:v>-247.8637279119246</c:v>
                </c:pt>
                <c:pt idx="584">
                  <c:v>-255.09275074858886</c:v>
                </c:pt>
                <c:pt idx="585">
                  <c:v>-262.10092562758547</c:v>
                </c:pt>
                <c:pt idx="586">
                  <c:v>-268.85921169076465</c:v>
                </c:pt>
                <c:pt idx="587">
                  <c:v>-275.34573940515662</c:v>
                </c:pt>
                <c:pt idx="588">
                  <c:v>-281.53409599090918</c:v>
                </c:pt>
                <c:pt idx="589">
                  <c:v>-287.41429469561359</c:v>
                </c:pt>
                <c:pt idx="590">
                  <c:v>-292.97409204674824</c:v>
                </c:pt>
                <c:pt idx="591">
                  <c:v>-298.20901137063248</c:v>
                </c:pt>
                <c:pt idx="592">
                  <c:v>-303.11796031466258</c:v>
                </c:pt>
                <c:pt idx="593">
                  <c:v>-307.70599616696342</c:v>
                </c:pt>
                <c:pt idx="594">
                  <c:v>-311.97897788512427</c:v>
                </c:pt>
                <c:pt idx="595">
                  <c:v>-315.94772981891731</c:v>
                </c:pt>
                <c:pt idx="596">
                  <c:v>-319.62363348023928</c:v>
                </c:pt>
                <c:pt idx="597">
                  <c:v>-323.02128479635189</c:v>
                </c:pt>
                <c:pt idx="598">
                  <c:v>-326.15474796900128</c:v>
                </c:pt>
                <c:pt idx="599">
                  <c:v>-329.04033875961403</c:v>
                </c:pt>
                <c:pt idx="600">
                  <c:v>-331.69331488225481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9108-48B6-A860-793AEC41F97D}"/>
            </c:ext>
          </c:extLst>
        </c:ser>
        <c:ser>
          <c:idx val="1"/>
          <c:order val="7"/>
          <c:tx>
            <c:v>Fc1</c:v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plus"/>
            <c:size val="10"/>
            <c:spPr>
              <a:noFill/>
              <a:ln w="28575">
                <a:solidFill>
                  <a:schemeClr val="tx1"/>
                </a:solidFill>
              </a:ln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E-9108-48B6-A860-793AEC41F97D}"/>
              </c:ext>
            </c:extLst>
          </c:dPt>
          <c:xVal>
            <c:numRef>
              <c:f>'Stability Calculations'!$A$617:$A$618</c:f>
              <c:numCache>
                <c:formatCode>General</c:formatCode>
                <c:ptCount val="2"/>
                <c:pt idx="0">
                  <c:v>3981.1</c:v>
                </c:pt>
                <c:pt idx="1">
                  <c:v>3981.1</c:v>
                </c:pt>
              </c:numCache>
            </c:numRef>
          </c:xVal>
          <c:yVal>
            <c:numRef>
              <c:f>'Stability Calculations'!$R$617:$R$618</c:f>
              <c:numCache>
                <c:formatCode>0.00</c:formatCode>
                <c:ptCount val="2"/>
                <c:pt idx="0">
                  <c:v>-98.366330628671392</c:v>
                </c:pt>
                <c:pt idx="1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108-48B6-A860-793AEC41F97D}"/>
            </c:ext>
          </c:extLst>
        </c:ser>
        <c:ser>
          <c:idx val="0"/>
          <c:order val="8"/>
          <c:tx>
            <c:v>Fc2</c:v>
          </c:tx>
          <c:spPr>
            <a:ln w="22225">
              <a:solidFill>
                <a:schemeClr val="tx1">
                  <a:lumMod val="50000"/>
                  <a:lumOff val="5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'Stability Calculations'!$A$619:$A$620</c:f>
              <c:numCache>
                <c:formatCode>General</c:formatCode>
                <c:ptCount val="2"/>
                <c:pt idx="0">
                  <c:v>3981.1</c:v>
                </c:pt>
                <c:pt idx="1">
                  <c:v>1000000</c:v>
                </c:pt>
              </c:numCache>
            </c:numRef>
          </c:xVal>
          <c:yVal>
            <c:numRef>
              <c:f>'Stability Calculations'!$R$619:$R$620</c:f>
              <c:numCache>
                <c:formatCode>0.00</c:formatCode>
                <c:ptCount val="2"/>
                <c:pt idx="0">
                  <c:v>-98.366330628671392</c:v>
                </c:pt>
                <c:pt idx="1">
                  <c:v>-98.366330628671392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9108-48B6-A860-793AEC41F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413760"/>
        <c:axId val="137415296"/>
      </c:scatterChart>
      <c:valAx>
        <c:axId val="137377280"/>
        <c:scaling>
          <c:logBase val="10"/>
          <c:orientation val="minMax"/>
          <c:max val="1000000"/>
          <c:min val="1"/>
        </c:scaling>
        <c:delete val="0"/>
        <c:axPos val="b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minorGridlines>
          <c:spPr>
            <a:ln w="3175">
              <a:solidFill>
                <a:srgbClr val="969696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>
                    <a:latin typeface="Arial" pitchFamily="34" charset="0"/>
                    <a:cs typeface="Arial" pitchFamily="34" charset="0"/>
                  </a:rPr>
                  <a:t>Frequency (Hz)</a:t>
                </a:r>
              </a:p>
            </c:rich>
          </c:tx>
          <c:layout>
            <c:manualLayout>
              <c:xMode val="edge"/>
              <c:yMode val="edge"/>
              <c:x val="0.43129335258697837"/>
              <c:y val="0.938287088475307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39720192"/>
        <c:crossesAt val="-80"/>
        <c:crossBetween val="midCat"/>
      </c:valAx>
      <c:valAx>
        <c:axId val="139720192"/>
        <c:scaling>
          <c:orientation val="minMax"/>
          <c:max val="80"/>
          <c:min val="-80"/>
        </c:scaling>
        <c:delete val="0"/>
        <c:axPos val="l"/>
        <c:majorGridlines>
          <c:spPr>
            <a:ln w="3175">
              <a:solidFill>
                <a:srgbClr val="969696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 u="none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Loop Gain (dB)</a:t>
                </a:r>
              </a:p>
            </c:rich>
          </c:tx>
          <c:layout>
            <c:manualLayout>
              <c:xMode val="edge"/>
              <c:yMode val="edge"/>
              <c:x val="1.8000828843762959E-2"/>
              <c:y val="0.374150332272295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37377280"/>
        <c:crossesAt val="1.0000000000000005E-2"/>
        <c:crossBetween val="midCat"/>
        <c:majorUnit val="20"/>
      </c:valAx>
      <c:valAx>
        <c:axId val="137413760"/>
        <c:scaling>
          <c:logBase val="10"/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37415296"/>
        <c:crosses val="autoZero"/>
        <c:crossBetween val="midCat"/>
      </c:valAx>
      <c:valAx>
        <c:axId val="137415296"/>
        <c:scaling>
          <c:orientation val="minMax"/>
          <c:max val="0"/>
          <c:min val="-180"/>
        </c:scaling>
        <c:delete val="0"/>
        <c:axPos val="r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206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200" b="1">
                    <a:solidFill>
                      <a:srgbClr val="002060"/>
                    </a:solidFill>
                    <a:latin typeface="Arial" pitchFamily="34" charset="0"/>
                    <a:cs typeface="Arial" pitchFamily="34" charset="0"/>
                  </a:rPr>
                  <a:t>Loop Phase  (°)</a:t>
                </a:r>
              </a:p>
            </c:rich>
          </c:tx>
          <c:layout>
            <c:manualLayout>
              <c:xMode val="edge"/>
              <c:yMode val="edge"/>
              <c:x val="0.9649302942395358"/>
              <c:y val="0.367637795275590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206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37413760"/>
        <c:crosses val="max"/>
        <c:crossBetween val="midCat"/>
        <c:majorUnit val="4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span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88" r="0.75000000000000688" t="1" header="0.5" footer="0.5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>
                <a:latin typeface="Arial" pitchFamily="34" charset="0"/>
                <a:cs typeface="Arial" pitchFamily="34" charset="0"/>
                <a:sym typeface="Symbol"/>
              </a:rPr>
              <a:t></a:t>
            </a:r>
            <a:r>
              <a:rPr lang="en-US" sz="2000" b="1" i="0" u="none" strike="noStrike" baseline="0"/>
              <a:t>,  V</a:t>
            </a:r>
            <a:r>
              <a:rPr lang="en-US" sz="2000" b="1" i="0" u="none" strike="noStrike" baseline="-25000"/>
              <a:t>IN</a:t>
            </a:r>
            <a:r>
              <a:rPr lang="en-US" sz="2000" b="1" i="0" u="none" strike="noStrike" baseline="0"/>
              <a:t> = V</a:t>
            </a:r>
            <a:r>
              <a:rPr lang="en-US" sz="2000" b="1" i="0" u="none" strike="noStrike" baseline="-25000"/>
              <a:t>IN(nom)</a:t>
            </a:r>
            <a:endParaRPr lang="en-US" sz="200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7.7082846781954192E-2"/>
          <c:y val="1.41099694661579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399604911965282E-2"/>
          <c:y val="0.12372903654825702"/>
          <c:w val="0.82579990228506228"/>
          <c:h val="0.76068566810117366"/>
        </c:manualLayout>
      </c:layout>
      <c:lineChart>
        <c:grouping val="standard"/>
        <c:varyColors val="0"/>
        <c:ser>
          <c:idx val="0"/>
          <c:order val="0"/>
          <c:tx>
            <c:v>Efficiency</c:v>
          </c:tx>
          <c:spPr>
            <a:ln w="28575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cat>
          <c:val>
            <c:numRef>
              <c:f>'Efficiency vs Load Calculations'!$BH$9:$BH$109</c:f>
              <c:numCache>
                <c:formatCode>0.00</c:formatCode>
                <c:ptCount val="101"/>
                <c:pt idx="0">
                  <c:v>0</c:v>
                </c:pt>
                <c:pt idx="1">
                  <c:v>43.018730340626369</c:v>
                </c:pt>
                <c:pt idx="2">
                  <c:v>60.029798166163403</c:v>
                </c:pt>
                <c:pt idx="3">
                  <c:v>69.139399029344332</c:v>
                </c:pt>
                <c:pt idx="4">
                  <c:v>74.812321702489925</c:v>
                </c:pt>
                <c:pt idx="5">
                  <c:v>78.682696233042421</c:v>
                </c:pt>
                <c:pt idx="6">
                  <c:v>81.490364311595343</c:v>
                </c:pt>
                <c:pt idx="7">
                  <c:v>83.619011539754695</c:v>
                </c:pt>
                <c:pt idx="8">
                  <c:v>85.287460224574318</c:v>
                </c:pt>
                <c:pt idx="9">
                  <c:v>86.629628782902969</c:v>
                </c:pt>
                <c:pt idx="10">
                  <c:v>87.732069315130829</c:v>
                </c:pt>
                <c:pt idx="11">
                  <c:v>88.653207834212054</c:v>
                </c:pt>
                <c:pt idx="12">
                  <c:v>89.433910683734624</c:v>
                </c:pt>
                <c:pt idx="13">
                  <c:v>90.103620340375457</c:v>
                </c:pt>
                <c:pt idx="14">
                  <c:v>90.68408646330154</c:v>
                </c:pt>
                <c:pt idx="15">
                  <c:v>91.191724324804497</c:v>
                </c:pt>
                <c:pt idx="16">
                  <c:v>91.63915572225676</c:v>
                </c:pt>
                <c:pt idx="17">
                  <c:v>92.036244926537805</c:v>
                </c:pt>
                <c:pt idx="18">
                  <c:v>92.3908127271838</c:v>
                </c:pt>
                <c:pt idx="19">
                  <c:v>92.709139525177093</c:v>
                </c:pt>
                <c:pt idx="20">
                  <c:v>92.996326770552201</c:v>
                </c:pt>
                <c:pt idx="21">
                  <c:v>93.256561192259767</c:v>
                </c:pt>
                <c:pt idx="22">
                  <c:v>93.493311012819902</c:v>
                </c:pt>
                <c:pt idx="23">
                  <c:v>93.709473733219582</c:v>
                </c:pt>
                <c:pt idx="24">
                  <c:v>93.907488882727009</c:v>
                </c:pt>
                <c:pt idx="25">
                  <c:v>94.089425055293702</c:v>
                </c:pt>
                <c:pt idx="26">
                  <c:v>94.257047823509083</c:v>
                </c:pt>
                <c:pt idx="27">
                  <c:v>94.411873258506134</c:v>
                </c:pt>
                <c:pt idx="28">
                  <c:v>94.555210493591886</c:v>
                </c:pt>
                <c:pt idx="29">
                  <c:v>94.688195861987936</c:v>
                </c:pt>
                <c:pt idx="30">
                  <c:v>94.811820492512368</c:v>
                </c:pt>
                <c:pt idx="31">
                  <c:v>94.926952780583647</c:v>
                </c:pt>
                <c:pt idx="32">
                  <c:v>95.034356811508786</c:v>
                </c:pt>
                <c:pt idx="33">
                  <c:v>95.134707561899233</c:v>
                </c:pt>
                <c:pt idx="34">
                  <c:v>95.228603517946212</c:v>
                </c:pt>
                <c:pt idx="35">
                  <c:v>95.316577208555884</c:v>
                </c:pt>
                <c:pt idx="36">
                  <c:v>95.399104044561099</c:v>
                </c:pt>
                <c:pt idx="37">
                  <c:v>95.476609773529688</c:v>
                </c:pt>
                <c:pt idx="38">
                  <c:v>95.549476796697789</c:v>
                </c:pt>
                <c:pt idx="39">
                  <c:v>95.618049545628594</c:v>
                </c:pt>
                <c:pt idx="40">
                  <c:v>95.682639077929963</c:v>
                </c:pt>
                <c:pt idx="41">
                  <c:v>95.743527021236346</c:v>
                </c:pt>
                <c:pt idx="42">
                  <c:v>95.800968970794088</c:v>
                </c:pt>
                <c:pt idx="43">
                  <c:v>95.855197426970392</c:v>
                </c:pt>
                <c:pt idx="44">
                  <c:v>95.906424343765025</c:v>
                </c:pt>
                <c:pt idx="45">
                  <c:v>95.954843347124438</c:v>
                </c:pt>
                <c:pt idx="46">
                  <c:v>96.000631671915698</c:v>
                </c:pt>
                <c:pt idx="47">
                  <c:v>96.043951858325954</c:v>
                </c:pt>
                <c:pt idx="48">
                  <c:v>96.084953241840196</c:v>
                </c:pt>
                <c:pt idx="49">
                  <c:v>96.123773265518167</c:v>
                </c:pt>
                <c:pt idx="50">
                  <c:v>96.160538638814245</c:v>
                </c:pt>
                <c:pt idx="51">
                  <c:v>96.195366363475529</c:v>
                </c:pt>
                <c:pt idx="52">
                  <c:v>96.228364643972228</c:v>
                </c:pt>
                <c:pt idx="53">
                  <c:v>96.259633697342892</c:v>
                </c:pt>
                <c:pt idx="54">
                  <c:v>96.289266475184959</c:v>
                </c:pt>
                <c:pt idx="55">
                  <c:v>96.317349308711869</c:v>
                </c:pt>
                <c:pt idx="56">
                  <c:v>96.343962486273966</c:v>
                </c:pt>
                <c:pt idx="57">
                  <c:v>96.369180771450573</c:v>
                </c:pt>
                <c:pt idx="58">
                  <c:v>96.393073868727683</c:v>
                </c:pt>
                <c:pt idx="59">
                  <c:v>96.415706842844656</c:v>
                </c:pt>
                <c:pt idx="60">
                  <c:v>96.437140497099833</c:v>
                </c:pt>
                <c:pt idx="61">
                  <c:v>96.457431715225823</c:v>
                </c:pt>
                <c:pt idx="62">
                  <c:v>96.47663377086235</c:v>
                </c:pt>
                <c:pt idx="63">
                  <c:v>96.494796608153678</c:v>
                </c:pt>
                <c:pt idx="64">
                  <c:v>96.511967096565655</c:v>
                </c:pt>
                <c:pt idx="65">
                  <c:v>96.528189262643579</c:v>
                </c:pt>
                <c:pt idx="66">
                  <c:v>96.543504501109382</c:v>
                </c:pt>
                <c:pt idx="67">
                  <c:v>96.557951767414906</c:v>
                </c:pt>
                <c:pt idx="68">
                  <c:v>96.571567753624578</c:v>
                </c:pt>
                <c:pt idx="69">
                  <c:v>96.584387049286605</c:v>
                </c:pt>
                <c:pt idx="70">
                  <c:v>96.596442288766994</c:v>
                </c:pt>
                <c:pt idx="71">
                  <c:v>96.607764286356129</c:v>
                </c:pt>
                <c:pt idx="72">
                  <c:v>96.618382160315932</c:v>
                </c:pt>
                <c:pt idx="73">
                  <c:v>96.628323446909292</c:v>
                </c:pt>
                <c:pt idx="74">
                  <c:v>96.637614205342743</c:v>
                </c:pt>
                <c:pt idx="75">
                  <c:v>96.646279114456007</c:v>
                </c:pt>
                <c:pt idx="76">
                  <c:v>96.654341561905809</c:v>
                </c:pt>
                <c:pt idx="77">
                  <c:v>96.661823726514513</c:v>
                </c:pt>
                <c:pt idx="78">
                  <c:v>96.668746654387377</c:v>
                </c:pt>
                <c:pt idx="79">
                  <c:v>96.675130329340917</c:v>
                </c:pt>
                <c:pt idx="80">
                  <c:v>96.680993738132813</c:v>
                </c:pt>
                <c:pt idx="81">
                  <c:v>96.686354930934741</c:v>
                </c:pt>
                <c:pt idx="82">
                  <c:v>96.691231077448421</c:v>
                </c:pt>
                <c:pt idx="83">
                  <c:v>96.695638519026247</c:v>
                </c:pt>
                <c:pt idx="84">
                  <c:v>96.699592817124298</c:v>
                </c:pt>
                <c:pt idx="85">
                  <c:v>96.703108798385529</c:v>
                </c:pt>
                <c:pt idx="86">
                  <c:v>96.706200596622821</c:v>
                </c:pt>
                <c:pt idx="87">
                  <c:v>96.708881691947852</c:v>
                </c:pt>
                <c:pt idx="88">
                  <c:v>96.711164947269708</c:v>
                </c:pt>
                <c:pt idx="89">
                  <c:v>96.713062642366381</c:v>
                </c:pt>
                <c:pt idx="90">
                  <c:v>96.714586505716056</c:v>
                </c:pt>
                <c:pt idx="91">
                  <c:v>96.715747744257541</c:v>
                </c:pt>
                <c:pt idx="92">
                  <c:v>96.716557071235044</c:v>
                </c:pt>
                <c:pt idx="93">
                  <c:v>96.717024732270005</c:v>
                </c:pt>
                <c:pt idx="94">
                  <c:v>96.717160529789666</c:v>
                </c:pt>
                <c:pt idx="95">
                  <c:v>96.716973845932003</c:v>
                </c:pt>
                <c:pt idx="96">
                  <c:v>96.716473664036613</c:v>
                </c:pt>
                <c:pt idx="97">
                  <c:v>96.715668588822254</c:v>
                </c:pt>
                <c:pt idx="98">
                  <c:v>96.714566865343301</c:v>
                </c:pt>
                <c:pt idx="99">
                  <c:v>96.713176396810752</c:v>
                </c:pt>
                <c:pt idx="100">
                  <c:v>96.711504761355854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C2-4F15-A46E-B2CB0B1D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998336"/>
        <c:axId val="142008704"/>
      </c:lineChart>
      <c:lineChart>
        <c:grouping val="standard"/>
        <c:varyColors val="0"/>
        <c:ser>
          <c:idx val="2"/>
          <c:order val="1"/>
          <c:tx>
            <c:strRef>
              <c:f>'Efficiency vs Load Calculations'!$BK$8</c:f>
              <c:strCache>
                <c:ptCount val="1"/>
                <c:pt idx="0">
                  <c:v>Boost ''Control'' MOSFET Loss</c:v>
                </c:pt>
              </c:strCache>
            </c:strRef>
          </c:tx>
          <c:spPr>
            <a:ln w="38100">
              <a:solidFill>
                <a:srgbClr val="808000"/>
              </a:solidFill>
              <a:prstDash val="sysDash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cat>
          <c:val>
            <c:numRef>
              <c:f>'Efficiency vs Load Calculations'!$BK$9:$BK$109</c:f>
              <c:numCache>
                <c:formatCode>0.000</c:formatCode>
                <c:ptCount val="101"/>
                <c:pt idx="0">
                  <c:v>0.1207785357538004</c:v>
                </c:pt>
                <c:pt idx="1">
                  <c:v>0.1209260708049178</c:v>
                </c:pt>
                <c:pt idx="2">
                  <c:v>0.12107563596109652</c:v>
                </c:pt>
                <c:pt idx="3">
                  <c:v>0.12122723123081609</c:v>
                </c:pt>
                <c:pt idx="4">
                  <c:v>0.12138085662820923</c:v>
                </c:pt>
                <c:pt idx="5">
                  <c:v>0.12153651217306177</c:v>
                </c:pt>
                <c:pt idx="6">
                  <c:v>0.12169419789081297</c:v>
                </c:pt>
                <c:pt idx="7">
                  <c:v>0.12185391381255554</c:v>
                </c:pt>
                <c:pt idx="8">
                  <c:v>0.12201565997503597</c:v>
                </c:pt>
                <c:pt idx="9">
                  <c:v>0.12217943642065468</c:v>
                </c:pt>
                <c:pt idx="10">
                  <c:v>0.12234524319746645</c:v>
                </c:pt>
                <c:pt idx="11">
                  <c:v>0.12251308035918063</c:v>
                </c:pt>
                <c:pt idx="12">
                  <c:v>0.12268294796516153</c:v>
                </c:pt>
                <c:pt idx="13">
                  <c:v>0.12285484608042893</c:v>
                </c:pt>
                <c:pt idx="14">
                  <c:v>0.12302877477565843</c:v>
                </c:pt>
                <c:pt idx="15">
                  <c:v>0.12320473412718196</c:v>
                </c:pt>
                <c:pt idx="16">
                  <c:v>0.12338272421698829</c:v>
                </c:pt>
                <c:pt idx="17">
                  <c:v>0.12356274513272365</c:v>
                </c:pt>
                <c:pt idx="18">
                  <c:v>0.12374479696769239</c:v>
                </c:pt>
                <c:pt idx="19">
                  <c:v>0.12392887982085737</c:v>
                </c:pt>
                <c:pt idx="20">
                  <c:v>0.12411499379684104</c:v>
                </c:pt>
                <c:pt idx="21">
                  <c:v>0.12430313900592579</c:v>
                </c:pt>
                <c:pt idx="22">
                  <c:v>0.12449331556405496</c:v>
                </c:pt>
                <c:pt idx="23">
                  <c:v>0.1246855235928335</c:v>
                </c:pt>
                <c:pt idx="24">
                  <c:v>0.12487976321952891</c:v>
                </c:pt>
                <c:pt idx="25">
                  <c:v>0.12507603457707209</c:v>
                </c:pt>
                <c:pt idx="26">
                  <c:v>0.12527433780405825</c:v>
                </c:pt>
                <c:pt idx="27">
                  <c:v>0.12547467304474785</c:v>
                </c:pt>
                <c:pt idx="28">
                  <c:v>0.12567704044906766</c:v>
                </c:pt>
                <c:pt idx="29">
                  <c:v>0.12588144017261174</c:v>
                </c:pt>
                <c:pt idx="30">
                  <c:v>0.12608787237664257</c:v>
                </c:pt>
                <c:pt idx="31">
                  <c:v>0.12629633722809211</c:v>
                </c:pt>
                <c:pt idx="32">
                  <c:v>0.12650683489956302</c:v>
                </c:pt>
                <c:pt idx="33">
                  <c:v>0.12671936556932981</c:v>
                </c:pt>
                <c:pt idx="34">
                  <c:v>0.12693392942134013</c:v>
                </c:pt>
                <c:pt idx="35">
                  <c:v>0.12715052664521592</c:v>
                </c:pt>
                <c:pt idx="36">
                  <c:v>0.12736915743625493</c:v>
                </c:pt>
                <c:pt idx="37">
                  <c:v>0.1275898219954319</c:v>
                </c:pt>
                <c:pt idx="38">
                  <c:v>0.12781252052939998</c:v>
                </c:pt>
                <c:pt idx="39">
                  <c:v>0.12803725325049228</c:v>
                </c:pt>
                <c:pt idx="40">
                  <c:v>0.12826402037672319</c:v>
                </c:pt>
                <c:pt idx="41">
                  <c:v>0.12849282213178997</c:v>
                </c:pt>
                <c:pt idx="42">
                  <c:v>0.12872365874507435</c:v>
                </c:pt>
                <c:pt idx="43">
                  <c:v>0.12895653045164401</c:v>
                </c:pt>
                <c:pt idx="44">
                  <c:v>0.12919143749225431</c:v>
                </c:pt>
                <c:pt idx="45">
                  <c:v>0.12942838011334987</c:v>
                </c:pt>
                <c:pt idx="46">
                  <c:v>0.12966735856706638</c:v>
                </c:pt>
                <c:pt idx="47">
                  <c:v>0.12990837311123227</c:v>
                </c:pt>
                <c:pt idx="48">
                  <c:v>0.13015142400937049</c:v>
                </c:pt>
                <c:pt idx="49">
                  <c:v>0.13039651153070053</c:v>
                </c:pt>
                <c:pt idx="50">
                  <c:v>0.13064363595014</c:v>
                </c:pt>
                <c:pt idx="51">
                  <c:v>0.13089279754830668</c:v>
                </c:pt>
                <c:pt idx="52">
                  <c:v>0.13114399661152051</c:v>
                </c:pt>
                <c:pt idx="53">
                  <c:v>0.13139723343180557</c:v>
                </c:pt>
                <c:pt idx="54">
                  <c:v>0.13165250830689204</c:v>
                </c:pt>
                <c:pt idx="55">
                  <c:v>0.13190982154021824</c:v>
                </c:pt>
                <c:pt idx="56">
                  <c:v>0.1321691734409329</c:v>
                </c:pt>
                <c:pt idx="57">
                  <c:v>0.13243056432389719</c:v>
                </c:pt>
                <c:pt idx="58">
                  <c:v>0.13269399450968689</c:v>
                </c:pt>
                <c:pt idx="59">
                  <c:v>0.13295946432459466</c:v>
                </c:pt>
                <c:pt idx="60">
                  <c:v>0.13322697410063233</c:v>
                </c:pt>
                <c:pt idx="61">
                  <c:v>0.13349652417553318</c:v>
                </c:pt>
                <c:pt idx="62">
                  <c:v>0.13376811489275425</c:v>
                </c:pt>
                <c:pt idx="63">
                  <c:v>0.13404174660147886</c:v>
                </c:pt>
                <c:pt idx="64">
                  <c:v>0.13431741965661886</c:v>
                </c:pt>
                <c:pt idx="65">
                  <c:v>0.13459513441881721</c:v>
                </c:pt>
                <c:pt idx="66">
                  <c:v>0.13487489125445043</c:v>
                </c:pt>
                <c:pt idx="67">
                  <c:v>0.13515669053563129</c:v>
                </c:pt>
                <c:pt idx="68">
                  <c:v>0.13544053264021116</c:v>
                </c:pt>
                <c:pt idx="69">
                  <c:v>0.13572641795178289</c:v>
                </c:pt>
                <c:pt idx="70">
                  <c:v>0.1360143468596833</c:v>
                </c:pt>
                <c:pt idx="71">
                  <c:v>0.1363043197589959</c:v>
                </c:pt>
                <c:pt idx="72">
                  <c:v>0.13659633705055382</c:v>
                </c:pt>
                <c:pt idx="73">
                  <c:v>0.13689039914094239</c:v>
                </c:pt>
                <c:pt idx="74">
                  <c:v>0.13718650644250205</c:v>
                </c:pt>
                <c:pt idx="75">
                  <c:v>0.13748465937333124</c:v>
                </c:pt>
                <c:pt idx="76">
                  <c:v>0.13778485835728932</c:v>
                </c:pt>
                <c:pt idx="77">
                  <c:v>0.13808710382399947</c:v>
                </c:pt>
                <c:pt idx="78">
                  <c:v>0.13839139620885174</c:v>
                </c:pt>
                <c:pt idx="79">
                  <c:v>0.13869773595300602</c:v>
                </c:pt>
                <c:pt idx="80">
                  <c:v>0.13900612350339525</c:v>
                </c:pt>
                <c:pt idx="81">
                  <c:v>0.13931655931272832</c:v>
                </c:pt>
                <c:pt idx="82">
                  <c:v>0.13962904383949337</c:v>
                </c:pt>
                <c:pt idx="83">
                  <c:v>0.13994357754796105</c:v>
                </c:pt>
                <c:pt idx="84">
                  <c:v>0.14026016090818758</c:v>
                </c:pt>
                <c:pt idx="85">
                  <c:v>0.14057879439601817</c:v>
                </c:pt>
                <c:pt idx="86">
                  <c:v>0.14089947849309026</c:v>
                </c:pt>
                <c:pt idx="87">
                  <c:v>0.14122221368683691</c:v>
                </c:pt>
                <c:pt idx="88">
                  <c:v>0.14154700047049024</c:v>
                </c:pt>
                <c:pt idx="89">
                  <c:v>0.14187383934308473</c:v>
                </c:pt>
                <c:pt idx="90">
                  <c:v>0.142202730809461</c:v>
                </c:pt>
                <c:pt idx="91">
                  <c:v>0.14253367538026898</c:v>
                </c:pt>
                <c:pt idx="92">
                  <c:v>0.14286667357197169</c:v>
                </c:pt>
                <c:pt idx="93">
                  <c:v>0.14320172590684876</c:v>
                </c:pt>
                <c:pt idx="94">
                  <c:v>0.14353883291300026</c:v>
                </c:pt>
                <c:pt idx="95">
                  <c:v>0.14387799512435001</c:v>
                </c:pt>
                <c:pt idx="96">
                  <c:v>0.14421921308064978</c:v>
                </c:pt>
                <c:pt idx="97">
                  <c:v>0.14456248732748272</c:v>
                </c:pt>
                <c:pt idx="98">
                  <c:v>0.14490781841626726</c:v>
                </c:pt>
                <c:pt idx="99">
                  <c:v>0.14525520690426111</c:v>
                </c:pt>
                <c:pt idx="100">
                  <c:v>0.14560465335456485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C2-4F15-A46E-B2CB0B1D0CAE}"/>
            </c:ext>
          </c:extLst>
        </c:ser>
        <c:ser>
          <c:idx val="3"/>
          <c:order val="2"/>
          <c:tx>
            <c:v>Inductor Loss</c:v>
          </c:tx>
          <c:spPr>
            <a:ln w="38100">
              <a:solidFill>
                <a:srgbClr val="800080"/>
              </a:solidFill>
              <a:prstDash val="dash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cat>
          <c:val>
            <c:numRef>
              <c:f>'Efficiency vs Load Calculations'!$BI$9:$BI$109</c:f>
              <c:numCache>
                <c:formatCode>0.000</c:formatCode>
                <c:ptCount val="101"/>
                <c:pt idx="0">
                  <c:v>0</c:v>
                </c:pt>
                <c:pt idx="1">
                  <c:v>2.3675044931614523E-5</c:v>
                </c:pt>
                <c:pt idx="2">
                  <c:v>9.470071781695793E-5</c:v>
                </c:pt>
                <c:pt idx="3">
                  <c:v>2.1307863295810459E-4</c:v>
                </c:pt>
                <c:pt idx="4">
                  <c:v>3.7881148096043121E-4</c:v>
                </c:pt>
                <c:pt idx="5">
                  <c:v>5.9190302888550679E-4</c:v>
                </c:pt>
                <c:pt idx="6">
                  <c:v>8.5235812046516226E-4</c:v>
                </c:pt>
                <c:pt idx="7">
                  <c:v>1.1601826763767615E-3</c:v>
                </c:pt>
                <c:pt idx="8">
                  <c:v>1.5153836945797008E-3</c:v>
                </c:pt>
                <c:pt idx="9">
                  <c:v>1.9179692507131797E-3</c:v>
                </c:pt>
                <c:pt idx="10">
                  <c:v>2.3679484985552764E-3</c:v>
                </c:pt>
                <c:pt idx="11">
                  <c:v>2.8653316705433808E-3</c:v>
                </c:pt>
                <c:pt idx="12">
                  <c:v>3.4101300783560399E-3</c:v>
                </c:pt>
                <c:pt idx="13">
                  <c:v>4.0023561135562862E-3</c:v>
                </c:pt>
                <c:pt idx="14">
                  <c:v>4.6420232482964896E-3</c:v>
                </c:pt>
                <c:pt idx="15">
                  <c:v>5.3291460360848459E-3</c:v>
                </c:pt>
                <c:pt idx="16">
                  <c:v>6.0637401126135615E-3</c:v>
                </c:pt>
                <c:pt idx="17">
                  <c:v>6.8458221966488106E-3</c:v>
                </c:pt>
                <c:pt idx="18">
                  <c:v>7.6754100909825866E-3</c:v>
                </c:pt>
                <c:pt idx="19">
                  <c:v>8.5525226834465493E-3</c:v>
                </c:pt>
                <c:pt idx="20">
                  <c:v>9.4771799479879161E-3</c:v>
                </c:pt>
                <c:pt idx="21">
                  <c:v>1.0449402945807625E-2</c:v>
                </c:pt>
                <c:pt idx="22">
                  <c:v>1.1469213826560758E-2</c:v>
                </c:pt>
                <c:pt idx="23">
                  <c:v>1.2536635829619473E-2</c:v>
                </c:pt>
                <c:pt idx="24">
                  <c:v>1.3651693285398487E-2</c:v>
                </c:pt>
                <c:pt idx="25">
                  <c:v>1.4814411616743317E-2</c:v>
                </c:pt>
                <c:pt idx="26">
                  <c:v>1.6024817340381359E-2</c:v>
                </c:pt>
                <c:pt idx="27">
                  <c:v>1.7282938068436057E-2</c:v>
                </c:pt>
                <c:pt idx="28">
                  <c:v>1.8588802510004221E-2</c:v>
                </c:pt>
                <c:pt idx="29">
                  <c:v>1.9942440472796707E-2</c:v>
                </c:pt>
                <c:pt idx="30">
                  <c:v>2.1343882864842702E-2</c:v>
                </c:pt>
                <c:pt idx="31">
                  <c:v>2.2793161696257617E-2</c:v>
                </c:pt>
                <c:pt idx="32">
                  <c:v>2.4290310081074989E-2</c:v>
                </c:pt>
                <c:pt idx="33">
                  <c:v>2.5835362239142443E-2</c:v>
                </c:pt>
                <c:pt idx="34">
                  <c:v>2.7428353498081971E-2</c:v>
                </c:pt>
                <c:pt idx="35">
                  <c:v>2.9069320295314713E-2</c:v>
                </c:pt>
                <c:pt idx="36">
                  <c:v>3.0758300180150557E-2</c:v>
                </c:pt>
                <c:pt idx="37">
                  <c:v>3.2495331815942538E-2</c:v>
                </c:pt>
                <c:pt idx="38">
                  <c:v>3.4280454982306606E-2</c:v>
                </c:pt>
                <c:pt idx="39">
                  <c:v>3.6113710577406685E-2</c:v>
                </c:pt>
                <c:pt idx="40">
                  <c:v>3.7995140620305519E-2</c:v>
                </c:pt>
                <c:pt idx="41">
                  <c:v>3.9924788253381374E-2</c:v>
                </c:pt>
                <c:pt idx="42">
                  <c:v>4.1902697744810959E-2</c:v>
                </c:pt>
                <c:pt idx="43">
                  <c:v>4.3928914491118749E-2</c:v>
                </c:pt>
                <c:pt idx="44">
                  <c:v>4.6003485019793192E-2</c:v>
                </c:pt>
                <c:pt idx="45">
                  <c:v>4.812645699196974E-2</c:v>
                </c:pt>
                <c:pt idx="46">
                  <c:v>5.0297879205181306E-2</c:v>
                </c:pt>
                <c:pt idx="47">
                  <c:v>5.2517801596176319E-2</c:v>
                </c:pt>
                <c:pt idx="48">
                  <c:v>5.4786275243804625E-2</c:v>
                </c:pt>
                <c:pt idx="49">
                  <c:v>5.7103352371971693E-2</c:v>
                </c:pt>
                <c:pt idx="50">
                  <c:v>5.9469086352661266E-2</c:v>
                </c:pt>
                <c:pt idx="51">
                  <c:v>6.1883531709026912E-2</c:v>
                </c:pt>
                <c:pt idx="52">
                  <c:v>6.434674411855297E-2</c:v>
                </c:pt>
                <c:pt idx="53">
                  <c:v>6.6858780416284652E-2</c:v>
                </c:pt>
                <c:pt idx="54">
                  <c:v>6.9419698598128465E-2</c:v>
                </c:pt>
                <c:pt idx="55">
                  <c:v>7.2029557824222559E-2</c:v>
                </c:pt>
                <c:pt idx="56">
                  <c:v>7.4688418422378042E-2</c:v>
                </c:pt>
                <c:pt idx="57">
                  <c:v>7.7396341891590836E-2</c:v>
                </c:pt>
                <c:pt idx="58">
                  <c:v>8.0153390905625607E-2</c:v>
                </c:pt>
                <c:pt idx="59">
                  <c:v>8.2959629316670641E-2</c:v>
                </c:pt>
                <c:pt idx="60">
                  <c:v>8.5815122159065671E-2</c:v>
                </c:pt>
                <c:pt idx="61">
                  <c:v>8.8719935653101753E-2</c:v>
                </c:pt>
                <c:pt idx="62">
                  <c:v>9.1674137208894599E-2</c:v>
                </c:pt>
                <c:pt idx="63">
                  <c:v>9.4677795430330849E-2</c:v>
                </c:pt>
                <c:pt idx="64">
                  <c:v>9.7730980119088762E-2</c:v>
                </c:pt>
                <c:pt idx="65">
                  <c:v>0.10083376227873275</c:v>
                </c:pt>
                <c:pt idx="66">
                  <c:v>0.10398621411888298</c:v>
                </c:pt>
                <c:pt idx="67">
                  <c:v>0.10718840905946017</c:v>
                </c:pt>
                <c:pt idx="68">
                  <c:v>0.11044042173500589</c:v>
                </c:pt>
                <c:pt idx="69">
                  <c:v>0.1137423279990793</c:v>
                </c:pt>
                <c:pt idx="70">
                  <c:v>0.1170942049287305</c:v>
                </c:pt>
                <c:pt idx="71">
                  <c:v>0.12049613082905088</c:v>
                </c:pt>
                <c:pt idx="72">
                  <c:v>0.12394818523780123</c:v>
                </c:pt>
                <c:pt idx="73">
                  <c:v>0.12745044893011834</c:v>
                </c:pt>
                <c:pt idx="74">
                  <c:v>0.13100300392329964</c:v>
                </c:pt>
                <c:pt idx="75">
                  <c:v>0.13460593348166802</c:v>
                </c:pt>
                <c:pt idx="76">
                  <c:v>0.13825932212151543</c:v>
                </c:pt>
                <c:pt idx="77">
                  <c:v>0.14196325561612774</c:v>
                </c:pt>
                <c:pt idx="78">
                  <c:v>0.1457178210008899</c:v>
                </c:pt>
                <c:pt idx="79">
                  <c:v>0.14952310657847298</c:v>
                </c:pt>
                <c:pt idx="80">
                  <c:v>0.15337920192410284</c:v>
                </c:pt>
                <c:pt idx="81">
                  <c:v>0.1572861978909123</c:v>
                </c:pt>
                <c:pt idx="82">
                  <c:v>0.16124418661537535</c:v>
                </c:pt>
                <c:pt idx="83">
                  <c:v>0.16525326152282657</c:v>
                </c:pt>
                <c:pt idx="84">
                  <c:v>0.16931351733306421</c:v>
                </c:pt>
                <c:pt idx="85">
                  <c:v>0.17342505006603848</c:v>
                </c:pt>
                <c:pt idx="86">
                  <c:v>0.17758795704762645</c:v>
                </c:pt>
                <c:pt idx="87">
                  <c:v>0.18180233691549197</c:v>
                </c:pt>
                <c:pt idx="88">
                  <c:v>0.18606828962503449</c:v>
                </c:pt>
                <c:pt idx="89">
                  <c:v>0.19038591645542391</c:v>
                </c:pt>
                <c:pt idx="90">
                  <c:v>0.19475532001572554</c:v>
                </c:pt>
                <c:pt idx="91">
                  <c:v>0.199176604251113</c:v>
                </c:pt>
                <c:pt idx="92">
                  <c:v>0.20364987444917196</c:v>
                </c:pt>
                <c:pt idx="93">
                  <c:v>0.20817523724629394</c:v>
                </c:pt>
                <c:pt idx="94">
                  <c:v>0.21275280063416185</c:v>
                </c:pt>
                <c:pt idx="95">
                  <c:v>0.21738267396632746</c:v>
                </c:pt>
                <c:pt idx="96">
                  <c:v>0.22206496796488187</c:v>
                </c:pt>
                <c:pt idx="97">
                  <c:v>0.22679979472721984</c:v>
                </c:pt>
                <c:pt idx="98">
                  <c:v>0.23158726773289809</c:v>
                </c:pt>
                <c:pt idx="99">
                  <c:v>0.23642750185058947</c:v>
                </c:pt>
                <c:pt idx="100">
                  <c:v>0.2413206133451328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C2-4F15-A46E-B2CB0B1D0CAE}"/>
            </c:ext>
          </c:extLst>
        </c:ser>
        <c:ser>
          <c:idx val="1"/>
          <c:order val="3"/>
          <c:tx>
            <c:strRef>
              <c:f>'Efficiency vs Load Calculations'!$BL$8</c:f>
              <c:strCache>
                <c:ptCount val="1"/>
                <c:pt idx="0">
                  <c:v>Boost ''SYNC'' MOSFET Loss</c:v>
                </c:pt>
              </c:strCache>
            </c:strRef>
          </c:tx>
          <c:spPr>
            <a:ln w="38100">
              <a:solidFill>
                <a:srgbClr val="002060"/>
              </a:solidFill>
              <a:prstDash val="sysDot"/>
            </a:ln>
          </c:spPr>
          <c:marker>
            <c:symbol val="none"/>
          </c:marker>
          <c:cat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cat>
          <c:val>
            <c:numRef>
              <c:f>'Efficiency vs Load Calculations'!$BL$9:$BL$109</c:f>
              <c:numCache>
                <c:formatCode>0.000</c:formatCode>
                <c:ptCount val="101"/>
                <c:pt idx="0">
                  <c:v>7.3260000000000009E-3</c:v>
                </c:pt>
                <c:pt idx="1">
                  <c:v>8.4850908943355213E-3</c:v>
                </c:pt>
                <c:pt idx="2">
                  <c:v>9.678083402419848E-3</c:v>
                </c:pt>
                <c:pt idx="3">
                  <c:v>1.090500512882267E-2</c:v>
                </c:pt>
                <c:pt idx="4">
                  <c:v>1.216588528033211E-2</c:v>
                </c:pt>
                <c:pt idx="5">
                  <c:v>1.3460754668408096E-2</c:v>
                </c:pt>
                <c:pt idx="6">
                  <c:v>1.4789645711825339E-2</c:v>
                </c:pt>
                <c:pt idx="7">
                  <c:v>1.6152592439506321E-2</c:v>
                </c:pt>
                <c:pt idx="8">
                  <c:v>1.7549630493544861E-2</c:v>
                </c:pt>
                <c:pt idx="9">
                  <c:v>1.8980797132420797E-2</c:v>
                </c:pt>
                <c:pt idx="10">
                  <c:v>2.0446131234406362E-2</c:v>
                </c:pt>
                <c:pt idx="11">
                  <c:v>2.1945673301164939E-2</c:v>
                </c:pt>
                <c:pt idx="12">
                  <c:v>2.3479465461542864E-2</c:v>
                </c:pt>
                <c:pt idx="13">
                  <c:v>2.5047551475554951E-2</c:v>
                </c:pt>
                <c:pt idx="14">
                  <c:v>2.6649976738564601E-2</c:v>
                </c:pt>
                <c:pt idx="15">
                  <c:v>2.8286788285659243E-2</c:v>
                </c:pt>
                <c:pt idx="16">
                  <c:v>2.9958034796222006E-2</c:v>
                </c:pt>
                <c:pt idx="17">
                  <c:v>3.166376659870046E-2</c:v>
                </c:pt>
                <c:pt idx="18">
                  <c:v>3.3404035675573436E-2</c:v>
                </c:pt>
                <c:pt idx="19">
                  <c:v>3.5178895668516931E-2</c:v>
                </c:pt>
                <c:pt idx="20">
                  <c:v>3.6988401883770006E-2</c:v>
                </c:pt>
                <c:pt idx="21">
                  <c:v>3.8832611297701949E-2</c:v>
                </c:pt>
                <c:pt idx="22">
                  <c:v>4.0711582562581644E-2</c:v>
                </c:pt>
                <c:pt idx="23">
                  <c:v>4.2625376012550405E-2</c:v>
                </c:pt>
                <c:pt idx="24">
                  <c:v>4.45740536697996E-2</c:v>
                </c:pt>
                <c:pt idx="25">
                  <c:v>4.6557679250954054E-2</c:v>
                </c:pt>
                <c:pt idx="26">
                  <c:v>4.8576318173662772E-2</c:v>
                </c:pt>
                <c:pt idx="27">
                  <c:v>5.0630037563398372E-2</c:v>
                </c:pt>
                <c:pt idx="28">
                  <c:v>5.2718906260466367E-2</c:v>
                </c:pt>
                <c:pt idx="29">
                  <c:v>5.4842994827226058E-2</c:v>
                </c:pt>
                <c:pt idx="30">
                  <c:v>5.7002375555524405E-2</c:v>
                </c:pt>
                <c:pt idx="31">
                  <c:v>5.9197122474344312E-2</c:v>
                </c:pt>
                <c:pt idx="32">
                  <c:v>6.1427311357669219E-2</c:v>
                </c:pt>
                <c:pt idx="33">
                  <c:v>6.3693019732565387E-2</c:v>
                </c:pt>
                <c:pt idx="34">
                  <c:v>6.5994326887483773E-2</c:v>
                </c:pt>
                <c:pt idx="35">
                  <c:v>6.8331313880783021E-2</c:v>
                </c:pt>
                <c:pt idx="36">
                  <c:v>7.0704063549475837E-2</c:v>
                </c:pt>
                <c:pt idx="37">
                  <c:v>7.3112660518199812E-2</c:v>
                </c:pt>
                <c:pt idx="38">
                  <c:v>7.555719120841578E-2</c:v>
                </c:pt>
                <c:pt idx="39">
                  <c:v>7.803774384783424E-2</c:v>
                </c:pt>
                <c:pt idx="40">
                  <c:v>8.0554408480073392E-2</c:v>
                </c:pt>
                <c:pt idx="41">
                  <c:v>8.3107276974549532E-2</c:v>
                </c:pt>
                <c:pt idx="42">
                  <c:v>8.5696443036602912E-2</c:v>
                </c:pt>
                <c:pt idx="43">
                  <c:v>8.8322002217860685E-2</c:v>
                </c:pt>
                <c:pt idx="44">
                  <c:v>9.0984051926839449E-2</c:v>
                </c:pt>
                <c:pt idx="45">
                  <c:v>9.3682691439789786E-2</c:v>
                </c:pt>
                <c:pt idx="46">
                  <c:v>9.6418021911784724E-2</c:v>
                </c:pt>
                <c:pt idx="47">
                  <c:v>9.9190146388055248E-2</c:v>
                </c:pt>
                <c:pt idx="48">
                  <c:v>0.10199916981557462</c:v>
                </c:pt>
                <c:pt idx="49">
                  <c:v>0.10484519905489484</c:v>
                </c:pt>
                <c:pt idx="50">
                  <c:v>0.1077283428922369</c:v>
                </c:pt>
                <c:pt idx="51">
                  <c:v>0.11064871205183868</c:v>
                </c:pt>
                <c:pt idx="52">
                  <c:v>0.11360641920856224</c:v>
                </c:pt>
                <c:pt idx="53">
                  <c:v>0.11660157900076387</c:v>
                </c:pt>
                <c:pt idx="54">
                  <c:v>0.11963430804342966</c:v>
                </c:pt>
                <c:pt idx="55">
                  <c:v>0.12270472494157926</c:v>
                </c:pt>
                <c:pt idx="56">
                  <c:v>0.12581295030394174</c:v>
                </c:pt>
                <c:pt idx="57">
                  <c:v>0.12895910675690525</c:v>
                </c:pt>
                <c:pt idx="58">
                  <c:v>0.13214331895874515</c:v>
                </c:pt>
                <c:pt idx="59">
                  <c:v>0.13536571361413238</c:v>
                </c:pt>
                <c:pt idx="60">
                  <c:v>0.13862641948892704</c:v>
                </c:pt>
                <c:pt idx="61">
                  <c:v>0.14192556742525869</c:v>
                </c:pt>
                <c:pt idx="62">
                  <c:v>0.14526329035689867</c:v>
                </c:pt>
                <c:pt idx="63">
                  <c:v>0.14863972332492645</c:v>
                </c:pt>
                <c:pt idx="64">
                  <c:v>0.15205500349369466</c:v>
                </c:pt>
                <c:pt idx="65">
                  <c:v>0.1555092701670964</c:v>
                </c:pt>
                <c:pt idx="66">
                  <c:v>0.15900266480513769</c:v>
                </c:pt>
                <c:pt idx="67">
                  <c:v>0.16253533104082016</c:v>
                </c:pt>
                <c:pt idx="68">
                  <c:v>0.16610741469733725</c:v>
                </c:pt>
                <c:pt idx="69">
                  <c:v>0.16971906380558827</c:v>
                </c:pt>
                <c:pt idx="70">
                  <c:v>0.17337042862201377</c:v>
                </c:pt>
                <c:pt idx="71">
                  <c:v>0.17706166164675774</c:v>
                </c:pt>
                <c:pt idx="72">
                  <c:v>0.18079291764215949</c:v>
                </c:pt>
                <c:pt idx="73">
                  <c:v>0.18456435365158061</c:v>
                </c:pt>
                <c:pt idx="74">
                  <c:v>0.18837612901857148</c:v>
                </c:pt>
                <c:pt idx="75">
                  <c:v>0.19222840540638106</c:v>
                </c:pt>
                <c:pt idx="76">
                  <c:v>0.19612134681781568</c:v>
                </c:pt>
                <c:pt idx="77">
                  <c:v>0.20005511961545119</c:v>
                </c:pt>
                <c:pt idx="78">
                  <c:v>0.20402989254220333</c:v>
                </c:pt>
                <c:pt idx="79">
                  <c:v>0.20804583674226135</c:v>
                </c:pt>
                <c:pt idx="80">
                  <c:v>0.21210312578239002</c:v>
                </c:pt>
                <c:pt idx="81">
                  <c:v>0.21620193567360546</c:v>
                </c:pt>
                <c:pt idx="82">
                  <c:v>0.22034244489322949</c:v>
                </c:pt>
                <c:pt idx="83">
                  <c:v>0.22452483440732912</c:v>
                </c:pt>
                <c:pt idx="84">
                  <c:v>0.2287492876935453</c:v>
                </c:pt>
                <c:pt idx="85">
                  <c:v>0.23301599076431748</c:v>
                </c:pt>
                <c:pt idx="86">
                  <c:v>0.23732513219050985</c:v>
                </c:pt>
                <c:pt idx="87">
                  <c:v>0.24167690312544496</c:v>
                </c:pt>
                <c:pt idx="88">
                  <c:v>0.2460714973293503</c:v>
                </c:pt>
                <c:pt idx="89">
                  <c:v>0.25050911119422481</c:v>
                </c:pt>
                <c:pt idx="90">
                  <c:v>0.25498994376913148</c:v>
                </c:pt>
                <c:pt idx="91">
                  <c:v>0.25951419678592152</c:v>
                </c:pt>
                <c:pt idx="92">
                  <c:v>0.26408207468539852</c:v>
                </c:pt>
                <c:pt idx="93">
                  <c:v>0.26869378464392679</c:v>
                </c:pt>
                <c:pt idx="94">
                  <c:v>0.27334953660049371</c:v>
                </c:pt>
                <c:pt idx="95">
                  <c:v>0.27804954328423009</c:v>
                </c:pt>
                <c:pt idx="96">
                  <c:v>0.28279402024239825</c:v>
                </c:pt>
                <c:pt idx="97">
                  <c:v>0.28758318586885323</c:v>
                </c:pt>
                <c:pt idx="98">
                  <c:v>0.29241726143298558</c:v>
                </c:pt>
                <c:pt idx="99">
                  <c:v>0.29729647110915258</c:v>
                </c:pt>
                <c:pt idx="100">
                  <c:v>0.3022210420066076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C2-4F15-A46E-B2CB0B1D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012800"/>
        <c:axId val="142010624"/>
      </c:lineChart>
      <c:catAx>
        <c:axId val="141998336"/>
        <c:scaling>
          <c:orientation val="minMax"/>
        </c:scaling>
        <c:delete val="0"/>
        <c:axPos val="b"/>
        <c:majorGridlines>
          <c:spPr>
            <a:ln w="15875">
              <a:solidFill>
                <a:srgbClr val="969696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0000FF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>
                    <a:solidFill>
                      <a:srgbClr val="0000FF"/>
                    </a:solidFill>
                    <a:latin typeface="Arial" pitchFamily="34" charset="0"/>
                    <a:cs typeface="Arial" pitchFamily="34" charset="0"/>
                  </a:rPr>
                  <a:t>Load Current (A)</a:t>
                </a:r>
              </a:p>
            </c:rich>
          </c:tx>
          <c:layout>
            <c:manualLayout>
              <c:xMode val="edge"/>
              <c:yMode val="edge"/>
              <c:x val="0.41625343343709942"/>
              <c:y val="0.945719135737313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FF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42008704"/>
        <c:crosses val="autoZero"/>
        <c:auto val="1"/>
        <c:lblAlgn val="ctr"/>
        <c:lblOffset val="100"/>
        <c:tickLblSkip val="20"/>
        <c:tickMarkSkip val="20"/>
        <c:noMultiLvlLbl val="1"/>
      </c:catAx>
      <c:valAx>
        <c:axId val="142008704"/>
        <c:scaling>
          <c:orientation val="minMax"/>
          <c:max val="100"/>
          <c:min val="75"/>
        </c:scaling>
        <c:delete val="0"/>
        <c:axPos val="l"/>
        <c:majorGridlines>
          <c:spPr>
            <a:ln w="15875">
              <a:solidFill>
                <a:srgbClr val="80808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 b="1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Efficiency (%)</a:t>
                </a:r>
              </a:p>
            </c:rich>
          </c:tx>
          <c:layout>
            <c:manualLayout>
              <c:xMode val="edge"/>
              <c:yMode val="edge"/>
              <c:x val="1.2871858674081443E-2"/>
              <c:y val="0.3763817791568839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41998336"/>
        <c:crosses val="autoZero"/>
        <c:crossBetween val="between"/>
        <c:majorUnit val="5"/>
        <c:minorUnit val="2.5"/>
      </c:valAx>
      <c:valAx>
        <c:axId val="142010624"/>
        <c:scaling>
          <c:orientation val="minMax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Power Loss (W)</a:t>
                </a:r>
              </a:p>
            </c:rich>
          </c:tx>
          <c:layout>
            <c:manualLayout>
              <c:xMode val="edge"/>
              <c:yMode val="edge"/>
              <c:x val="0.95594291793250197"/>
              <c:y val="0.37048873366731228"/>
            </c:manualLayout>
          </c:layout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1100" b="1">
                <a:solidFill>
                  <a:sysClr val="windowText" lastClr="000000"/>
                </a:solidFill>
              </a:defRPr>
            </a:pPr>
            <a:endParaRPr lang="zh-TW"/>
          </a:p>
        </c:txPr>
        <c:crossAx val="142012800"/>
        <c:crosses val="max"/>
        <c:crossBetween val="between"/>
      </c:valAx>
      <c:catAx>
        <c:axId val="142012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2010624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36120408747265326"/>
          <c:y val="1.1892626175886978E-2"/>
          <c:w val="0.61417999772302789"/>
          <c:h val="9.057656090842369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itchFamily="34" charset="0"/>
              <a:ea typeface="Calibri"/>
              <a:cs typeface="Arial" pitchFamily="34" charset="0"/>
            </a:defRPr>
          </a:pPr>
          <a:endParaRPr lang="zh-TW"/>
        </a:p>
      </c:txPr>
    </c:legend>
    <c:plotVisOnly val="1"/>
    <c:dispBlanksAs val="gap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 paperSize="5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r>
              <a:rPr lang="en-US" sz="2000">
                <a:latin typeface="Arial" pitchFamily="34" charset="0"/>
                <a:cs typeface="Arial" pitchFamily="34" charset="0"/>
                <a:sym typeface="Symbol"/>
              </a:rPr>
              <a:t></a:t>
            </a:r>
            <a:r>
              <a:rPr lang="en-US" sz="2000" b="1" i="0" u="none" strike="noStrike" baseline="0"/>
              <a:t>,  I</a:t>
            </a:r>
            <a:r>
              <a:rPr lang="en-US" sz="2000" b="1" i="0" u="none" strike="noStrike" baseline="-25000"/>
              <a:t>OUT</a:t>
            </a:r>
            <a:r>
              <a:rPr lang="en-US" sz="2000" b="1" i="0" u="none" strike="noStrike" baseline="0"/>
              <a:t> = I</a:t>
            </a:r>
            <a:r>
              <a:rPr lang="en-US" sz="2000" b="1" i="0" u="none" strike="noStrike" baseline="-25000"/>
              <a:t>OUT(max)</a:t>
            </a:r>
            <a:endParaRPr lang="en-US" sz="2000">
              <a:latin typeface="Arial" pitchFamily="34" charset="0"/>
              <a:cs typeface="Arial" pitchFamily="34" charset="0"/>
            </a:endParaRPr>
          </a:p>
        </c:rich>
      </c:tx>
      <c:layout>
        <c:manualLayout>
          <c:xMode val="edge"/>
          <c:yMode val="edge"/>
          <c:x val="7.7082846781954192E-2"/>
          <c:y val="1.41099694661579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399604911965282E-2"/>
          <c:y val="0.12372903654825702"/>
          <c:w val="0.82579990228506228"/>
          <c:h val="0.76068566810117366"/>
        </c:manualLayout>
      </c:layout>
      <c:lineChart>
        <c:grouping val="standard"/>
        <c:varyColors val="0"/>
        <c:ser>
          <c:idx val="0"/>
          <c:order val="0"/>
          <c:tx>
            <c:v>Efficiency</c:v>
          </c:tx>
          <c:spPr>
            <a:ln w="3175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cat>
          <c:val>
            <c:numRef>
              <c:f>'Efficiency vs VIN Calculations'!$BH$9:$BH$209</c:f>
              <c:numCache>
                <c:formatCode>0.00</c:formatCode>
                <c:ptCount val="201"/>
                <c:pt idx="0">
                  <c:v>94.578878771037807</c:v>
                </c:pt>
                <c:pt idx="1">
                  <c:v>94.709991140466059</c:v>
                </c:pt>
                <c:pt idx="2">
                  <c:v>94.836084269955336</c:v>
                </c:pt>
                <c:pt idx="3">
                  <c:v>94.957407130248555</c:v>
                </c:pt>
                <c:pt idx="4">
                  <c:v>95.074188407071944</c:v>
                </c:pt>
                <c:pt idx="5">
                  <c:v>95.186638223225543</c:v>
                </c:pt>
                <c:pt idx="6">
                  <c:v>95.294949713237742</c:v>
                </c:pt>
                <c:pt idx="7">
                  <c:v>95.399300469791584</c:v>
                </c:pt>
                <c:pt idx="8">
                  <c:v>95.499853879386237</c:v>
                </c:pt>
                <c:pt idx="9">
                  <c:v>95.596760363402851</c:v>
                </c:pt>
                <c:pt idx="10">
                  <c:v>95.690158539916183</c:v>
                </c:pt>
                <c:pt idx="11">
                  <c:v>95.780176321297589</c:v>
                </c:pt>
                <c:pt idx="12">
                  <c:v>95.8669319630188</c:v>
                </c:pt>
                <c:pt idx="13">
                  <c:v>95.988465636603209</c:v>
                </c:pt>
                <c:pt idx="14">
                  <c:v>96.076827323356824</c:v>
                </c:pt>
                <c:pt idx="15">
                  <c:v>96.161866671542853</c:v>
                </c:pt>
                <c:pt idx="16">
                  <c:v>96.243533345919829</c:v>
                </c:pt>
                <c:pt idx="17">
                  <c:v>96.32177409529227</c:v>
                </c:pt>
                <c:pt idx="18">
                  <c:v>96.39653454875554</c:v>
                </c:pt>
                <c:pt idx="19">
                  <c:v>96.467761264160529</c:v>
                </c:pt>
                <c:pt idx="20">
                  <c:v>96.535404133396213</c:v>
                </c:pt>
                <c:pt idx="21">
                  <c:v>96.59941930525126</c:v>
                </c:pt>
                <c:pt idx="22">
                  <c:v>96.659772887691005</c:v>
                </c:pt>
                <c:pt idx="23">
                  <c:v>96.685608192042125</c:v>
                </c:pt>
                <c:pt idx="24">
                  <c:v>96.670346858721885</c:v>
                </c:pt>
                <c:pt idx="25">
                  <c:v>96.653798091440251</c:v>
                </c:pt>
                <c:pt idx="26">
                  <c:v>96.635752856785459</c:v>
                </c:pt>
                <c:pt idx="27">
                  <c:v>96.616123498232412</c:v>
                </c:pt>
                <c:pt idx="28">
                  <c:v>96.594876873040562</c:v>
                </c:pt>
                <c:pt idx="29">
                  <c:v>96.572011496186576</c:v>
                </c:pt>
                <c:pt idx="30">
                  <c:v>96.547546155736669</c:v>
                </c:pt>
                <c:pt idx="31">
                  <c:v>96.521513251227674</c:v>
                </c:pt>
                <c:pt idx="32">
                  <c:v>96.493954516573126</c:v>
                </c:pt>
                <c:pt idx="33">
                  <c:v>96.464918105131005</c:v>
                </c:pt>
                <c:pt idx="34">
                  <c:v>96.434456520784721</c:v>
                </c:pt>
                <c:pt idx="35">
                  <c:v>96.402625107085143</c:v>
                </c:pt>
                <c:pt idx="36">
                  <c:v>96.369480921494883</c:v>
                </c:pt>
                <c:pt idx="37">
                  <c:v>96.335081884763639</c:v>
                </c:pt>
                <c:pt idx="38">
                  <c:v>96.299486132286376</c:v>
                </c:pt>
                <c:pt idx="39">
                  <c:v>96.262751516981453</c:v>
                </c:pt>
                <c:pt idx="40">
                  <c:v>96.224935227815038</c:v>
                </c:pt>
                <c:pt idx="41">
                  <c:v>96.186093497827088</c:v>
                </c:pt>
                <c:pt idx="42">
                  <c:v>96.584268414170467</c:v>
                </c:pt>
                <c:pt idx="43">
                  <c:v>96.56289208418012</c:v>
                </c:pt>
                <c:pt idx="44">
                  <c:v>96.541510736923826</c:v>
                </c:pt>
                <c:pt idx="45">
                  <c:v>96.520128468813596</c:v>
                </c:pt>
                <c:pt idx="46">
                  <c:v>96.498749363131068</c:v>
                </c:pt>
                <c:pt idx="47">
                  <c:v>96.477377462149775</c:v>
                </c:pt>
                <c:pt idx="48">
                  <c:v>96.456016744691837</c:v>
                </c:pt>
                <c:pt idx="49">
                  <c:v>96.434671108195914</c:v>
                </c:pt>
                <c:pt idx="50">
                  <c:v>96.413344354539475</c:v>
                </c:pt>
                <c:pt idx="51">
                  <c:v>96.392040178991707</c:v>
                </c:pt>
                <c:pt idx="52">
                  <c:v>96.370762161779567</c:v>
                </c:pt>
                <c:pt idx="53">
                  <c:v>96.349513761836491</c:v>
                </c:pt>
                <c:pt idx="54">
                  <c:v>96.328298312374088</c:v>
                </c:pt>
                <c:pt idx="55">
                  <c:v>96.307119017974699</c:v>
                </c:pt>
                <c:pt idx="56">
                  <c:v>96.285978952951695</c:v>
                </c:pt>
                <c:pt idx="57">
                  <c:v>96.264881060763031</c:v>
                </c:pt>
                <c:pt idx="58">
                  <c:v>96.243828154297773</c:v>
                </c:pt>
                <c:pt idx="59">
                  <c:v>96.222822916882691</c:v>
                </c:pt>
                <c:pt idx="60">
                  <c:v>96.201867903879176</c:v>
                </c:pt>
                <c:pt idx="61">
                  <c:v>96.180965544761136</c:v>
                </c:pt>
                <c:pt idx="62">
                  <c:v>96.160118145580114</c:v>
                </c:pt>
                <c:pt idx="63">
                  <c:v>96.139327891739129</c:v>
                </c:pt>
                <c:pt idx="64">
                  <c:v>96.118596851007823</c:v>
                </c:pt>
                <c:pt idx="65">
                  <c:v>96.097926976721965</c:v>
                </c:pt>
                <c:pt idx="66">
                  <c:v>96.077320111119505</c:v>
                </c:pt>
                <c:pt idx="67">
                  <c:v>96.056777988771927</c:v>
                </c:pt>
                <c:pt idx="68">
                  <c:v>96.03630224007685</c:v>
                </c:pt>
                <c:pt idx="69">
                  <c:v>96.015894394782549</c:v>
                </c:pt>
                <c:pt idx="70">
                  <c:v>95.995555885520474</c:v>
                </c:pt>
                <c:pt idx="71">
                  <c:v>95.975288051324853</c:v>
                </c:pt>
                <c:pt idx="72">
                  <c:v>95.955092141123131</c:v>
                </c:pt>
                <c:pt idx="73">
                  <c:v>95.934969317182578</c:v>
                </c:pt>
                <c:pt idx="74">
                  <c:v>95.914920658502041</c:v>
                </c:pt>
                <c:pt idx="75">
                  <c:v>95.894947164139381</c:v>
                </c:pt>
                <c:pt idx="76">
                  <c:v>95.87504975646705</c:v>
                </c:pt>
                <c:pt idx="77">
                  <c:v>95.855229284350074</c:v>
                </c:pt>
                <c:pt idx="78">
                  <c:v>95.83548652624188</c:v>
                </c:pt>
                <c:pt idx="79">
                  <c:v>95.815822193194307</c:v>
                </c:pt>
                <c:pt idx="80">
                  <c:v>95.79623693178003</c:v>
                </c:pt>
                <c:pt idx="81">
                  <c:v>95.776731326925145</c:v>
                </c:pt>
                <c:pt idx="82">
                  <c:v>95.757305904651673</c:v>
                </c:pt>
                <c:pt idx="83">
                  <c:v>95.737961134729346</c:v>
                </c:pt>
                <c:pt idx="84">
                  <c:v>95.718697433237139</c:v>
                </c:pt>
                <c:pt idx="85">
                  <c:v>95.699515165035265</c:v>
                </c:pt>
                <c:pt idx="86">
                  <c:v>95.680414646148577</c:v>
                </c:pt>
                <c:pt idx="87">
                  <c:v>95.661396146062742</c:v>
                </c:pt>
                <c:pt idx="88">
                  <c:v>95.642459889934912</c:v>
                </c:pt>
                <c:pt idx="89">
                  <c:v>95.623606060720391</c:v>
                </c:pt>
                <c:pt idx="90">
                  <c:v>95.60483480121755</c:v>
                </c:pt>
                <c:pt idx="91">
                  <c:v>95.586146216032702</c:v>
                </c:pt>
                <c:pt idx="92">
                  <c:v>95.567540373467338</c:v>
                </c:pt>
                <c:pt idx="93">
                  <c:v>95.549017307329848</c:v>
                </c:pt>
                <c:pt idx="94">
                  <c:v>95.530577018673881</c:v>
                </c:pt>
                <c:pt idx="95">
                  <c:v>95.512219477465592</c:v>
                </c:pt>
                <c:pt idx="96">
                  <c:v>95.493944624182419</c:v>
                </c:pt>
                <c:pt idx="97">
                  <c:v>95.475752371345095</c:v>
                </c:pt>
                <c:pt idx="98">
                  <c:v>95.457642604985551</c:v>
                </c:pt>
                <c:pt idx="99">
                  <c:v>95.439615186052919</c:v>
                </c:pt>
                <c:pt idx="100">
                  <c:v>95.421669951759668</c:v>
                </c:pt>
                <c:pt idx="101">
                  <c:v>95.403806716870193</c:v>
                </c:pt>
                <c:pt idx="102">
                  <c:v>95.386025274933885</c:v>
                </c:pt>
                <c:pt idx="103">
                  <c:v>95.368325399464865</c:v>
                </c:pt>
                <c:pt idx="104">
                  <c:v>95.350706845070377</c:v>
                </c:pt>
                <c:pt idx="105">
                  <c:v>95.333169348529623</c:v>
                </c:pt>
                <c:pt idx="106">
                  <c:v>95.315712629825384</c:v>
                </c:pt>
                <c:pt idx="107">
                  <c:v>95.298336393129901</c:v>
                </c:pt>
                <c:pt idx="108">
                  <c:v>95.281040327746922</c:v>
                </c:pt>
                <c:pt idx="109">
                  <c:v>95.263824109011892</c:v>
                </c:pt>
                <c:pt idx="110">
                  <c:v>95.246687399151625</c:v>
                </c:pt>
                <c:pt idx="111">
                  <c:v>95.229629848105475</c:v>
                </c:pt>
                <c:pt idx="112">
                  <c:v>95.212651094309123</c:v>
                </c:pt>
                <c:pt idx="113">
                  <c:v>95.195750765443137</c:v>
                </c:pt>
                <c:pt idx="114">
                  <c:v>95.178928479147118</c:v>
                </c:pt>
                <c:pt idx="115">
                  <c:v>95.162183843701271</c:v>
                </c:pt>
                <c:pt idx="116">
                  <c:v>95.145516458676738</c:v>
                </c:pt>
                <c:pt idx="117">
                  <c:v>95.128925915555769</c:v>
                </c:pt>
                <c:pt idx="118">
                  <c:v>95.112411798323294</c:v>
                </c:pt>
                <c:pt idx="119">
                  <c:v>95.095973684030852</c:v>
                </c:pt>
                <c:pt idx="120">
                  <c:v>95.07961114333429</c:v>
                </c:pt>
                <c:pt idx="121">
                  <c:v>95.063323741006059</c:v>
                </c:pt>
                <c:pt idx="122">
                  <c:v>95.047111036423587</c:v>
                </c:pt>
                <c:pt idx="123">
                  <c:v>95.030972584034359</c:v>
                </c:pt>
                <c:pt idx="124">
                  <c:v>95.014907933798938</c:v>
                </c:pt>
                <c:pt idx="125">
                  <c:v>94.998916631612801</c:v>
                </c:pt>
                <c:pt idx="126">
                  <c:v>94.98299821970798</c:v>
                </c:pt>
                <c:pt idx="127">
                  <c:v>94.967152237035208</c:v>
                </c:pt>
                <c:pt idx="128">
                  <c:v>94.951378219627671</c:v>
                </c:pt>
                <c:pt idx="129">
                  <c:v>94.935675700946987</c:v>
                </c:pt>
                <c:pt idx="130">
                  <c:v>94.920044212212119</c:v>
                </c:pt>
                <c:pt idx="131">
                  <c:v>94.904483282712249</c:v>
                </c:pt>
                <c:pt idx="132">
                  <c:v>94.888992440104047</c:v>
                </c:pt>
                <c:pt idx="133">
                  <c:v>94.873571210694109</c:v>
                </c:pt>
                <c:pt idx="134">
                  <c:v>94.858219119707258</c:v>
                </c:pt>
                <c:pt idx="135">
                  <c:v>94.842935691541271</c:v>
                </c:pt>
                <c:pt idx="136">
                  <c:v>94.827720450008698</c:v>
                </c:pt>
                <c:pt idx="137">
                  <c:v>94.812572918566218</c:v>
                </c:pt>
                <c:pt idx="138">
                  <c:v>94.797492620532211</c:v>
                </c:pt>
                <c:pt idx="139">
                  <c:v>94.782479079293012</c:v>
                </c:pt>
                <c:pt idx="140">
                  <c:v>94.767531818498412</c:v>
                </c:pt>
                <c:pt idx="141">
                  <c:v>94.752650362246655</c:v>
                </c:pt>
                <c:pt idx="142">
                  <c:v>94.737834235259797</c:v>
                </c:pt>
                <c:pt idx="143">
                  <c:v>94.723082963049464</c:v>
                </c:pt>
                <c:pt idx="144">
                  <c:v>94.708396072073668</c:v>
                </c:pt>
                <c:pt idx="145">
                  <c:v>94.693773089884985</c:v>
                </c:pt>
                <c:pt idx="146">
                  <c:v>94.679213545270585</c:v>
                </c:pt>
                <c:pt idx="147">
                  <c:v>94.664716968384312</c:v>
                </c:pt>
                <c:pt idx="148">
                  <c:v>94.650282890871324</c:v>
                </c:pt>
                <c:pt idx="149">
                  <c:v>94.635910845985521</c:v>
                </c:pt>
                <c:pt idx="150">
                  <c:v>94.621600368700271</c:v>
                </c:pt>
                <c:pt idx="151">
                  <c:v>94.607350995812396</c:v>
                </c:pt>
                <c:pt idx="152">
                  <c:v>94.593162266040082</c:v>
                </c:pt>
                <c:pt idx="153">
                  <c:v>94.579033720114793</c:v>
                </c:pt>
                <c:pt idx="154">
                  <c:v>94.564964900867494</c:v>
                </c:pt>
                <c:pt idx="155">
                  <c:v>94.550955353309448</c:v>
                </c:pt>
                <c:pt idx="156">
                  <c:v>94.537004624707876</c:v>
                </c:pt>
                <c:pt idx="157">
                  <c:v>94.523112264656689</c:v>
                </c:pt>
                <c:pt idx="158">
                  <c:v>94.509277825142334</c:v>
                </c:pt>
                <c:pt idx="159">
                  <c:v>94.495500860605503</c:v>
                </c:pt>
                <c:pt idx="160">
                  <c:v>94.481780927998145</c:v>
                </c:pt>
                <c:pt idx="161">
                  <c:v>94.468117586836769</c:v>
                </c:pt>
                <c:pt idx="162">
                  <c:v>94.454510399251518</c:v>
                </c:pt>
                <c:pt idx="163">
                  <c:v>94.440958930031741</c:v>
                </c:pt>
                <c:pt idx="164">
                  <c:v>94.427462746668027</c:v>
                </c:pt>
                <c:pt idx="165">
                  <c:v>94.414021419390693</c:v>
                </c:pt>
                <c:pt idx="166">
                  <c:v>94.400634521205262</c:v>
                </c:pt>
                <c:pt idx="167">
                  <c:v>94.387301627924671</c:v>
                </c:pt>
                <c:pt idx="168">
                  <c:v>94.374022318198769</c:v>
                </c:pt>
                <c:pt idx="169">
                  <c:v>94.360796173540876</c:v>
                </c:pt>
                <c:pt idx="170">
                  <c:v>94.347622778351749</c:v>
                </c:pt>
                <c:pt idx="171">
                  <c:v>94.334501719941045</c:v>
                </c:pt>
                <c:pt idx="172">
                  <c:v>94.321432588546401</c:v>
                </c:pt>
                <c:pt idx="173">
                  <c:v>94.308414977350125</c:v>
                </c:pt>
                <c:pt idx="174">
                  <c:v>94.295448482493853</c:v>
                </c:pt>
                <c:pt idx="175">
                  <c:v>94.282532703091107</c:v>
                </c:pt>
                <c:pt idx="176">
                  <c:v>94.269667241237769</c:v>
                </c:pt>
                <c:pt idx="177">
                  <c:v>94.256851702020867</c:v>
                </c:pt>
                <c:pt idx="178">
                  <c:v>94.24408569352552</c:v>
                </c:pt>
                <c:pt idx="179">
                  <c:v>94.231368826840139</c:v>
                </c:pt>
                <c:pt idx="180">
                  <c:v>94.218700716060098</c:v>
                </c:pt>
                <c:pt idx="181">
                  <c:v>94.20608097828989</c:v>
                </c:pt>
                <c:pt idx="182">
                  <c:v>94.193509233643795</c:v>
                </c:pt>
                <c:pt idx="183">
                  <c:v>94.18098510524527</c:v>
                </c:pt>
                <c:pt idx="184">
                  <c:v>94.168508219224918</c:v>
                </c:pt>
                <c:pt idx="185">
                  <c:v>94.156078204717389</c:v>
                </c:pt>
                <c:pt idx="186">
                  <c:v>94.143694693856986</c:v>
                </c:pt>
                <c:pt idx="187">
                  <c:v>94.131357321772214</c:v>
                </c:pt>
                <c:pt idx="188">
                  <c:v>94.11906572657935</c:v>
                </c:pt>
                <c:pt idx="189">
                  <c:v>94.106819549374976</c:v>
                </c:pt>
                <c:pt idx="190">
                  <c:v>94.094618434227542</c:v>
                </c:pt>
                <c:pt idx="191">
                  <c:v>94.082462028168152</c:v>
                </c:pt>
                <c:pt idx="192">
                  <c:v>94.070349981180485</c:v>
                </c:pt>
                <c:pt idx="193">
                  <c:v>94.058281946189908</c:v>
                </c:pt>
                <c:pt idx="194">
                  <c:v>94.046257579051854</c:v>
                </c:pt>
                <c:pt idx="195">
                  <c:v>94.034276538539615</c:v>
                </c:pt>
                <c:pt idx="196">
                  <c:v>94.022338486331293</c:v>
                </c:pt>
                <c:pt idx="197">
                  <c:v>94.010443086996375</c:v>
                </c:pt>
                <c:pt idx="198">
                  <c:v>93.998590007981491</c:v>
                </c:pt>
                <c:pt idx="199">
                  <c:v>93.986778919595864</c:v>
                </c:pt>
                <c:pt idx="200">
                  <c:v>93.975009494996115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01-4995-8D1B-32BA3094C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45856"/>
        <c:axId val="157947776"/>
      </c:lineChart>
      <c:lineChart>
        <c:grouping val="standard"/>
        <c:varyColors val="0"/>
        <c:ser>
          <c:idx val="3"/>
          <c:order val="1"/>
          <c:tx>
            <c:v>Inductor Loss</c:v>
          </c:tx>
          <c:spPr>
            <a:ln w="38100">
              <a:solidFill>
                <a:srgbClr val="800080"/>
              </a:solidFill>
              <a:prstDash val="dash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cat>
          <c:val>
            <c:numRef>
              <c:f>'Efficiency vs VIN Calculations'!$BI$9:$BI$209</c:f>
              <c:numCache>
                <c:formatCode>0.000</c:formatCode>
                <c:ptCount val="201"/>
                <c:pt idx="0">
                  <c:v>0.52266939328509698</c:v>
                </c:pt>
                <c:pt idx="1">
                  <c:v>0.50535291510877633</c:v>
                </c:pt>
                <c:pt idx="2">
                  <c:v>0.4886842842851874</c:v>
                </c:pt>
                <c:pt idx="3">
                  <c:v>0.47263712699389088</c:v>
                </c:pt>
                <c:pt idx="4">
                  <c:v>0.45718839980281972</c:v>
                </c:pt>
                <c:pt idx="5">
                  <c:v>0.44231807313909449</c:v>
                </c:pt>
                <c:pt idx="6">
                  <c:v>0.42800883771867282</c:v>
                </c:pt>
                <c:pt idx="7">
                  <c:v>0.41424582976611574</c:v>
                </c:pt>
                <c:pt idx="8">
                  <c:v>0.40101637107026444</c:v>
                </c:pt>
                <c:pt idx="9">
                  <c:v>0.38830971999758734</c:v>
                </c:pt>
                <c:pt idx="10">
                  <c:v>0.37611682949903075</c:v>
                </c:pt>
                <c:pt idx="11">
                  <c:v>0.36443010785511948</c:v>
                </c:pt>
                <c:pt idx="12">
                  <c:v>0.35324317733230703</c:v>
                </c:pt>
                <c:pt idx="13">
                  <c:v>0.39142296142217275</c:v>
                </c:pt>
                <c:pt idx="14">
                  <c:v>0.37251656377119446</c:v>
                </c:pt>
                <c:pt idx="15">
                  <c:v>0.35443191409947938</c:v>
                </c:pt>
                <c:pt idx="16">
                  <c:v>0.33722004248016868</c:v>
                </c:pt>
                <c:pt idx="17">
                  <c:v>0.32093109287394578</c:v>
                </c:pt>
                <c:pt idx="18">
                  <c:v>0.30561359202819788</c:v>
                </c:pt>
                <c:pt idx="19">
                  <c:v>0.291313582247754</c:v>
                </c:pt>
                <c:pt idx="20">
                  <c:v>0.2780735655456511</c:v>
                </c:pt>
                <c:pt idx="21">
                  <c:v>0.26593117787775045</c:v>
                </c:pt>
                <c:pt idx="22">
                  <c:v>0.25491746047794112</c:v>
                </c:pt>
                <c:pt idx="23">
                  <c:v>0.2413217515765908</c:v>
                </c:pt>
                <c:pt idx="24">
                  <c:v>0.24163338723442168</c:v>
                </c:pt>
                <c:pt idx="25">
                  <c:v>0.24266501768601004</c:v>
                </c:pt>
                <c:pt idx="26">
                  <c:v>0.24452163701938137</c:v>
                </c:pt>
                <c:pt idx="27">
                  <c:v>0.247246507144431</c:v>
                </c:pt>
                <c:pt idx="28">
                  <c:v>0.25085539244612481</c:v>
                </c:pt>
                <c:pt idx="29">
                  <c:v>0.25534821987706313</c:v>
                </c:pt>
                <c:pt idx="30">
                  <c:v>0.26071486022897389</c:v>
                </c:pt>
                <c:pt idx="31">
                  <c:v>0.26693849253869895</c:v>
                </c:pt>
                <c:pt idx="32">
                  <c:v>0.27399775088275546</c:v>
                </c:pt>
                <c:pt idx="33">
                  <c:v>0.28186817759899851</c:v>
                </c:pt>
                <c:pt idx="34">
                  <c:v>0.29052324729110063</c:v>
                </c:pt>
                <c:pt idx="35">
                  <c:v>0.29993510892193759</c:v>
                </c:pt>
                <c:pt idx="36">
                  <c:v>0.31007513432999151</c:v>
                </c:pt>
                <c:pt idx="37">
                  <c:v>0.32091432921200752</c:v>
                </c:pt>
                <c:pt idx="38">
                  <c:v>0.33242364374810457</c:v>
                </c:pt>
                <c:pt idx="39">
                  <c:v>0.34457420843225711</c:v>
                </c:pt>
                <c:pt idx="40">
                  <c:v>0.35733751321057494</c:v>
                </c:pt>
                <c:pt idx="41">
                  <c:v>0.37068554306330664</c:v>
                </c:pt>
                <c:pt idx="42">
                  <c:v>0.24887054214555632</c:v>
                </c:pt>
                <c:pt idx="43">
                  <c:v>0.25229976892376543</c:v>
                </c:pt>
                <c:pt idx="44">
                  <c:v>0.25584896182478412</c:v>
                </c:pt>
                <c:pt idx="45">
                  <c:v>0.25951214201007566</c:v>
                </c:pt>
                <c:pt idx="46">
                  <c:v>0.26328351658000271</c:v>
                </c:pt>
                <c:pt idx="47">
                  <c:v>0.26715748194367039</c:v>
                </c:pt>
                <c:pt idx="48">
                  <c:v>0.2711286252231464</c:v>
                </c:pt>
                <c:pt idx="49">
                  <c:v>0.27519172409321829</c:v>
                </c:pt>
                <c:pt idx="50">
                  <c:v>0.27934174537981421</c:v>
                </c:pt>
                <c:pt idx="51">
                  <c:v>0.28357384267855396</c:v>
                </c:pt>
                <c:pt idx="52">
                  <c:v>0.28788335320580716</c:v>
                </c:pt>
                <c:pt idx="53">
                  <c:v>0.29226579405527714</c:v>
                </c:pt>
                <c:pt idx="54">
                  <c:v>0.29671685800136693</c:v>
                </c:pt>
                <c:pt idx="55">
                  <c:v>0.30123240896483361</c:v>
                </c:pt>
                <c:pt idx="56">
                  <c:v>0.30580847723523491</c:v>
                </c:pt>
                <c:pt idx="57">
                  <c:v>0.31044125452749799</c:v>
                </c:pt>
                <c:pt idx="58">
                  <c:v>0.31512708893581376</c:v>
                </c:pt>
                <c:pt idx="59">
                  <c:v>0.31986247983643268</c:v>
                </c:pt>
                <c:pt idx="60">
                  <c:v>0.32464407278132024</c:v>
                </c:pt>
                <c:pt idx="61">
                  <c:v>0.32946865441667317</c:v>
                </c:pt>
                <c:pt idx="62">
                  <c:v>0.33433314745368475</c:v>
                </c:pt>
                <c:pt idx="63">
                  <c:v>0.33923460571346131</c:v>
                </c:pt>
                <c:pt idx="64">
                  <c:v>0.34417020926342595</c:v>
                </c:pt>
                <c:pt idx="65">
                  <c:v>0.34913725965875159</c:v>
                </c:pt>
                <c:pt idx="66">
                  <c:v>0.35413317529919464</c:v>
                </c:pt>
                <c:pt idx="67">
                  <c:v>0.35915548690908233</c:v>
                </c:pt>
                <c:pt idx="68">
                  <c:v>0.36420183314601118</c:v>
                </c:pt>
                <c:pt idx="69">
                  <c:v>0.36926995634201498</c:v>
                </c:pt>
                <c:pt idx="70">
                  <c:v>0.37435769837944255</c:v>
                </c:pt>
                <c:pt idx="71">
                  <c:v>0.37946299670256589</c:v>
                </c:pt>
                <c:pt idx="72">
                  <c:v>0.38458388046490666</c:v>
                </c:pt>
                <c:pt idx="73">
                  <c:v>0.38971846681144212</c:v>
                </c:pt>
                <c:pt idx="74">
                  <c:v>0.39486495729417964</c:v>
                </c:pt>
                <c:pt idx="75">
                  <c:v>0.40002163441903016</c:v>
                </c:pt>
                <c:pt idx="76">
                  <c:v>0.40518685832149759</c:v>
                </c:pt>
                <c:pt idx="77">
                  <c:v>0.41035906356833196</c:v>
                </c:pt>
                <c:pt idx="78">
                  <c:v>0.41553675608205903</c:v>
                </c:pt>
                <c:pt idx="79">
                  <c:v>0.42071851018508344</c:v>
                </c:pt>
                <c:pt idx="80">
                  <c:v>0.42590296575992359</c:v>
                </c:pt>
                <c:pt idx="81">
                  <c:v>0.4310888255220453</c:v>
                </c:pt>
                <c:pt idx="82">
                  <c:v>0.43627485240169817</c:v>
                </c:pt>
                <c:pt idx="83">
                  <c:v>0.44145986703113704</c:v>
                </c:pt>
                <c:pt idx="84">
                  <c:v>0.4466427453336056</c:v>
                </c:pt>
                <c:pt idx="85">
                  <c:v>0.45182241621048602</c:v>
                </c:pt>
                <c:pt idx="86">
                  <c:v>0.45699785932306347</c:v>
                </c:pt>
                <c:pt idx="87">
                  <c:v>0.46216810296539568</c:v>
                </c:pt>
                <c:pt idx="88">
                  <c:v>0.46733222202485653</c:v>
                </c:pt>
                <c:pt idx="89">
                  <c:v>0.47248933602699406</c:v>
                </c:pt>
                <c:pt idx="90">
                  <c:v>0.47763860726142338</c:v>
                </c:pt>
                <c:pt idx="91">
                  <c:v>0.48277923898556507</c:v>
                </c:pt>
                <c:pt idx="92">
                  <c:v>0.48791047370313556</c:v>
                </c:pt>
                <c:pt idx="93">
                  <c:v>0.49303159151437803</c:v>
                </c:pt>
                <c:pt idx="94">
                  <c:v>0.49814190853513945</c:v>
                </c:pt>
                <c:pt idx="95">
                  <c:v>0.50324077538197043</c:v>
                </c:pt>
                <c:pt idx="96">
                  <c:v>0.50832757572054899</c:v>
                </c:pt>
                <c:pt idx="97">
                  <c:v>0.51340172487479874</c:v>
                </c:pt>
                <c:pt idx="98">
                  <c:v>0.51846266849419587</c:v>
                </c:pt>
                <c:pt idx="99">
                  <c:v>0.52350988127682163</c:v>
                </c:pt>
                <c:pt idx="100">
                  <c:v>0.52854286574584541</c:v>
                </c:pt>
                <c:pt idx="101">
                  <c:v>0.53356115107717916</c:v>
                </c:pt>
                <c:pt idx="102">
                  <c:v>0.53856429197615807</c:v>
                </c:pt>
                <c:pt idx="103">
                  <c:v>0.54355186760117036</c:v>
                </c:pt>
                <c:pt idx="104">
                  <c:v>0.54852348053226252</c:v>
                </c:pt>
                <c:pt idx="105">
                  <c:v>0.55347875578280026</c:v>
                </c:pt>
                <c:pt idx="106">
                  <c:v>0.5584173398523693</c:v>
                </c:pt>
                <c:pt idx="107">
                  <c:v>0.56333889981916141</c:v>
                </c:pt>
                <c:pt idx="108">
                  <c:v>0.56824312247016795</c:v>
                </c:pt>
                <c:pt idx="109">
                  <c:v>0.5731297134675758</c:v>
                </c:pt>
                <c:pt idx="110">
                  <c:v>0.57799839654981944</c:v>
                </c:pt>
                <c:pt idx="111">
                  <c:v>0.58284891276582662</c:v>
                </c:pt>
                <c:pt idx="112">
                  <c:v>0.58768101974103182</c:v>
                </c:pt>
                <c:pt idx="113">
                  <c:v>0.59249449097382056</c:v>
                </c:pt>
                <c:pt idx="114">
                  <c:v>0.59728911516110417</c:v>
                </c:pt>
                <c:pt idx="115">
                  <c:v>0.6020646955517821</c:v>
                </c:pt>
                <c:pt idx="116">
                  <c:v>0.60682104932692149</c:v>
                </c:pt>
                <c:pt idx="117">
                  <c:v>0.61155800700551077</c:v>
                </c:pt>
                <c:pt idx="118">
                  <c:v>0.61627541187470358</c:v>
                </c:pt>
                <c:pt idx="119">
                  <c:v>0.62097311944352096</c:v>
                </c:pt>
                <c:pt idx="120">
                  <c:v>0.6256509969190196</c:v>
                </c:pt>
                <c:pt idx="121">
                  <c:v>0.63030892270396544</c:v>
                </c:pt>
                <c:pt idx="122">
                  <c:v>0.63494678591512776</c:v>
                </c:pt>
                <c:pt idx="123">
                  <c:v>0.63956448592129633</c:v>
                </c:pt>
                <c:pt idx="124">
                  <c:v>0.6441619319002212</c:v>
                </c:pt>
                <c:pt idx="125">
                  <c:v>0.64873904241365588</c:v>
                </c:pt>
                <c:pt idx="126">
                  <c:v>0.65329574499975485</c:v>
                </c:pt>
                <c:pt idx="127">
                  <c:v>0.65783197578210084</c:v>
                </c:pt>
                <c:pt idx="128">
                  <c:v>0.66234767909466075</c:v>
                </c:pt>
                <c:pt idx="129">
                  <c:v>0.6668428071220055</c:v>
                </c:pt>
                <c:pt idx="130">
                  <c:v>0.67131731955416063</c:v>
                </c:pt>
                <c:pt idx="131">
                  <c:v>0.67577118325547447</c:v>
                </c:pt>
                <c:pt idx="132">
                  <c:v>0.6802043719469214</c:v>
                </c:pt>
                <c:pt idx="133">
                  <c:v>0.68461686590129434</c:v>
                </c:pt>
                <c:pt idx="134">
                  <c:v>0.68900865165072944</c:v>
                </c:pt>
                <c:pt idx="135">
                  <c:v>0.69337972170607476</c:v>
                </c:pt>
                <c:pt idx="136">
                  <c:v>0.69773007428760692</c:v>
                </c:pt>
                <c:pt idx="137">
                  <c:v>0.70205971306661996</c:v>
                </c:pt>
                <c:pt idx="138">
                  <c:v>0.70636864691745394</c:v>
                </c:pt>
                <c:pt idx="139">
                  <c:v>0.71065688967952134</c:v>
                </c:pt>
                <c:pt idx="140">
                  <c:v>0.71492445992893527</c:v>
                </c:pt>
                <c:pt idx="141">
                  <c:v>0.71917138075932763</c:v>
                </c:pt>
                <c:pt idx="142">
                  <c:v>0.72339767957149959</c:v>
                </c:pt>
                <c:pt idx="143">
                  <c:v>0.72760338787154399</c:v>
                </c:pt>
                <c:pt idx="144">
                  <c:v>0.73178854107707436</c:v>
                </c:pt>
                <c:pt idx="145">
                  <c:v>0.73595317833125828</c:v>
                </c:pt>
                <c:pt idx="146">
                  <c:v>0.74009734232431923</c:v>
                </c:pt>
                <c:pt idx="147">
                  <c:v>0.74422107912221702</c:v>
                </c:pt>
                <c:pt idx="148">
                  <c:v>0.74832443800220771</c:v>
                </c:pt>
                <c:pt idx="149">
                  <c:v>0.75240747129500607</c:v>
                </c:pt>
                <c:pt idx="150">
                  <c:v>0.75647023423329895</c:v>
                </c:pt>
                <c:pt idx="151">
                  <c:v>0.76051278480633178</c:v>
                </c:pt>
                <c:pt idx="152">
                  <c:v>0.76453518362034145</c:v>
                </c:pt>
                <c:pt idx="153">
                  <c:v>0.76853749376459912</c:v>
                </c:pt>
                <c:pt idx="154">
                  <c:v>0.77251978068282612</c:v>
                </c:pt>
                <c:pt idx="155">
                  <c:v>0.77648211204979101</c:v>
                </c:pt>
                <c:pt idx="156">
                  <c:v>0.7804245576528549</c:v>
                </c:pt>
                <c:pt idx="157">
                  <c:v>0.78434718927829206</c:v>
                </c:pt>
                <c:pt idx="158">
                  <c:v>0.78825008060218282</c:v>
                </c:pt>
                <c:pt idx="159">
                  <c:v>0.7921333070856944</c:v>
                </c:pt>
                <c:pt idx="160">
                  <c:v>0.79599694587458902</c:v>
                </c:pt>
                <c:pt idx="161">
                  <c:v>0.79984107570278618</c:v>
                </c:pt>
                <c:pt idx="162">
                  <c:v>0.80366577679980622</c:v>
                </c:pt>
                <c:pt idx="163">
                  <c:v>0.80747113080196942</c:v>
                </c:pt>
                <c:pt idx="164">
                  <c:v>0.81125722066717354</c:v>
                </c:pt>
                <c:pt idx="165">
                  <c:v>0.81502413059313317</c:v>
                </c:pt>
                <c:pt idx="166">
                  <c:v>0.8187719459389271</c:v>
                </c:pt>
                <c:pt idx="167">
                  <c:v>0.8225007531497367</c:v>
                </c:pt>
                <c:pt idx="168">
                  <c:v>0.82621063968464103</c:v>
                </c:pt>
                <c:pt idx="169">
                  <c:v>0.82990169394735891</c:v>
                </c:pt>
                <c:pt idx="170">
                  <c:v>0.83357400521981195</c:v>
                </c:pt>
                <c:pt idx="171">
                  <c:v>0.83722766359840517</c:v>
                </c:pt>
                <c:pt idx="172">
                  <c:v>0.84086275993292348</c:v>
                </c:pt>
                <c:pt idx="173">
                  <c:v>0.84447938576793113</c:v>
                </c:pt>
                <c:pt idx="174">
                  <c:v>0.8480776332865807</c:v>
                </c:pt>
                <c:pt idx="175">
                  <c:v>0.85165759525675444</c:v>
                </c:pt>
                <c:pt idx="176">
                  <c:v>0.85521936497941131</c:v>
                </c:pt>
                <c:pt idx="177">
                  <c:v>0.858763036239097</c:v>
                </c:pt>
                <c:pt idx="178">
                  <c:v>0.86228870325649953</c:v>
                </c:pt>
                <c:pt idx="179">
                  <c:v>0.8657964606429891</c:v>
                </c:pt>
                <c:pt idx="180">
                  <c:v>0.86928640335706198</c:v>
                </c:pt>
                <c:pt idx="181">
                  <c:v>0.87275862666261039</c:v>
                </c:pt>
                <c:pt idx="182">
                  <c:v>0.87621322608895302</c:v>
                </c:pt>
                <c:pt idx="183">
                  <c:v>0.87965029739255718</c:v>
                </c:pt>
                <c:pt idx="184">
                  <c:v>0.88306993652039012</c:v>
                </c:pt>
                <c:pt idx="185">
                  <c:v>0.88647223957482313</c:v>
                </c:pt>
                <c:pt idx="186">
                  <c:v>0.88985730278005359</c:v>
                </c:pt>
                <c:pt idx="187">
                  <c:v>0.89322522244996239</c:v>
                </c:pt>
                <c:pt idx="188">
                  <c:v>0.89657609495736224</c:v>
                </c:pt>
                <c:pt idx="189">
                  <c:v>0.89991001670459103</c:v>
                </c:pt>
                <c:pt idx="190">
                  <c:v>0.90322708409537678</c:v>
                </c:pt>
                <c:pt idx="191">
                  <c:v>0.90652739350795453</c:v>
                </c:pt>
                <c:pt idx="192">
                  <c:v>0.90981104126935963</c:v>
                </c:pt>
                <c:pt idx="193">
                  <c:v>0.91307812363086849</c:v>
                </c:pt>
                <c:pt idx="194">
                  <c:v>0.91632873674454152</c:v>
                </c:pt>
                <c:pt idx="195">
                  <c:v>0.91956297664081765</c:v>
                </c:pt>
                <c:pt idx="196">
                  <c:v>0.92278093920713211</c:v>
                </c:pt>
                <c:pt idx="197">
                  <c:v>0.92598272016750582</c:v>
                </c:pt>
                <c:pt idx="198">
                  <c:v>0.92916841506307757</c:v>
                </c:pt>
                <c:pt idx="199">
                  <c:v>0.9323381192335457</c:v>
                </c:pt>
                <c:pt idx="200">
                  <c:v>0.93549192779946788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01-4995-8D1B-32BA3094CE07}"/>
            </c:ext>
          </c:extLst>
        </c:ser>
        <c:ser>
          <c:idx val="2"/>
          <c:order val="2"/>
          <c:tx>
            <c:v>Total MOSFET Loss</c:v>
          </c:tx>
          <c:spPr>
            <a:ln w="38100">
              <a:solidFill>
                <a:srgbClr val="808000"/>
              </a:solidFill>
              <a:prstDash val="sysDash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cat>
          <c:val>
            <c:numRef>
              <c:f>'Efficiency vs VIN Calculations'!$BJ$9:$BJ$209</c:f>
              <c:numCache>
                <c:formatCode>0.000</c:formatCode>
                <c:ptCount val="201"/>
                <c:pt idx="0">
                  <c:v>1.4244887245508695</c:v>
                </c:pt>
                <c:pt idx="1">
                  <c:v>1.3910373345978613</c:v>
                </c:pt>
                <c:pt idx="2">
                  <c:v>1.3589999526102194</c:v>
                </c:pt>
                <c:pt idx="3">
                  <c:v>1.3282925385268243</c:v>
                </c:pt>
                <c:pt idx="4">
                  <c:v>1.298837600712373</c:v>
                </c:pt>
                <c:pt idx="5">
                  <c:v>1.2705635870365994</c:v>
                </c:pt>
                <c:pt idx="6">
                  <c:v>1.2434043427947232</c:v>
                </c:pt>
                <c:pt idx="7">
                  <c:v>1.2172986270662376</c:v>
                </c:pt>
                <c:pt idx="8">
                  <c:v>1.192189680296126</c:v>
                </c:pt>
                <c:pt idx="9">
                  <c:v>1.1680248368840469</c:v>
                </c:pt>
                <c:pt idx="10">
                  <c:v>1.1447551774145932</c:v>
                </c:pt>
                <c:pt idx="11">
                  <c:v>1.1223352158813309</c:v>
                </c:pt>
                <c:pt idx="12">
                  <c:v>1.1007226178700853</c:v>
                </c:pt>
                <c:pt idx="13">
                  <c:v>0.95046807566861746</c:v>
                </c:pt>
                <c:pt idx="14">
                  <c:v>0.93633723376256017</c:v>
                </c:pt>
                <c:pt idx="15">
                  <c:v>0.9227312880327343</c:v>
                </c:pt>
                <c:pt idx="16">
                  <c:v>0.90962914520517502</c:v>
                </c:pt>
                <c:pt idx="17">
                  <c:v>0.89701139857410905</c:v>
                </c:pt>
                <c:pt idx="18">
                  <c:v>0.88486020909674445</c:v>
                </c:pt>
                <c:pt idx="19">
                  <c:v>0.87315919704619094</c:v>
                </c:pt>
                <c:pt idx="20">
                  <c:v>0.8618933431682918</c:v>
                </c:pt>
                <c:pt idx="21">
                  <c:v>0.8510488984090121</c:v>
                </c:pt>
                <c:pt idx="22">
                  <c:v>0.84061330138488721</c:v>
                </c:pt>
                <c:pt idx="23">
                  <c:v>0.83733786084666262</c:v>
                </c:pt>
                <c:pt idx="24">
                  <c:v>0.83746288537633828</c:v>
                </c:pt>
                <c:pt idx="25">
                  <c:v>0.83769232795256543</c:v>
                </c:pt>
                <c:pt idx="26">
                  <c:v>0.83802020921030385</c:v>
                </c:pt>
                <c:pt idx="27">
                  <c:v>0.83844093019189914</c:v>
                </c:pt>
                <c:pt idx="28">
                  <c:v>0.83894924434936224</c:v>
                </c:pt>
                <c:pt idx="29">
                  <c:v>0.83954023192752802</c:v>
                </c:pt>
                <c:pt idx="30">
                  <c:v>0.84020927649624322</c:v>
                </c:pt>
                <c:pt idx="31">
                  <c:v>0.84095204342530627</c:v>
                </c:pt>
                <c:pt idx="32">
                  <c:v>0.84176446011829886</c:v>
                </c:pt>
                <c:pt idx="33">
                  <c:v>0.84264269784112722</c:v>
                </c:pt>
                <c:pt idx="34">
                  <c:v>0.84358315499843339</c:v>
                </c:pt>
                <c:pt idx="35">
                  <c:v>0.84458244172631391</c:v>
                </c:pt>
                <c:pt idx="36">
                  <c:v>0.84563736568328574</c:v>
                </c:pt>
                <c:pt idx="37">
                  <c:v>0.84674491893339754</c:v>
                </c:pt>
                <c:pt idx="38">
                  <c:v>0.84790226582598893</c:v>
                </c:pt>
                <c:pt idx="39">
                  <c:v>0.84910673178600815</c:v>
                </c:pt>
                <c:pt idx="40">
                  <c:v>0.85035579293718822</c:v>
                </c:pt>
                <c:pt idx="41">
                  <c:v>0.85164706648784494</c:v>
                </c:pt>
                <c:pt idx="42">
                  <c:v>0.82431500525241075</c:v>
                </c:pt>
                <c:pt idx="43">
                  <c:v>0.82721469781123114</c:v>
                </c:pt>
                <c:pt idx="44">
                  <c:v>0.83012133238540009</c:v>
                </c:pt>
                <c:pt idx="45">
                  <c:v>0.83303443056664861</c:v>
                </c:pt>
                <c:pt idx="46">
                  <c:v>0.83595354154467727</c:v>
                </c:pt>
                <c:pt idx="47">
                  <c:v>0.83887824039627523</c:v>
                </c:pt>
                <c:pt idx="48">
                  <c:v>0.84180812649253067</c:v>
                </c:pt>
                <c:pt idx="49">
                  <c:v>0.8447428220150357</c:v>
                </c:pt>
                <c:pt idx="50">
                  <c:v>0.84768197057276917</c:v>
                </c:pt>
                <c:pt idx="51">
                  <c:v>0.85062523591204053</c:v>
                </c:pt>
                <c:pt idx="52">
                  <c:v>0.85357230071252355</c:v>
                </c:pt>
                <c:pt idx="53">
                  <c:v>0.85652286546297995</c:v>
                </c:pt>
                <c:pt idx="54">
                  <c:v>0.85947664741080665</c:v>
                </c:pt>
                <c:pt idx="55">
                  <c:v>0.86243337958001376</c:v>
                </c:pt>
                <c:pt idx="56">
                  <c:v>0.86539280985268285</c:v>
                </c:pt>
                <c:pt idx="57">
                  <c:v>0.86835470010934179</c:v>
                </c:pt>
                <c:pt idx="58">
                  <c:v>0.87131882542406724</c:v>
                </c:pt>
                <c:pt idx="59">
                  <c:v>0.8742849733104463</c:v>
                </c:pt>
                <c:pt idx="60">
                  <c:v>0.8772529430148347</c:v>
                </c:pt>
                <c:pt idx="61">
                  <c:v>0.88022254485362428</c:v>
                </c:pt>
                <c:pt idx="62">
                  <c:v>0.88319359959148847</c:v>
                </c:pt>
                <c:pt idx="63">
                  <c:v>0.88616593785779485</c:v>
                </c:pt>
                <c:pt idx="64">
                  <c:v>0.88913939959860233</c:v>
                </c:pt>
                <c:pt idx="65">
                  <c:v>0.89211383356183704</c:v>
                </c:pt>
                <c:pt idx="66">
                  <c:v>0.89508909681343518</c:v>
                </c:pt>
                <c:pt idx="67">
                  <c:v>0.89806505428239003</c:v>
                </c:pt>
                <c:pt idx="68">
                  <c:v>0.90104157833280407</c:v>
                </c:pt>
                <c:pt idx="69">
                  <c:v>0.90401854836117812</c:v>
                </c:pt>
                <c:pt idx="70">
                  <c:v>0.90699585041729325</c:v>
                </c:pt>
                <c:pt idx="71">
                  <c:v>0.90997337684717305</c:v>
                </c:pt>
                <c:pt idx="72">
                  <c:v>0.91295102595670308</c:v>
                </c:pt>
                <c:pt idx="73">
                  <c:v>0.91592870169459739</c:v>
                </c:pt>
                <c:pt idx="74">
                  <c:v>0.91890631335349149</c:v>
                </c:pt>
                <c:pt idx="75">
                  <c:v>0.92188377528801924</c:v>
                </c:pt>
                <c:pt idx="76">
                  <c:v>0.92486100664882187</c:v>
                </c:pt>
                <c:pt idx="77">
                  <c:v>0.92783793113149471</c:v>
                </c:pt>
                <c:pt idx="78">
                  <c:v>0.93081447673955997</c:v>
                </c:pt>
                <c:pt idx="79">
                  <c:v>0.93379057556060174</c:v>
                </c:pt>
                <c:pt idx="80">
                  <c:v>0.93676616355476972</c:v>
                </c:pt>
                <c:pt idx="81">
                  <c:v>0.93974118035490017</c:v>
                </c:pt>
                <c:pt idx="82">
                  <c:v>0.94271556907755993</c:v>
                </c:pt>
                <c:pt idx="83">
                  <c:v>0.9456892761443626</c:v>
                </c:pt>
                <c:pt idx="84">
                  <c:v>0.948662251112945</c:v>
                </c:pt>
                <c:pt idx="85">
                  <c:v>0.95163444651704021</c:v>
                </c:pt>
                <c:pt idx="86">
                  <c:v>0.95460581771510944</c:v>
                </c:pt>
                <c:pt idx="87">
                  <c:v>0.95757632274703874</c:v>
                </c:pt>
                <c:pt idx="88">
                  <c:v>0.96054592219842916</c:v>
                </c:pt>
                <c:pt idx="89">
                  <c:v>0.96351457907204918</c:v>
                </c:pt>
                <c:pt idx="90">
                  <c:v>0.96648225866603565</c:v>
                </c:pt>
                <c:pt idx="91">
                  <c:v>0.96944892845846042</c:v>
                </c:pt>
                <c:pt idx="92">
                  <c:v>0.97241455799790111</c:v>
                </c:pt>
                <c:pt idx="93">
                  <c:v>0.97537911879968431</c:v>
                </c:pt>
                <c:pt idx="94">
                  <c:v>0.97834258424747278</c:v>
                </c:pt>
                <c:pt idx="95">
                  <c:v>0.98130492949991188</c:v>
                </c:pt>
                <c:pt idx="96">
                  <c:v>0.98426613140204444</c:v>
                </c:pt>
                <c:pt idx="97">
                  <c:v>0.98722616840123834</c:v>
                </c:pt>
                <c:pt idx="98">
                  <c:v>0.99018502046737611</c:v>
                </c:pt>
                <c:pt idx="99">
                  <c:v>0.99314266901707715</c:v>
                </c:pt>
                <c:pt idx="100">
                  <c:v>0.9960990968417287</c:v>
                </c:pt>
                <c:pt idx="101">
                  <c:v>0.99905428803912788</c:v>
                </c:pt>
                <c:pt idx="102">
                  <c:v>1.0020082279485329</c:v>
                </c:pt>
                <c:pt idx="103">
                  <c:v>1.0049609030889464</c:v>
                </c:pt>
                <c:pt idx="104">
                  <c:v>1.0079123011004572</c:v>
                </c:pt>
                <c:pt idx="105">
                  <c:v>1.0108624106884798</c:v>
                </c:pt>
                <c:pt idx="106">
                  <c:v>1.0138112215707378</c:v>
                </c:pt>
                <c:pt idx="107">
                  <c:v>1.0167587244268474</c:v>
                </c:pt>
                <c:pt idx="108">
                  <c:v>1.0197049108503662</c:v>
                </c:pt>
                <c:pt idx="109">
                  <c:v>1.0226497733031785</c:v>
                </c:pt>
                <c:pt idx="110">
                  <c:v>1.0255933050720962</c:v>
                </c:pt>
                <c:pt idx="111">
                  <c:v>1.0285355002275645</c:v>
                </c:pt>
                <c:pt idx="112">
                  <c:v>1.0314763535843572</c:v>
                </c:pt>
                <c:pt idx="113">
                  <c:v>1.0344158606641669</c:v>
                </c:pt>
                <c:pt idx="114">
                  <c:v>1.0373540176599936</c:v>
                </c:pt>
                <c:pt idx="115">
                  <c:v>1.0402908214022331</c:v>
                </c:pt>
                <c:pt idx="116">
                  <c:v>1.0432262693263907</c:v>
                </c:pt>
                <c:pt idx="117">
                  <c:v>1.0461603594423297</c:v>
                </c:pt>
                <c:pt idx="118">
                  <c:v>1.049093090304982</c:v>
                </c:pt>
                <c:pt idx="119">
                  <c:v>1.0520244609864469</c:v>
                </c:pt>
                <c:pt idx="120">
                  <c:v>1.0549544710494112</c:v>
                </c:pt>
                <c:pt idx="121">
                  <c:v>1.0578831205218227</c:v>
                </c:pt>
                <c:pt idx="122">
                  <c:v>1.0608104098727553</c:v>
                </c:pt>
                <c:pt idx="123">
                  <c:v>1.0637363399894122</c:v>
                </c:pt>
                <c:pt idx="124">
                  <c:v>1.0666609121552031</c:v>
                </c:pt>
                <c:pt idx="125">
                  <c:v>1.0695841280288525</c:v>
                </c:pt>
                <c:pt idx="126">
                  <c:v>1.0725059896244831</c:v>
                </c:pt>
                <c:pt idx="127">
                  <c:v>1.0754264992926261</c:v>
                </c:pt>
                <c:pt idx="128">
                  <c:v>1.0783456597021224</c:v>
                </c:pt>
                <c:pt idx="129">
                  <c:v>1.0812634738228597</c:v>
                </c:pt>
                <c:pt idx="130">
                  <c:v>1.0841799449093159</c:v>
                </c:pt>
                <c:pt idx="131">
                  <c:v>1.0870950764848657</c:v>
                </c:pt>
                <c:pt idx="132">
                  <c:v>1.0900088723268131</c:v>
                </c:pt>
                <c:pt idx="133">
                  <c:v>1.0929213364521202</c:v>
                </c:pt>
                <c:pt idx="134">
                  <c:v>1.0958324731037936</c:v>
                </c:pt>
                <c:pt idx="135">
                  <c:v>1.098742286737902</c:v>
                </c:pt>
                <c:pt idx="136">
                  <c:v>1.1016507820111934</c:v>
                </c:pt>
                <c:pt idx="137">
                  <c:v>1.1045579637692835</c:v>
                </c:pt>
                <c:pt idx="138">
                  <c:v>1.1074638370353909</c:v>
                </c:pt>
                <c:pt idx="139">
                  <c:v>1.1103684069995916</c:v>
                </c:pt>
                <c:pt idx="140">
                  <c:v>1.1132716790085677</c:v>
                </c:pt>
                <c:pt idx="141">
                  <c:v>1.1161736585558317</c:v>
                </c:pt>
                <c:pt idx="142">
                  <c:v>1.1190743512724006</c:v>
                </c:pt>
                <c:pt idx="143">
                  <c:v>1.1219737629179016</c:v>
                </c:pt>
                <c:pt idx="144">
                  <c:v>1.1248718993720843</c:v>
                </c:pt>
                <c:pt idx="145">
                  <c:v>1.1277687666267326</c:v>
                </c:pt>
                <c:pt idx="146">
                  <c:v>1.1306643707779429</c:v>
                </c:pt>
                <c:pt idx="147">
                  <c:v>1.1335587180187636</c:v>
                </c:pt>
                <c:pt idx="148">
                  <c:v>1.1364518146321756</c:v>
                </c:pt>
                <c:pt idx="149">
                  <c:v>1.1393436669843948</c:v>
                </c:pt>
                <c:pt idx="150">
                  <c:v>1.1422342815184898</c:v>
                </c:pt>
                <c:pt idx="151">
                  <c:v>1.1451236647482943</c:v>
                </c:pt>
                <c:pt idx="152">
                  <c:v>1.1480118232526009</c:v>
                </c:pt>
                <c:pt idx="153">
                  <c:v>1.1508987636696297</c:v>
                </c:pt>
                <c:pt idx="154">
                  <c:v>1.1537844926917509</c:v>
                </c:pt>
                <c:pt idx="155">
                  <c:v>1.1566690170604599</c:v>
                </c:pt>
                <c:pt idx="156">
                  <c:v>1.1595523435615831</c:v>
                </c:pt>
                <c:pt idx="157">
                  <c:v>1.1624344790207108</c:v>
                </c:pt>
                <c:pt idx="158">
                  <c:v>1.1653154302988493</c:v>
                </c:pt>
                <c:pt idx="159">
                  <c:v>1.1681952042882715</c:v>
                </c:pt>
                <c:pt idx="160">
                  <c:v>1.1710738079085723</c:v>
                </c:pt>
                <c:pt idx="161">
                  <c:v>1.173951248102906</c:v>
                </c:pt>
                <c:pt idx="162">
                  <c:v>1.1768275318344072</c:v>
                </c:pt>
                <c:pt idx="163">
                  <c:v>1.179702666082781</c:v>
                </c:pt>
                <c:pt idx="164">
                  <c:v>1.1825766578410599</c:v>
                </c:pt>
                <c:pt idx="165">
                  <c:v>1.185449514112515</c:v>
                </c:pt>
                <c:pt idx="166">
                  <c:v>1.18832124190772</c:v>
                </c:pt>
                <c:pt idx="167">
                  <c:v>1.1911918482417578</c:v>
                </c:pt>
                <c:pt idx="168">
                  <c:v>1.1940613401315634</c:v>
                </c:pt>
                <c:pt idx="169">
                  <c:v>1.1969297245933999</c:v>
                </c:pt>
                <c:pt idx="170">
                  <c:v>1.1997970086404577</c:v>
                </c:pt>
                <c:pt idx="171">
                  <c:v>1.2026631992805767</c:v>
                </c:pt>
                <c:pt idx="172">
                  <c:v>1.2055283035140798</c:v>
                </c:pt>
                <c:pt idx="173">
                  <c:v>1.2083923283317202</c:v>
                </c:pt>
                <c:pt idx="174">
                  <c:v>1.2112552807127308</c:v>
                </c:pt>
                <c:pt idx="175">
                  <c:v>1.2141171676229741</c:v>
                </c:pt>
                <c:pt idx="176">
                  <c:v>1.2169779960131892</c:v>
                </c:pt>
                <c:pt idx="177">
                  <c:v>1.2198377728173313</c:v>
                </c:pt>
                <c:pt idx="178">
                  <c:v>1.2226965049509977</c:v>
                </c:pt>
                <c:pt idx="179">
                  <c:v>1.2255541993099359</c:v>
                </c:pt>
                <c:pt idx="180">
                  <c:v>1.2284108627686401</c:v>
                </c:pt>
                <c:pt idx="181">
                  <c:v>1.2312665021790121</c:v>
                </c:pt>
                <c:pt idx="182">
                  <c:v>1.2341211243691079</c:v>
                </c:pt>
                <c:pt idx="183">
                  <c:v>1.2369747361419461</c:v>
                </c:pt>
                <c:pt idx="184">
                  <c:v>1.2398273442743886</c:v>
                </c:pt>
                <c:pt idx="185">
                  <c:v>1.2426789555160824</c:v>
                </c:pt>
                <c:pt idx="186">
                  <c:v>1.2455295765884655</c:v>
                </c:pt>
                <c:pt idx="187">
                  <c:v>1.2483792141838308</c:v>
                </c:pt>
                <c:pt idx="188">
                  <c:v>1.2512278749644432</c:v>
                </c:pt>
                <c:pt idx="189">
                  <c:v>1.2540755655617164</c:v>
                </c:pt>
                <c:pt idx="190">
                  <c:v>1.2569222925754369</c:v>
                </c:pt>
                <c:pt idx="191">
                  <c:v>1.2597680625730365</c:v>
                </c:pt>
                <c:pt idx="192">
                  <c:v>1.2626128820889178</c:v>
                </c:pt>
                <c:pt idx="193">
                  <c:v>1.2654567576238149</c:v>
                </c:pt>
                <c:pt idx="194">
                  <c:v>1.2682996956442085</c:v>
                </c:pt>
                <c:pt idx="195">
                  <c:v>1.2711417025817715</c:v>
                </c:pt>
                <c:pt idx="196">
                  <c:v>1.2739827848328613</c:v>
                </c:pt>
                <c:pt idx="197">
                  <c:v>1.2768229487580463</c:v>
                </c:pt>
                <c:pt idx="198">
                  <c:v>1.2796622006816689</c:v>
                </c:pt>
                <c:pt idx="199">
                  <c:v>1.282500546891443</c:v>
                </c:pt>
                <c:pt idx="200">
                  <c:v>1.2853379936380844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01-4995-8D1B-32BA3094CE07}"/>
            </c:ext>
          </c:extLst>
        </c:ser>
        <c:ser>
          <c:idx val="1"/>
          <c:order val="3"/>
          <c:tx>
            <c:v>Shunt Loss</c:v>
          </c:tx>
          <c:spPr>
            <a:ln w="38100">
              <a:solidFill>
                <a:srgbClr val="002060"/>
              </a:solidFill>
              <a:prstDash val="sysDot"/>
            </a:ln>
          </c:spPr>
          <c:marker>
            <c:symbol val="none"/>
          </c:marker>
          <c:cat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cat>
          <c:val>
            <c:numRef>
              <c:f>'Efficiency vs VIN Calculations'!$BL$9:$BL$209</c:f>
              <c:numCache>
                <c:formatCode>0.000</c:formatCode>
                <c:ptCount val="201"/>
                <c:pt idx="0">
                  <c:v>0.13933138062154882</c:v>
                </c:pt>
                <c:pt idx="1">
                  <c:v>0.12930736721357849</c:v>
                </c:pt>
                <c:pt idx="2">
                  <c:v>0.11980740604494632</c:v>
                </c:pt>
                <c:pt idx="3">
                  <c:v>0.11079923345382781</c:v>
                </c:pt>
                <c:pt idx="4">
                  <c:v>0.1022529698755527</c:v>
                </c:pt>
                <c:pt idx="5">
                  <c:v>9.4140911143599335E-2</c:v>
                </c:pt>
                <c:pt idx="6">
                  <c:v>8.6437340200281931E-2</c:v>
                </c:pt>
                <c:pt idx="7">
                  <c:v>7.9118356965000636E-2</c:v>
                </c:pt>
                <c:pt idx="8">
                  <c:v>7.2161724382800385E-2</c:v>
                </c:pt>
                <c:pt idx="9">
                  <c:v>6.5546728914168545E-2</c:v>
                </c:pt>
                <c:pt idx="10">
                  <c:v>5.9254053933793231E-2</c:v>
                </c:pt>
                <c:pt idx="11">
                  <c:v>5.3265664685896948E-2</c:v>
                </c:pt>
                <c:pt idx="12">
                  <c:v>4.7564703600543531E-2</c:v>
                </c:pt>
                <c:pt idx="13">
                  <c:v>7.0905607465210824E-2</c:v>
                </c:pt>
                <c:pt idx="14">
                  <c:v>6.556785422248039E-2</c:v>
                </c:pt>
                <c:pt idx="15">
                  <c:v>6.047501899108923E-2</c:v>
                </c:pt>
                <c:pt idx="16">
                  <c:v>5.5614962070290583E-2</c:v>
                </c:pt>
                <c:pt idx="17">
                  <c:v>5.0976198226425587E-2</c:v>
                </c:pt>
                <c:pt idx="18">
                  <c:v>4.6547837168531239E-2</c:v>
                </c:pt>
                <c:pt idx="19">
                  <c:v>4.2319528605513593E-2</c:v>
                </c:pt>
                <c:pt idx="20">
                  <c:v>3.8281411457645402E-2</c:v>
                </c:pt>
                <c:pt idx="21">
                  <c:v>3.4424066839291403E-2</c:v>
                </c:pt>
                <c:pt idx="22">
                  <c:v>3.0738474468916806E-2</c:v>
                </c:pt>
                <c:pt idx="23">
                  <c:v>3.2066922558253552E-2</c:v>
                </c:pt>
                <c:pt idx="24">
                  <c:v>3.4849168641827188E-2</c:v>
                </c:pt>
                <c:pt idx="25">
                  <c:v>3.7578287009483402E-2</c:v>
                </c:pt>
                <c:pt idx="26">
                  <c:v>4.0257202658565097E-2</c:v>
                </c:pt>
                <c:pt idx="27">
                  <c:v>4.2888604255967293E-2</c:v>
                </c:pt>
                <c:pt idx="28">
                  <c:v>4.5474965571751944E-2</c:v>
                </c:pt>
                <c:pt idx="29">
                  <c:v>4.8018564820807144E-2</c:v>
                </c:pt>
                <c:pt idx="30">
                  <c:v>5.0521502131249313E-2</c:v>
                </c:pt>
                <c:pt idx="31">
                  <c:v>5.2985715333806867E-2</c:v>
                </c:pt>
                <c:pt idx="32">
                  <c:v>5.5412994244890788E-2</c:v>
                </c:pt>
                <c:pt idx="33">
                  <c:v>5.7804993597065507E-2</c:v>
                </c:pt>
                <c:pt idx="34">
                  <c:v>6.0163244753875661E-2</c:v>
                </c:pt>
                <c:pt idx="35">
                  <c:v>6.248916633116966E-2</c:v>
                </c:pt>
                <c:pt idx="36">
                  <c:v>6.4784073833960315E-2</c:v>
                </c:pt>
                <c:pt idx="37">
                  <c:v>6.7049188406255844E-2</c:v>
                </c:pt>
                <c:pt idx="38">
                  <c:v>6.9285644781007474E-2</c:v>
                </c:pt>
                <c:pt idx="39">
                  <c:v>7.1494498508188967E-2</c:v>
                </c:pt>
                <c:pt idx="40">
                  <c:v>7.367673253091038E-2</c:v>
                </c:pt>
                <c:pt idx="41">
                  <c:v>7.5833263172256998E-2</c:v>
                </c:pt>
                <c:pt idx="42">
                  <c:v>4.2318002500916656E-2</c:v>
                </c:pt>
                <c:pt idx="43">
                  <c:v>4.41600987980455E-2</c:v>
                </c:pt>
                <c:pt idx="44">
                  <c:v>4.597268771291315E-2</c:v>
                </c:pt>
                <c:pt idx="45">
                  <c:v>4.7756604078685191E-2</c:v>
                </c:pt>
                <c:pt idx="46">
                  <c:v>4.9512646685310892E-2</c:v>
                </c:pt>
                <c:pt idx="47">
                  <c:v>5.1241580354496538E-2</c:v>
                </c:pt>
                <c:pt idx="48">
                  <c:v>5.294413787003039E-2</c:v>
                </c:pt>
                <c:pt idx="49">
                  <c:v>5.4621021775004025E-2</c:v>
                </c:pt>
                <c:pt idx="50">
                  <c:v>5.6272906046454858E-2</c:v>
                </c:pt>
                <c:pt idx="51">
                  <c:v>5.7900437657026439E-2</c:v>
                </c:pt>
                <c:pt idx="52">
                  <c:v>5.9504238032411463E-2</c:v>
                </c:pt>
                <c:pt idx="53">
                  <c:v>6.1084904412581548E-2</c:v>
                </c:pt>
                <c:pt idx="54">
                  <c:v>6.2643011124126582E-2</c:v>
                </c:pt>
                <c:pt idx="55">
                  <c:v>6.4179110770403724E-2</c:v>
                </c:pt>
                <c:pt idx="56">
                  <c:v>6.5693735345631804E-2</c:v>
                </c:pt>
                <c:pt idx="57">
                  <c:v>6.7187397278557562E-2</c:v>
                </c:pt>
                <c:pt idx="58">
                  <c:v>6.8660590410853733E-2</c:v>
                </c:pt>
                <c:pt idx="59">
                  <c:v>7.0113790914985943E-2</c:v>
                </c:pt>
                <c:pt idx="60">
                  <c:v>7.1547458155901092E-2</c:v>
                </c:pt>
                <c:pt idx="61">
                  <c:v>7.2962035500539868E-2</c:v>
                </c:pt>
                <c:pt idx="62">
                  <c:v>7.4357951078854748E-2</c:v>
                </c:pt>
                <c:pt idx="63">
                  <c:v>7.5735618499724447E-2</c:v>
                </c:pt>
                <c:pt idx="64">
                  <c:v>7.7095437524889066E-2</c:v>
                </c:pt>
                <c:pt idx="65">
                  <c:v>7.8437794703787408E-2</c:v>
                </c:pt>
                <c:pt idx="66">
                  <c:v>7.9763063971954012E-2</c:v>
                </c:pt>
                <c:pt idx="67">
                  <c:v>8.107160721543144E-2</c:v>
                </c:pt>
                <c:pt idx="68">
                  <c:v>8.236377480346628E-2</c:v>
                </c:pt>
                <c:pt idx="69">
                  <c:v>8.3639906091586308E-2</c:v>
                </c:pt>
                <c:pt idx="70">
                  <c:v>8.4900329896999069E-2</c:v>
                </c:pt>
                <c:pt idx="71">
                  <c:v>8.6145364948110134E-2</c:v>
                </c:pt>
                <c:pt idx="72">
                  <c:v>8.7375320309824964E-2</c:v>
                </c:pt>
                <c:pt idx="73">
                  <c:v>8.8590495786178655E-2</c:v>
                </c:pt>
                <c:pt idx="74">
                  <c:v>8.979118230172542E-2</c:v>
                </c:pt>
                <c:pt idx="75">
                  <c:v>9.0977662263017234E-2</c:v>
                </c:pt>
                <c:pt idx="76">
                  <c:v>9.2150209901406946E-2</c:v>
                </c:pt>
                <c:pt idx="77">
                  <c:v>9.3309091598322694E-2</c:v>
                </c:pt>
                <c:pt idx="78">
                  <c:v>9.4454566194082157E-2</c:v>
                </c:pt>
                <c:pt idx="79">
                  <c:v>9.5586885281239237E-2</c:v>
                </c:pt>
                <c:pt idx="80">
                  <c:v>9.6706293483389161E-2</c:v>
                </c:pt>
                <c:pt idx="81">
                  <c:v>9.7813028720292156E-2</c:v>
                </c:pt>
                <c:pt idx="82">
                  <c:v>9.8907322460121377E-2</c:v>
                </c:pt>
                <c:pt idx="83">
                  <c:v>9.9989399959582836E-2</c:v>
                </c:pt>
                <c:pt idx="84">
                  <c:v>0.10105948049260753</c:v>
                </c:pt>
                <c:pt idx="85">
                  <c:v>0.10211777756826906</c:v>
                </c:pt>
                <c:pt idx="86">
                  <c:v>0.10316449913853731</c:v>
                </c:pt>
                <c:pt idx="87">
                  <c:v>0.10419984779643861</c:v>
                </c:pt>
                <c:pt idx="88">
                  <c:v>0.10522402096515605</c:v>
                </c:pt>
                <c:pt idx="89">
                  <c:v>0.10623721107857016</c:v>
                </c:pt>
                <c:pt idx="90">
                  <c:v>0.10723960575370811</c:v>
                </c:pt>
                <c:pt idx="91">
                  <c:v>0.10823138795553859</c:v>
                </c:pt>
                <c:pt idx="92">
                  <c:v>0.10921273615452438</c:v>
                </c:pt>
                <c:pt idx="93">
                  <c:v>0.11018382447731891</c:v>
                </c:pt>
                <c:pt idx="94">
                  <c:v>0.11114482285096615</c:v>
                </c:pt>
                <c:pt idx="95">
                  <c:v>0.11209589714094631</c:v>
                </c:pt>
                <c:pt idx="96">
                  <c:v>0.11303720928338465</c:v>
                </c:pt>
                <c:pt idx="97">
                  <c:v>0.11396891741172353</c:v>
                </c:pt>
                <c:pt idx="98">
                  <c:v>0.11489117597814094</c:v>
                </c:pt>
                <c:pt idx="99">
                  <c:v>0.11580413586997933</c:v>
                </c:pt>
                <c:pt idx="100">
                  <c:v>0.11670794452143525</c:v>
                </c:pt>
                <c:pt idx="101">
                  <c:v>0.1176027460207454</c:v>
                </c:pt>
                <c:pt idx="102">
                  <c:v>0.11848868121308979</c:v>
                </c:pt>
                <c:pt idx="103">
                  <c:v>0.11936588779942145</c:v>
                </c:pt>
                <c:pt idx="104">
                  <c:v>0.12023450043141978</c:v>
                </c:pt>
                <c:pt idx="105">
                  <c:v>0.12109465080275347</c:v>
                </c:pt>
                <c:pt idx="106">
                  <c:v>0.12194646773682787</c:v>
                </c:pt>
                <c:pt idx="107">
                  <c:v>0.12279007727118316</c:v>
                </c:pt>
                <c:pt idx="108">
                  <c:v>0.12362560273869996</c:v>
                </c:pt>
                <c:pt idx="109">
                  <c:v>0.12445316484575936</c:v>
                </c:pt>
                <c:pt idx="110">
                  <c:v>0.12527288174749857</c:v>
                </c:pt>
                <c:pt idx="111">
                  <c:v>0.12608486912029448</c:v>
                </c:pt>
                <c:pt idx="112">
                  <c:v>0.12688924023159884</c:v>
                </c:pt>
                <c:pt idx="113">
                  <c:v>0.12768610600724614</c:v>
                </c:pt>
                <c:pt idx="114">
                  <c:v>0.12847557509634483</c:v>
                </c:pt>
                <c:pt idx="115">
                  <c:v>0.12925775393385866</c:v>
                </c:pt>
                <c:pt idx="116">
                  <c:v>0.13003274680098048</c:v>
                </c:pt>
                <c:pt idx="117">
                  <c:v>0.13080065588339207</c:v>
                </c:pt>
                <c:pt idx="118">
                  <c:v>0.13156158132750276</c:v>
                </c:pt>
                <c:pt idx="119">
                  <c:v>0.13231562129475219</c:v>
                </c:pt>
                <c:pt idx="120">
                  <c:v>0.13306287201406014</c:v>
                </c:pt>
                <c:pt idx="121">
                  <c:v>0.13380342783249929</c:v>
                </c:pt>
                <c:pt idx="122">
                  <c:v>0.13453738126426693</c:v>
                </c:pt>
                <c:pt idx="123">
                  <c:v>0.13526482303802542</c:v>
                </c:pt>
                <c:pt idx="124">
                  <c:v>0.13598584214267714</c:v>
                </c:pt>
                <c:pt idx="125">
                  <c:v>0.13670052587163961</c:v>
                </c:pt>
                <c:pt idx="126">
                  <c:v>0.13740895986567908</c:v>
                </c:pt>
                <c:pt idx="127">
                  <c:v>0.13811122815436211</c:v>
                </c:pt>
                <c:pt idx="128">
                  <c:v>0.13880741319617967</c:v>
                </c:pt>
                <c:pt idx="129">
                  <c:v>0.13949759591739508</c:v>
                </c:pt>
                <c:pt idx="130">
                  <c:v>0.14018185574966696</c:v>
                </c:pt>
                <c:pt idx="131">
                  <c:v>0.1408602706664944</c:v>
                </c:pt>
                <c:pt idx="132">
                  <c:v>0.14153291721852912</c:v>
                </c:pt>
                <c:pt idx="133">
                  <c:v>0.14219987056779929</c:v>
                </c:pt>
                <c:pt idx="134">
                  <c:v>0.14286120452088452</c:v>
                </c:pt>
                <c:pt idx="135">
                  <c:v>0.14351699156108336</c:v>
                </c:pt>
                <c:pt idx="136">
                  <c:v>0.14416730287961008</c:v>
                </c:pt>
                <c:pt idx="137">
                  <c:v>0.14481220840585601</c:v>
                </c:pt>
                <c:pt idx="138">
                  <c:v>0.14545177683675214</c:v>
                </c:pt>
                <c:pt idx="139">
                  <c:v>0.1460860756652631</c:v>
                </c:pt>
                <c:pt idx="140">
                  <c:v>0.14671517120804695</c:v>
                </c:pt>
                <c:pt idx="141">
                  <c:v>0.14733912863230764</c:v>
                </c:pt>
                <c:pt idx="142">
                  <c:v>0.14795801198187256</c:v>
                </c:pt>
                <c:pt idx="143">
                  <c:v>0.14857188420251968</c:v>
                </c:pt>
                <c:pt idx="144">
                  <c:v>0.14918080716658252</c:v>
                </c:pt>
                <c:pt idx="145">
                  <c:v>0.14978484169685793</c:v>
                </c:pt>
                <c:pt idx="146">
                  <c:v>0.15038404758984072</c:v>
                </c:pt>
                <c:pt idx="147">
                  <c:v>0.15097848363830826</c:v>
                </c:pt>
                <c:pt idx="148">
                  <c:v>0.15156820765327789</c:v>
                </c:pt>
                <c:pt idx="149">
                  <c:v>0.15215327648535834</c:v>
                </c:pt>
                <c:pt idx="150">
                  <c:v>0.15273374604551529</c:v>
                </c:pt>
                <c:pt idx="151">
                  <c:v>0.15330967132527118</c:v>
                </c:pt>
                <c:pt idx="152">
                  <c:v>0.15388110641635833</c:v>
                </c:pt>
                <c:pt idx="153">
                  <c:v>0.15444810452984312</c:v>
                </c:pt>
                <c:pt idx="154">
                  <c:v>0.15501071801473815</c:v>
                </c:pt>
                <c:pt idx="155">
                  <c:v>0.15556899837612162</c:v>
                </c:pt>
                <c:pt idx="156">
                  <c:v>0.15612299629277568</c:v>
                </c:pt>
                <c:pt idx="157">
                  <c:v>0.15667276163436389</c:v>
                </c:pt>
                <c:pt idx="158">
                  <c:v>0.15721834347815952</c:v>
                </c:pt>
                <c:pt idx="159">
                  <c:v>0.15775979012534022</c:v>
                </c:pt>
                <c:pt idx="160">
                  <c:v>0.15829714911686218</c:v>
                </c:pt>
                <c:pt idx="161">
                  <c:v>0.15883046724892827</c:v>
                </c:pt>
                <c:pt idx="162">
                  <c:v>0.1593597905880613</c:v>
                </c:pt>
                <c:pt idx="163">
                  <c:v>0.1598851644857959</c:v>
                </c:pt>
                <c:pt idx="164">
                  <c:v>0.16040663359300006</c:v>
                </c:pt>
                <c:pt idx="165">
                  <c:v>0.16092424187383811</c:v>
                </c:pt>
                <c:pt idx="166">
                  <c:v>0.16143803261938633</c:v>
                </c:pt>
                <c:pt idx="167">
                  <c:v>0.16194804846091068</c:v>
                </c:pt>
                <c:pt idx="168">
                  <c:v>0.16245433138281845</c:v>
                </c:pt>
                <c:pt idx="169">
                  <c:v>0.16295692273529208</c:v>
                </c:pt>
                <c:pt idx="170">
                  <c:v>0.1634558632466154</c:v>
                </c:pt>
                <c:pt idx="171">
                  <c:v>0.16395119303520198</c:v>
                </c:pt>
                <c:pt idx="172">
                  <c:v>0.16444295162133249</c:v>
                </c:pt>
                <c:pt idx="173">
                  <c:v>0.16493117793861214</c:v>
                </c:pt>
                <c:pt idx="174">
                  <c:v>0.16541591034515385</c:v>
                </c:pt>
                <c:pt idx="175">
                  <c:v>0.1658971866344974</c:v>
                </c:pt>
                <c:pt idx="176">
                  <c:v>0.16637504404627004</c:v>
                </c:pt>
                <c:pt idx="177">
                  <c:v>0.16684951927659755</c:v>
                </c:pt>
                <c:pt idx="178">
                  <c:v>0.16732064848827219</c:v>
                </c:pt>
                <c:pt idx="179">
                  <c:v>0.16778846732068431</c:v>
                </c:pt>
                <c:pt idx="180">
                  <c:v>0.16825301089952527</c:v>
                </c:pt>
                <c:pt idx="181">
                  <c:v>0.16871431384626565</c:v>
                </c:pt>
                <c:pt idx="182">
                  <c:v>0.16917241028741886</c:v>
                </c:pt>
                <c:pt idx="183">
                  <c:v>0.16962733386359188</c:v>
                </c:pt>
                <c:pt idx="184">
                  <c:v>0.17007911773833267</c:v>
                </c:pt>
                <c:pt idx="185">
                  <c:v>0.17052779460677664</c:v>
                </c:pt>
                <c:pt idx="186">
                  <c:v>0.17097339670410061</c:v>
                </c:pt>
                <c:pt idx="187">
                  <c:v>0.17141595581378724</c:v>
                </c:pt>
                <c:pt idx="188">
                  <c:v>0.17185550327570587</c:v>
                </c:pt>
                <c:pt idx="189">
                  <c:v>0.17229206999401539</c:v>
                </c:pt>
                <c:pt idx="190">
                  <c:v>0.17272568644489231</c:v>
                </c:pt>
                <c:pt idx="191">
                  <c:v>0.17315638268409039</c:v>
                </c:pt>
                <c:pt idx="192">
                  <c:v>0.17358418835433501</c:v>
                </c:pt>
                <c:pt idx="193">
                  <c:v>0.17400913269255699</c:v>
                </c:pt>
                <c:pt idx="194">
                  <c:v>0.1744312445369707</c:v>
                </c:pt>
                <c:pt idx="195">
                  <c:v>0.17485055233399979</c:v>
                </c:pt>
                <c:pt idx="196">
                  <c:v>0.17526708414505393</c:v>
                </c:pt>
                <c:pt idx="197">
                  <c:v>0.17568086765316263</c:v>
                </c:pt>
                <c:pt idx="198">
                  <c:v>0.17609193016946695</c:v>
                </c:pt>
                <c:pt idx="199">
                  <c:v>0.17650029863957503</c:v>
                </c:pt>
                <c:pt idx="200">
                  <c:v>0.17690599964978326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01-4995-8D1B-32BA3094C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51872"/>
        <c:axId val="157949952"/>
      </c:lineChart>
      <c:catAx>
        <c:axId val="157945856"/>
        <c:scaling>
          <c:orientation val="minMax"/>
        </c:scaling>
        <c:delete val="0"/>
        <c:axPos val="b"/>
        <c:majorGridlines>
          <c:spPr>
            <a:ln w="15875">
              <a:solidFill>
                <a:srgbClr val="969696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0000FF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>
                    <a:solidFill>
                      <a:srgbClr val="0000FF"/>
                    </a:solidFill>
                    <a:latin typeface="Arial" pitchFamily="34" charset="0"/>
                    <a:cs typeface="Arial" pitchFamily="34" charset="0"/>
                  </a:rPr>
                  <a:t>Input Voltage (V)</a:t>
                </a:r>
              </a:p>
            </c:rich>
          </c:tx>
          <c:layout>
            <c:manualLayout>
              <c:xMode val="edge"/>
              <c:yMode val="edge"/>
              <c:x val="0.41625343343709942"/>
              <c:y val="0.9457191357373133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FF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57947776"/>
        <c:crosses val="autoZero"/>
        <c:auto val="1"/>
        <c:lblAlgn val="ctr"/>
        <c:lblOffset val="100"/>
        <c:tickLblSkip val="50"/>
        <c:tickMarkSkip val="25"/>
        <c:noMultiLvlLbl val="1"/>
      </c:catAx>
      <c:valAx>
        <c:axId val="157947776"/>
        <c:scaling>
          <c:orientation val="minMax"/>
          <c:max val="100"/>
          <c:min val="80"/>
        </c:scaling>
        <c:delete val="0"/>
        <c:axPos val="l"/>
        <c:majorGridlines>
          <c:spPr>
            <a:ln w="15875">
              <a:solidFill>
                <a:srgbClr val="80808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FF0000"/>
                    </a:solidFill>
                    <a:latin typeface="Arial" pitchFamily="34" charset="0"/>
                    <a:ea typeface="Calibri"/>
                    <a:cs typeface="Arial" pitchFamily="34" charset="0"/>
                  </a:defRPr>
                </a:pPr>
                <a:r>
                  <a:rPr lang="en-US" sz="1300" b="1">
                    <a:solidFill>
                      <a:srgbClr val="FF0000"/>
                    </a:solidFill>
                    <a:latin typeface="Arial" pitchFamily="34" charset="0"/>
                    <a:cs typeface="Arial" pitchFamily="34" charset="0"/>
                  </a:rPr>
                  <a:t>Efficiency (%)</a:t>
                </a:r>
              </a:p>
            </c:rich>
          </c:tx>
          <c:layout>
            <c:manualLayout>
              <c:xMode val="edge"/>
              <c:yMode val="edge"/>
              <c:x val="1.2871858674081443E-2"/>
              <c:y val="0.3763817791568839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zh-TW"/>
          </a:p>
        </c:txPr>
        <c:crossAx val="157945856"/>
        <c:crosses val="autoZero"/>
        <c:crossBetween val="between"/>
        <c:majorUnit val="5"/>
        <c:minorUnit val="2.5"/>
      </c:valAx>
      <c:valAx>
        <c:axId val="157949952"/>
        <c:scaling>
          <c:orientation val="minMax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Power Loss (W)</a:t>
                </a:r>
              </a:p>
            </c:rich>
          </c:tx>
          <c:layout>
            <c:manualLayout>
              <c:xMode val="edge"/>
              <c:yMode val="edge"/>
              <c:x val="0.95594291793250197"/>
              <c:y val="0.37048873366731228"/>
            </c:manualLayout>
          </c:layout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1100" b="1">
                <a:solidFill>
                  <a:sysClr val="windowText" lastClr="000000"/>
                </a:solidFill>
              </a:defRPr>
            </a:pPr>
            <a:endParaRPr lang="zh-TW"/>
          </a:p>
        </c:txPr>
        <c:crossAx val="157951872"/>
        <c:crosses val="max"/>
        <c:crossBetween val="between"/>
      </c:valAx>
      <c:catAx>
        <c:axId val="157951872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57949952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37214586160317298"/>
          <c:y val="1.1892546194234431E-2"/>
          <c:w val="0.6110537765428794"/>
          <c:h val="9.057656090842369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itchFamily="34" charset="0"/>
              <a:ea typeface="Calibri"/>
              <a:cs typeface="Arial" pitchFamily="34" charset="0"/>
            </a:defRPr>
          </a:pPr>
          <a:endParaRPr lang="zh-TW"/>
        </a:p>
      </c:txPr>
    </c:legend>
    <c:plotVisOnly val="1"/>
    <c:dispBlanksAs val="gap"/>
    <c:showDLblsOverMax val="0"/>
  </c:chart>
  <c:spPr>
    <a:noFill/>
    <a:ln w="9525">
      <a:solidFill>
        <a:srgbClr val="808080"/>
      </a:solidFill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 paperSize="5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 MOSFET Temp Rise</a:t>
            </a:r>
          </a:p>
        </c:rich>
      </c:tx>
      <c:layout>
        <c:manualLayout>
          <c:xMode val="edge"/>
          <c:yMode val="edge"/>
          <c:x val="0.42625201261607004"/>
          <c:y val="5.39717446561783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64104795743185"/>
          <c:y val="0.15757606845026328"/>
          <c:w val="0.85614122031885154"/>
          <c:h val="0.71717313204926625"/>
        </c:manualLayout>
      </c:layout>
      <c:scatterChart>
        <c:scatterStyle val="lineMarker"/>
        <c:varyColors val="0"/>
        <c:ser>
          <c:idx val="0"/>
          <c:order val="0"/>
          <c:tx>
            <c:v>High-side MOSFET</c:v>
          </c:tx>
          <c:spPr>
            <a:ln w="3175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Calculations'!$BE$9:$BE$209</c:f>
              <c:numCache>
                <c:formatCode>0.0</c:formatCode>
                <c:ptCount val="201"/>
                <c:pt idx="0">
                  <c:v>26.72106317526697</c:v>
                </c:pt>
                <c:pt idx="1">
                  <c:v>26.012330675482097</c:v>
                </c:pt>
                <c:pt idx="2">
                  <c:v>25.336358735398839</c:v>
                </c:pt>
                <c:pt idx="3">
                  <c:v>24.691107672180042</c:v>
                </c:pt>
                <c:pt idx="4">
                  <c:v>24.074698496572775</c:v>
                </c:pt>
                <c:pt idx="5">
                  <c:v>23.485397530903118</c:v>
                </c:pt>
                <c:pt idx="6">
                  <c:v>22.921602724773134</c:v>
                </c:pt>
                <c:pt idx="7">
                  <c:v>22.381831454316906</c:v>
                </c:pt>
                <c:pt idx="8">
                  <c:v>21.864709621099912</c:v>
                </c:pt>
                <c:pt idx="9">
                  <c:v>21.368961892265027</c:v>
                </c:pt>
                <c:pt idx="10">
                  <c:v>20.893402945139506</c:v>
                </c:pt>
                <c:pt idx="11">
                  <c:v>20.436929597873238</c:v>
                </c:pt>
                <c:pt idx="12">
                  <c:v>19.998513723315231</c:v>
                </c:pt>
                <c:pt idx="13">
                  <c:v>10.672589223592132</c:v>
                </c:pt>
                <c:pt idx="14">
                  <c:v>10.491819712977994</c:v>
                </c:pt>
                <c:pt idx="15">
                  <c:v>10.320473784760892</c:v>
                </c:pt>
                <c:pt idx="16">
                  <c:v>10.158050724974874</c:v>
                </c:pt>
                <c:pt idx="17">
                  <c:v>10.004078431089024</c:v>
                </c:pt>
                <c:pt idx="18">
                  <c:v>9.8581106836906862</c:v>
                </c:pt>
                <c:pt idx="19">
                  <c:v>9.7197246485753048</c:v>
                </c:pt>
                <c:pt idx="20">
                  <c:v>9.5885185856749811</c:v>
                </c:pt>
                <c:pt idx="21">
                  <c:v>9.4641097439558148</c:v>
                </c:pt>
                <c:pt idx="22">
                  <c:v>9.3461324237741721</c:v>
                </c:pt>
                <c:pt idx="23">
                  <c:v>18.934109839438786</c:v>
                </c:pt>
                <c:pt idx="24">
                  <c:v>18.90006801700925</c:v>
                </c:pt>
                <c:pt idx="25">
                  <c:v>18.870568284727014</c:v>
                </c:pt>
                <c:pt idx="26">
                  <c:v>18.845333312732343</c:v>
                </c:pt>
                <c:pt idx="27">
                  <c:v>18.824106116856843</c:v>
                </c:pt>
                <c:pt idx="28">
                  <c:v>18.806648363018763</c:v>
                </c:pt>
                <c:pt idx="29">
                  <c:v>18.792738829408492</c:v>
                </c:pt>
                <c:pt idx="30">
                  <c:v>18.782172010219703</c:v>
                </c:pt>
                <c:pt idx="31">
                  <c:v>18.774756846518287</c:v>
                </c:pt>
                <c:pt idx="32">
                  <c:v>18.770315571451608</c:v>
                </c:pt>
                <c:pt idx="33">
                  <c:v>18.768682658414345</c:v>
                </c:pt>
                <c:pt idx="34">
                  <c:v>18.769703862030752</c:v>
                </c:pt>
                <c:pt idx="35">
                  <c:v>18.773235342908727</c:v>
                </c:pt>
                <c:pt idx="36">
                  <c:v>18.779142868087135</c:v>
                </c:pt>
                <c:pt idx="37">
                  <c:v>18.787301079952087</c:v>
                </c:pt>
                <c:pt idx="38">
                  <c:v>18.797592827153355</c:v>
                </c:pt>
                <c:pt idx="39">
                  <c:v>18.809908551721382</c:v>
                </c:pt>
                <c:pt idx="40">
                  <c:v>18.824145727179733</c:v>
                </c:pt>
                <c:pt idx="41">
                  <c:v>18.840208342975476</c:v>
                </c:pt>
                <c:pt idx="42">
                  <c:v>25.214759212856801</c:v>
                </c:pt>
                <c:pt idx="43">
                  <c:v>25.300706433313223</c:v>
                </c:pt>
                <c:pt idx="44">
                  <c:v>25.388066090839079</c:v>
                </c:pt>
                <c:pt idx="45">
                  <c:v>25.476789746681394</c:v>
                </c:pt>
                <c:pt idx="46">
                  <c:v>25.566831271184324</c:v>
                </c:pt>
                <c:pt idx="47">
                  <c:v>25.658146706528729</c:v>
                </c:pt>
                <c:pt idx="48">
                  <c:v>25.750694139048274</c:v>
                </c:pt>
                <c:pt idx="49">
                  <c:v>25.844433580364296</c:v>
                </c:pt>
                <c:pt idx="50">
                  <c:v>25.939326856648385</c:v>
                </c:pt>
                <c:pt idx="51">
                  <c:v>26.035337505381623</c:v>
                </c:pt>
                <c:pt idx="52">
                  <c:v>26.132430679034034</c:v>
                </c:pt>
                <c:pt idx="53">
                  <c:v>26.230573055137029</c:v>
                </c:pt>
                <c:pt idx="54">
                  <c:v>26.329732752266185</c:v>
                </c:pt>
                <c:pt idx="55">
                  <c:v>26.429879251492409</c:v>
                </c:pt>
                <c:pt idx="56">
                  <c:v>26.530983322896216</c:v>
                </c:pt>
                <c:pt idx="57">
                  <c:v>26.63301695677324</c:v>
                </c:pt>
                <c:pt idx="58">
                  <c:v>26.735953299189674</c:v>
                </c:pt>
                <c:pt idx="59">
                  <c:v>26.839766591573799</c:v>
                </c:pt>
                <c:pt idx="60">
                  <c:v>26.944432114055154</c:v>
                </c:pt>
                <c:pt idx="61">
                  <c:v>27.049926132285822</c:v>
                </c:pt>
                <c:pt idx="62">
                  <c:v>27.156225847499275</c:v>
                </c:pt>
                <c:pt idx="63">
                  <c:v>27.263309349581384</c:v>
                </c:pt>
                <c:pt idx="64">
                  <c:v>27.371155572945725</c:v>
                </c:pt>
                <c:pt idx="65">
                  <c:v>27.479744255021412</c:v>
                </c:pt>
                <c:pt idx="66">
                  <c:v>27.589055897176141</c:v>
                </c:pt>
                <c:pt idx="67">
                  <c:v>27.699071727910791</c:v>
                </c:pt>
                <c:pt idx="68">
                  <c:v>27.809773668173968</c:v>
                </c:pt>
                <c:pt idx="69">
                  <c:v>27.921144298656646</c:v>
                </c:pt>
                <c:pt idx="70">
                  <c:v>28.033166828936736</c:v>
                </c:pt>
                <c:pt idx="71">
                  <c:v>28.145825068353584</c:v>
                </c:pt>
                <c:pt idx="72">
                  <c:v>28.259103398500791</c:v>
                </c:pt>
                <c:pt idx="73">
                  <c:v>28.37298674723386</c:v>
                </c:pt>
                <c:pt idx="74">
                  <c:v>28.487460564096711</c:v>
                </c:pt>
                <c:pt idx="75">
                  <c:v>28.602510797077716</c:v>
                </c:pt>
                <c:pt idx="76">
                  <c:v>28.718123870612491</c:v>
                </c:pt>
                <c:pt idx="77">
                  <c:v>28.834286664756181</c:v>
                </c:pt>
                <c:pt idx="78">
                  <c:v>28.950986495453474</c:v>
                </c:pt>
                <c:pt idx="79">
                  <c:v>29.068211095839651</c:v>
                </c:pt>
                <c:pt idx="80">
                  <c:v>29.185948598510258</c:v>
                </c:pt>
                <c:pt idx="81">
                  <c:v>29.304187518701507</c:v>
                </c:pt>
                <c:pt idx="82">
                  <c:v>29.422916738327139</c:v>
                </c:pt>
                <c:pt idx="83">
                  <c:v>29.542125490821451</c:v>
                </c:pt>
                <c:pt idx="84">
                  <c:v>29.661803346741127</c:v>
                </c:pt>
                <c:pt idx="85">
                  <c:v>29.781940200081923</c:v>
                </c:pt>
                <c:pt idx="86">
                  <c:v>29.902526255269095</c:v>
                </c:pt>
                <c:pt idx="87">
                  <c:v>30.023552014783021</c:v>
                </c:pt>
                <c:pt idx="88">
                  <c:v>30.145008267383911</c:v>
                </c:pt>
                <c:pt idx="89">
                  <c:v>30.266886076902082</c:v>
                </c:pt>
                <c:pt idx="90">
                  <c:v>30.389176771562102</c:v>
                </c:pt>
                <c:pt idx="91">
                  <c:v>30.511871933811236</c:v>
                </c:pt>
                <c:pt idx="92">
                  <c:v>30.634963390624453</c:v>
                </c:pt>
                <c:pt idx="93">
                  <c:v>30.758443204260111</c:v>
                </c:pt>
                <c:pt idx="94">
                  <c:v>30.882303663441711</c:v>
                </c:pt>
                <c:pt idx="95">
                  <c:v>31.006537274942964</c:v>
                </c:pt>
                <c:pt idx="96">
                  <c:v>31.131136755554625</c:v>
                </c:pt>
                <c:pt idx="97">
                  <c:v>31.256095024412833</c:v>
                </c:pt>
                <c:pt idx="98">
                  <c:v>31.381405195670006</c:v>
                </c:pt>
                <c:pt idx="99">
                  <c:v>31.50706057149041</c:v>
                </c:pt>
                <c:pt idx="100">
                  <c:v>31.633054635353528</c:v>
                </c:pt>
                <c:pt idx="101">
                  <c:v>31.759381045649487</c:v>
                </c:pt>
                <c:pt idx="102">
                  <c:v>31.886033629551598</c:v>
                </c:pt>
                <c:pt idx="103">
                  <c:v>32.013006377151967</c:v>
                </c:pt>
                <c:pt idx="104">
                  <c:v>32.1402934358469</c:v>
                </c:pt>
                <c:pt idx="105">
                  <c:v>32.267889104959735</c:v>
                </c:pt>
                <c:pt idx="106">
                  <c:v>32.395787830589249</c:v>
                </c:pt>
                <c:pt idx="107">
                  <c:v>32.523984200672544</c:v>
                </c:pt>
                <c:pt idx="108">
                  <c:v>32.652472940251876</c:v>
                </c:pt>
                <c:pt idx="109">
                  <c:v>32.781248906935716</c:v>
                </c:pt>
                <c:pt idx="110">
                  <c:v>32.910307086544435</c:v>
                </c:pt>
                <c:pt idx="111">
                  <c:v>33.039642588931983</c:v>
                </c:pt>
                <c:pt idx="112">
                  <c:v>33.169250643975033</c:v>
                </c:pt>
                <c:pt idx="113">
                  <c:v>33.299126597721823</c:v>
                </c:pt>
                <c:pt idx="114">
                  <c:v>33.429265908693147</c:v>
                </c:pt>
                <c:pt idx="115">
                  <c:v>33.559664144328437</c:v>
                </c:pt>
                <c:pt idx="116">
                  <c:v>33.690316977570163</c:v>
                </c:pt>
                <c:pt idx="117">
                  <c:v>33.821220183580316</c:v>
                </c:pt>
                <c:pt idx="118">
                  <c:v>33.952369636582866</c:v>
                </c:pt>
                <c:pt idx="119">
                  <c:v>34.083761306826503</c:v>
                </c:pt>
                <c:pt idx="120">
                  <c:v>34.215391257662333</c:v>
                </c:pt>
                <c:pt idx="121">
                  <c:v>34.347255642731263</c:v>
                </c:pt>
                <c:pt idx="122">
                  <c:v>34.479350703256245</c:v>
                </c:pt>
                <c:pt idx="123">
                  <c:v>34.611672765434925</c:v>
                </c:pt>
                <c:pt idx="124">
                  <c:v>34.744218237927988</c:v>
                </c:pt>
                <c:pt idx="125">
                  <c:v>34.87698360943935</c:v>
                </c:pt>
                <c:pt idx="126">
                  <c:v>35.00996544638403</c:v>
                </c:pt>
                <c:pt idx="127">
                  <c:v>35.143160390640006</c:v>
                </c:pt>
                <c:pt idx="128">
                  <c:v>35.27656515738046</c:v>
                </c:pt>
                <c:pt idx="129">
                  <c:v>35.410176532983087</c:v>
                </c:pt>
                <c:pt idx="130">
                  <c:v>35.543991373013</c:v>
                </c:pt>
                <c:pt idx="131">
                  <c:v>35.678006600276532</c:v>
                </c:pt>
                <c:pt idx="132">
                  <c:v>35.812219202942551</c:v>
                </c:pt>
                <c:pt idx="133">
                  <c:v>35.946626232728853</c:v>
                </c:pt>
                <c:pt idx="134">
                  <c:v>36.081224803150782</c:v>
                </c:pt>
                <c:pt idx="135">
                  <c:v>36.216012087829604</c:v>
                </c:pt>
                <c:pt idx="136">
                  <c:v>36.350985318858186</c:v>
                </c:pt>
                <c:pt idx="137">
                  <c:v>36.486141785221648</c:v>
                </c:pt>
                <c:pt idx="138">
                  <c:v>36.621478831270984</c:v>
                </c:pt>
                <c:pt idx="139">
                  <c:v>36.756993855247202</c:v>
                </c:pt>
                <c:pt idx="140">
                  <c:v>36.892684307854331</c:v>
                </c:pt>
                <c:pt idx="141">
                  <c:v>37.028547690879087</c:v>
                </c:pt>
                <c:pt idx="142">
                  <c:v>37.164581555855712</c:v>
                </c:pt>
                <c:pt idx="143">
                  <c:v>37.300783502773839</c:v>
                </c:pt>
                <c:pt idx="144">
                  <c:v>37.43715117882806</c:v>
                </c:pt>
                <c:pt idx="145">
                  <c:v>37.573682277207496</c:v>
                </c:pt>
                <c:pt idx="146">
                  <c:v>37.71037453592362</c:v>
                </c:pt>
                <c:pt idx="147">
                  <c:v>37.847225736675405</c:v>
                </c:pt>
                <c:pt idx="148">
                  <c:v>37.984233703749773</c:v>
                </c:pt>
                <c:pt idx="149">
                  <c:v>38.121396302956541</c:v>
                </c:pt>
                <c:pt idx="150">
                  <c:v>38.258711440596265</c:v>
                </c:pt>
                <c:pt idx="151">
                  <c:v>38.396177062459913</c:v>
                </c:pt>
                <c:pt idx="152">
                  <c:v>38.533791152859166</c:v>
                </c:pt>
                <c:pt idx="153">
                  <c:v>38.671551733686222</c:v>
                </c:pt>
                <c:pt idx="154">
                  <c:v>38.809456863501985</c:v>
                </c:pt>
                <c:pt idx="155">
                  <c:v>38.947504636651779</c:v>
                </c:pt>
                <c:pt idx="156">
                  <c:v>39.085693182407411</c:v>
                </c:pt>
                <c:pt idx="157">
                  <c:v>39.224020664134656</c:v>
                </c:pt>
                <c:pt idx="158">
                  <c:v>39.362485278485543</c:v>
                </c:pt>
                <c:pt idx="159">
                  <c:v>39.50108525461409</c:v>
                </c:pt>
                <c:pt idx="160">
                  <c:v>39.639818853415143</c:v>
                </c:pt>
                <c:pt idx="161">
                  <c:v>39.778684366785178</c:v>
                </c:pt>
                <c:pt idx="162">
                  <c:v>39.917680116904499</c:v>
                </c:pt>
                <c:pt idx="163">
                  <c:v>40.056804455539975</c:v>
                </c:pt>
                <c:pt idx="164">
                  <c:v>40.196055763367731</c:v>
                </c:pt>
                <c:pt idx="165">
                  <c:v>40.335432449314951</c:v>
                </c:pt>
                <c:pt idx="166">
                  <c:v>40.47493294992033</c:v>
                </c:pt>
                <c:pt idx="167">
                  <c:v>40.614555728712432</c:v>
                </c:pt>
                <c:pt idx="168">
                  <c:v>40.754299275605355</c:v>
                </c:pt>
                <c:pt idx="169">
                  <c:v>40.894162106311178</c:v>
                </c:pt>
                <c:pt idx="170">
                  <c:v>41.034142761768642</c:v>
                </c:pt>
                <c:pt idx="171">
                  <c:v>41.174239807587419</c:v>
                </c:pt>
                <c:pt idx="172">
                  <c:v>41.314451833507576</c:v>
                </c:pt>
                <c:pt idx="173">
                  <c:v>41.454777452873778</c:v>
                </c:pt>
                <c:pt idx="174">
                  <c:v>41.595215302123542</c:v>
                </c:pt>
                <c:pt idx="175">
                  <c:v>41.735764040289283</c:v>
                </c:pt>
                <c:pt idx="176">
                  <c:v>41.876422348513707</c:v>
                </c:pt>
                <c:pt idx="177">
                  <c:v>42.017188929577927</c:v>
                </c:pt>
                <c:pt idx="178">
                  <c:v>42.158062507442231</c:v>
                </c:pt>
                <c:pt idx="179">
                  <c:v>42.299041826798693</c:v>
                </c:pt>
                <c:pt idx="180">
                  <c:v>42.440125652635707</c:v>
                </c:pt>
                <c:pt idx="181">
                  <c:v>42.581312769813628</c:v>
                </c:pt>
                <c:pt idx="182">
                  <c:v>42.722601982651497</c:v>
                </c:pt>
                <c:pt idx="183">
                  <c:v>42.863992114524379</c:v>
                </c:pt>
                <c:pt idx="184">
                  <c:v>43.005482007471038</c:v>
                </c:pt>
                <c:pt idx="185">
                  <c:v>43.147070521811457</c:v>
                </c:pt>
                <c:pt idx="186">
                  <c:v>43.288756535774311</c:v>
                </c:pt>
                <c:pt idx="187">
                  <c:v>43.430538945133542</c:v>
                </c:pt>
                <c:pt idx="188">
                  <c:v>43.572416662854202</c:v>
                </c:pt>
                <c:pt idx="189">
                  <c:v>43.714388618747151</c:v>
                </c:pt>
                <c:pt idx="190">
                  <c:v>43.856453759132208</c:v>
                </c:pt>
                <c:pt idx="191">
                  <c:v>43.998611046509751</c:v>
                </c:pt>
                <c:pt idx="192">
                  <c:v>44.140859459240303</c:v>
                </c:pt>
                <c:pt idx="193">
                  <c:v>44.28319799123198</c:v>
                </c:pt>
                <c:pt idx="194">
                  <c:v>44.425625651635549</c:v>
                </c:pt>
                <c:pt idx="195">
                  <c:v>44.568141464546912</c:v>
                </c:pt>
                <c:pt idx="196">
                  <c:v>44.710744468716655</c:v>
                </c:pt>
                <c:pt idx="197">
                  <c:v>44.853433717266661</c:v>
                </c:pt>
                <c:pt idx="198">
                  <c:v>44.996208277413487</c:v>
                </c:pt>
                <c:pt idx="199">
                  <c:v>45.139067230198194</c:v>
                </c:pt>
                <c:pt idx="200">
                  <c:v>45.282009670222784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9C-4AA8-B027-F089379DDFE3}"/>
            </c:ext>
          </c:extLst>
        </c:ser>
        <c:ser>
          <c:idx val="1"/>
          <c:order val="1"/>
          <c:tx>
            <c:v>Low-side MOSFET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Calculations'!$BF$9:$BF$209</c:f>
              <c:numCache>
                <c:formatCode>0.0</c:formatCode>
                <c:ptCount val="201"/>
                <c:pt idx="0">
                  <c:v>33.623901592867391</c:v>
                </c:pt>
                <c:pt idx="1">
                  <c:v>33.105092307587775</c:v>
                </c:pt>
                <c:pt idx="2">
                  <c:v>32.601482208440373</c:v>
                </c:pt>
                <c:pt idx="3">
                  <c:v>32.112420096341488</c:v>
                </c:pt>
                <c:pt idx="4">
                  <c:v>31.637294097906377</c:v>
                </c:pt>
                <c:pt idx="5">
                  <c:v>31.175529164295078</c:v>
                </c:pt>
                <c:pt idx="6">
                  <c:v>30.726584770652327</c:v>
                </c:pt>
                <c:pt idx="7">
                  <c:v>30.289952798480353</c:v>
                </c:pt>
                <c:pt idx="8">
                  <c:v>29.865155584977956</c:v>
                </c:pt>
                <c:pt idx="9">
                  <c:v>29.451744124903325</c:v>
                </c:pt>
                <c:pt idx="10">
                  <c:v>29.049296411887575</c:v>
                </c:pt>
                <c:pt idx="11">
                  <c:v>28.657415907358537</c:v>
                </c:pt>
                <c:pt idx="12">
                  <c:v>28.275730126343134</c:v>
                </c:pt>
                <c:pt idx="13">
                  <c:v>18.859990855341064</c:v>
                </c:pt>
                <c:pt idx="14">
                  <c:v>18.601478244329805</c:v>
                </c:pt>
                <c:pt idx="15">
                  <c:v>18.349319531487758</c:v>
                </c:pt>
                <c:pt idx="16">
                  <c:v>18.103403248820719</c:v>
                </c:pt>
                <c:pt idx="17">
                  <c:v>17.863637289356422</c:v>
                </c:pt>
                <c:pt idx="18">
                  <c:v>17.629948351728821</c:v>
                </c:pt>
                <c:pt idx="19">
                  <c:v>17.402281439094438</c:v>
                </c:pt>
                <c:pt idx="20">
                  <c:v>17.18059940825318</c:v>
                </c:pt>
                <c:pt idx="21">
                  <c:v>16.96488256529528</c:v>
                </c:pt>
                <c:pt idx="22">
                  <c:v>16.755128304503003</c:v>
                </c:pt>
                <c:pt idx="23">
                  <c:v>6.2587609348808</c:v>
                </c:pt>
                <c:pt idx="24">
                  <c:v>6.3693078185559395</c:v>
                </c:pt>
                <c:pt idx="25">
                  <c:v>6.4777264321385548</c:v>
                </c:pt>
                <c:pt idx="26">
                  <c:v>6.5841348451419224</c:v>
                </c:pt>
                <c:pt idx="27">
                  <c:v>6.6886417567112328</c:v>
                </c:pt>
                <c:pt idx="28">
                  <c:v>6.7913473252764174</c:v>
                </c:pt>
                <c:pt idx="29">
                  <c:v>6.8923439193156355</c:v>
                </c:pt>
                <c:pt idx="30">
                  <c:v>6.9917167972368803</c:v>
                </c:pt>
                <c:pt idx="31">
                  <c:v>7.0895447235206825</c:v>
                </c:pt>
                <c:pt idx="32">
                  <c:v>7.1859005275014365</c:v>
                </c:pt>
                <c:pt idx="33">
                  <c:v>7.2808516104860228</c:v>
                </c:pt>
                <c:pt idx="34">
                  <c:v>7.3744604063062917</c:v>
                </c:pt>
                <c:pt idx="35">
                  <c:v>7.4667847998670149</c:v>
                </c:pt>
                <c:pt idx="36">
                  <c:v>7.5578785077757038</c:v>
                </c:pt>
                <c:pt idx="37">
                  <c:v>7.6477914247177186</c:v>
                </c:pt>
                <c:pt idx="38">
                  <c:v>7.7365699388636529</c:v>
                </c:pt>
                <c:pt idx="39">
                  <c:v>7.8242572192605531</c:v>
                </c:pt>
                <c:pt idx="40">
                  <c:v>7.9108934778592657</c:v>
                </c:pt>
                <c:pt idx="41">
                  <c:v>7.9965162085632713</c:v>
                </c:pt>
                <c:pt idx="42">
                  <c:v>12.879796741238128</c:v>
                </c:pt>
                <c:pt idx="43">
                  <c:v>12.955209132951378</c:v>
                </c:pt>
                <c:pt idx="44">
                  <c:v>13.029455785996085</c:v>
                </c:pt>
                <c:pt idx="45">
                  <c:v>13.102568913358544</c:v>
                </c:pt>
                <c:pt idx="46">
                  <c:v>13.174579354452465</c:v>
                </c:pt>
                <c:pt idx="47">
                  <c:v>13.24551665355928</c:v>
                </c:pt>
                <c:pt idx="48">
                  <c:v>13.315409132845611</c:v>
                </c:pt>
                <c:pt idx="49">
                  <c:v>13.384283960386288</c:v>
                </c:pt>
                <c:pt idx="50">
                  <c:v>13.452167213584016</c:v>
                </c:pt>
                <c:pt idx="51">
                  <c:v>13.519083938342684</c:v>
                </c:pt>
                <c:pt idx="52">
                  <c:v>13.585058204320697</c:v>
                </c:pt>
                <c:pt idx="53">
                  <c:v>13.650113156562737</c:v>
                </c:pt>
                <c:pt idx="54">
                  <c:v>13.714271063783176</c:v>
                </c:pt>
                <c:pt idx="55">
                  <c:v>13.777553363551455</c:v>
                </c:pt>
                <c:pt idx="56">
                  <c:v>13.839980704608799</c:v>
                </c:pt>
                <c:pt idx="57">
                  <c:v>13.901572986526821</c:v>
                </c:pt>
                <c:pt idx="58">
                  <c:v>13.962349396901288</c:v>
                </c:pt>
                <c:pt idx="59">
                  <c:v>14.022328446258628</c:v>
                </c:pt>
                <c:pt idx="60">
                  <c:v>14.081528000838432</c:v>
                </c:pt>
                <c:pt idx="61">
                  <c:v>14.139965313402275</c:v>
                </c:pt>
                <c:pt idx="62">
                  <c:v>14.197657052207179</c:v>
                </c:pt>
                <c:pt idx="63">
                  <c:v>14.254619328271144</c:v>
                </c:pt>
                <c:pt idx="64">
                  <c:v>14.310867721048437</c:v>
                </c:pt>
                <c:pt idx="65">
                  <c:v>14.366417302622981</c:v>
                </c:pt>
                <c:pt idx="66">
                  <c:v>14.421282660520099</c:v>
                </c:pt>
                <c:pt idx="67">
                  <c:v>14.4754779192291</c:v>
                </c:pt>
                <c:pt idx="68">
                  <c:v>14.529016760522317</c:v>
                </c:pt>
                <c:pt idx="69">
                  <c:v>14.581912442649763</c:v>
                </c:pt>
                <c:pt idx="70">
                  <c:v>14.634177818482659</c:v>
                </c:pt>
                <c:pt idx="71">
                  <c:v>14.685825352673797</c:v>
                </c:pt>
                <c:pt idx="72">
                  <c:v>14.736867137897644</c:v>
                </c:pt>
                <c:pt idx="73">
                  <c:v>14.787314910228568</c:v>
                </c:pt>
                <c:pt idx="74">
                  <c:v>14.837180063711426</c:v>
                </c:pt>
                <c:pt idx="75">
                  <c:v>14.886473664174751</c:v>
                </c:pt>
                <c:pt idx="76">
                  <c:v>14.935206462333452</c:v>
                </c:pt>
                <c:pt idx="77">
                  <c:v>14.983388906224326</c:v>
                </c:pt>
                <c:pt idx="78">
                  <c:v>15.031031153015045</c:v>
                </c:pt>
                <c:pt idx="79">
                  <c:v>15.078143080224136</c:v>
                </c:pt>
                <c:pt idx="80">
                  <c:v>15.124734296387132</c:v>
                </c:pt>
                <c:pt idx="81">
                  <c:v>15.170814151201531</c:v>
                </c:pt>
                <c:pt idx="82">
                  <c:v>15.216391745181145</c:v>
                </c:pt>
                <c:pt idx="83">
                  <c:v>15.261475938848236</c:v>
                </c:pt>
                <c:pt idx="84">
                  <c:v>15.306075361490018</c:v>
                </c:pt>
                <c:pt idx="85">
                  <c:v>15.35019841950438</c:v>
                </c:pt>
                <c:pt idx="86">
                  <c:v>15.393853304358</c:v>
                </c:pt>
                <c:pt idx="87">
                  <c:v>15.437048000178574</c:v>
                </c:pt>
                <c:pt idx="88">
                  <c:v>15.479790291001395</c:v>
                </c:pt>
                <c:pt idx="89">
                  <c:v>15.52208776768939</c:v>
                </c:pt>
                <c:pt idx="90">
                  <c:v>15.563947834544376</c:v>
                </c:pt>
                <c:pt idx="91">
                  <c:v>15.605377715626144</c:v>
                </c:pt>
                <c:pt idx="92">
                  <c:v>15.646384460795115</c:v>
                </c:pt>
                <c:pt idx="93">
                  <c:v>15.68697495149328</c:v>
                </c:pt>
                <c:pt idx="94">
                  <c:v>15.727155906276971</c:v>
                </c:pt>
                <c:pt idx="95">
                  <c:v>15.766933886114748</c:v>
                </c:pt>
                <c:pt idx="96">
                  <c:v>15.806315299462229</c:v>
                </c:pt>
                <c:pt idx="97">
                  <c:v>15.845306407125507</c:v>
                </c:pt>
                <c:pt idx="98">
                  <c:v>15.883913326923789</c:v>
                </c:pt>
                <c:pt idx="99">
                  <c:v>15.922142038161454</c:v>
                </c:pt>
                <c:pt idx="100">
                  <c:v>15.959998385918933</c:v>
                </c:pt>
                <c:pt idx="101">
                  <c:v>15.997488085171538</c:v>
                </c:pt>
                <c:pt idx="102">
                  <c:v>16.034616724744527</c:v>
                </c:pt>
                <c:pt idx="103">
                  <c:v>16.071389771112468</c:v>
                </c:pt>
                <c:pt idx="104">
                  <c:v>16.107812572050413</c:v>
                </c:pt>
                <c:pt idx="105">
                  <c:v>16.143890360143949</c:v>
                </c:pt>
                <c:pt idx="106">
                  <c:v>16.179628256164779</c:v>
                </c:pt>
                <c:pt idx="107">
                  <c:v>16.215031272318257</c:v>
                </c:pt>
                <c:pt idx="108">
                  <c:v>16.25010431536878</c:v>
                </c:pt>
                <c:pt idx="109">
                  <c:v>16.284852189648657</c:v>
                </c:pt>
                <c:pt idx="110">
                  <c:v>16.319279599955863</c:v>
                </c:pt>
                <c:pt idx="111">
                  <c:v>16.35339115434574</c:v>
                </c:pt>
                <c:pt idx="112">
                  <c:v>16.38719136682133</c:v>
                </c:pt>
                <c:pt idx="113">
                  <c:v>16.420684659926962</c:v>
                </c:pt>
                <c:pt idx="114">
                  <c:v>16.45387536724937</c:v>
                </c:pt>
                <c:pt idx="115">
                  <c:v>16.486767735830359</c:v>
                </c:pt>
                <c:pt idx="116">
                  <c:v>16.519365928494921</c:v>
                </c:pt>
                <c:pt idx="117">
                  <c:v>16.551674026098475</c:v>
                </c:pt>
                <c:pt idx="118">
                  <c:v>16.583696029696632</c:v>
                </c:pt>
                <c:pt idx="119">
                  <c:v>16.61543586264084</c:v>
                </c:pt>
                <c:pt idx="120">
                  <c:v>16.646897372603043</c:v>
                </c:pt>
                <c:pt idx="121">
                  <c:v>16.678084333532251</c:v>
                </c:pt>
                <c:pt idx="122">
                  <c:v>16.709000447545964</c:v>
                </c:pt>
                <c:pt idx="123">
                  <c:v>16.739649346759013</c:v>
                </c:pt>
                <c:pt idx="124">
                  <c:v>16.770034595052483</c:v>
                </c:pt>
                <c:pt idx="125">
                  <c:v>16.800159689785069</c:v>
                </c:pt>
                <c:pt idx="126">
                  <c:v>16.830028063449213</c:v>
                </c:pt>
                <c:pt idx="127">
                  <c:v>16.859643085274222</c:v>
                </c:pt>
                <c:pt idx="128">
                  <c:v>16.889008062778505</c:v>
                </c:pt>
                <c:pt idx="129">
                  <c:v>16.918126243272837</c:v>
                </c:pt>
                <c:pt idx="130">
                  <c:v>16.947000815316638</c:v>
                </c:pt>
                <c:pt idx="131">
                  <c:v>16.975634910129067</c:v>
                </c:pt>
                <c:pt idx="132">
                  <c:v>17.004031602956633</c:v>
                </c:pt>
                <c:pt idx="133">
                  <c:v>17.032193914399077</c:v>
                </c:pt>
                <c:pt idx="134">
                  <c:v>17.060124811694926</c:v>
                </c:pt>
                <c:pt idx="135">
                  <c:v>17.087827209968388</c:v>
                </c:pt>
                <c:pt idx="136">
                  <c:v>17.115303973439037</c:v>
                </c:pt>
                <c:pt idx="137">
                  <c:v>17.142557916595482</c:v>
                </c:pt>
                <c:pt idx="138">
                  <c:v>17.169591805334587</c:v>
                </c:pt>
                <c:pt idx="139">
                  <c:v>17.196408358067259</c:v>
                </c:pt>
                <c:pt idx="140">
                  <c:v>17.223010246792246</c:v>
                </c:pt>
                <c:pt idx="141">
                  <c:v>17.249400098138857</c:v>
                </c:pt>
                <c:pt idx="142">
                  <c:v>17.275580494379906</c:v>
                </c:pt>
                <c:pt idx="143">
                  <c:v>17.30155397441586</c:v>
                </c:pt>
                <c:pt idx="144">
                  <c:v>17.327323034731123</c:v>
                </c:pt>
                <c:pt idx="145">
                  <c:v>17.35289013032358</c:v>
                </c:pt>
                <c:pt idx="146">
                  <c:v>17.378257675608229</c:v>
                </c:pt>
                <c:pt idx="147">
                  <c:v>17.403428045295801</c:v>
                </c:pt>
                <c:pt idx="148">
                  <c:v>17.428403575247213</c:v>
                </c:pt>
                <c:pt idx="149">
                  <c:v>17.453186563304762</c:v>
                </c:pt>
                <c:pt idx="150">
                  <c:v>17.477779270100697</c:v>
                </c:pt>
                <c:pt idx="151">
                  <c:v>17.502183919844065</c:v>
                </c:pt>
                <c:pt idx="152">
                  <c:v>17.526402701086457</c:v>
                </c:pt>
                <c:pt idx="153">
                  <c:v>17.5504377674674</c:v>
                </c:pt>
                <c:pt idx="154">
                  <c:v>17.574291238440015</c:v>
                </c:pt>
                <c:pt idx="155">
                  <c:v>17.597965199977679</c:v>
                </c:pt>
                <c:pt idx="156">
                  <c:v>17.621461705262178</c:v>
                </c:pt>
                <c:pt idx="157">
                  <c:v>17.644782775354031</c:v>
                </c:pt>
                <c:pt idx="158">
                  <c:v>17.667930399845545</c:v>
                </c:pt>
                <c:pt idx="159">
                  <c:v>17.690906537497128</c:v>
                </c:pt>
                <c:pt idx="160">
                  <c:v>17.713713116857349</c:v>
                </c:pt>
                <c:pt idx="161">
                  <c:v>17.736352036867395</c:v>
                </c:pt>
                <c:pt idx="162">
                  <c:v>17.758825167450219</c:v>
                </c:pt>
                <c:pt idx="163">
                  <c:v>17.781134350084979</c:v>
                </c:pt>
                <c:pt idx="164">
                  <c:v>17.803281398367247</c:v>
                </c:pt>
                <c:pt idx="165">
                  <c:v>17.825268098555231</c:v>
                </c:pt>
                <c:pt idx="166">
                  <c:v>17.847096210102716</c:v>
                </c:pt>
                <c:pt idx="167">
                  <c:v>17.868767466178863</c:v>
                </c:pt>
                <c:pt idx="168">
                  <c:v>17.890283574175427</c:v>
                </c:pt>
                <c:pt idx="169">
                  <c:v>17.911646216201685</c:v>
                </c:pt>
                <c:pt idx="170">
                  <c:v>17.932857049567481</c:v>
                </c:pt>
                <c:pt idx="171">
                  <c:v>17.953917707254728</c:v>
                </c:pt>
                <c:pt idx="172">
                  <c:v>17.974829798377673</c:v>
                </c:pt>
                <c:pt idx="173">
                  <c:v>17.995594908632295</c:v>
                </c:pt>
                <c:pt idx="174">
                  <c:v>18.01621460073514</c:v>
                </c:pt>
                <c:pt idx="175">
                  <c:v>18.036690414851865</c:v>
                </c:pt>
                <c:pt idx="176">
                  <c:v>18.057023869015826</c:v>
                </c:pt>
                <c:pt idx="177">
                  <c:v>18.077216459536967</c:v>
                </c:pt>
                <c:pt idx="178">
                  <c:v>18.097269661401302</c:v>
                </c:pt>
                <c:pt idx="179">
                  <c:v>18.117184928661228</c:v>
                </c:pt>
                <c:pt idx="180">
                  <c:v>18.136963694816959</c:v>
                </c:pt>
                <c:pt idx="181">
                  <c:v>18.156607373189292</c:v>
                </c:pt>
                <c:pt idx="182">
                  <c:v>18.176117357283996</c:v>
                </c:pt>
                <c:pt idx="183">
                  <c:v>18.195495021147966</c:v>
                </c:pt>
                <c:pt idx="184">
                  <c:v>18.214741719717466</c:v>
                </c:pt>
                <c:pt idx="185">
                  <c:v>18.233858789158624</c:v>
                </c:pt>
                <c:pt idx="186">
                  <c:v>18.252847547200382</c:v>
                </c:pt>
                <c:pt idx="187">
                  <c:v>18.271709293460109</c:v>
                </c:pt>
                <c:pt idx="188">
                  <c:v>18.290445309762134</c:v>
                </c:pt>
                <c:pt idx="189">
                  <c:v>18.30905686044925</c:v>
                </c:pt>
                <c:pt idx="190">
                  <c:v>18.327545192687548</c:v>
                </c:pt>
                <c:pt idx="191">
                  <c:v>18.345911536764589</c:v>
                </c:pt>
                <c:pt idx="192">
                  <c:v>18.364157106381263</c:v>
                </c:pt>
                <c:pt idx="193">
                  <c:v>18.382283098937261</c:v>
                </c:pt>
                <c:pt idx="194">
                  <c:v>18.400290695810636</c:v>
                </c:pt>
                <c:pt idx="195">
                  <c:v>18.418181062631309</c:v>
                </c:pt>
                <c:pt idx="196">
                  <c:v>18.435955349548866</c:v>
                </c:pt>
                <c:pt idx="197">
                  <c:v>18.453614691494707</c:v>
                </c:pt>
                <c:pt idx="198">
                  <c:v>18.471160208438747</c:v>
                </c:pt>
                <c:pt idx="199">
                  <c:v>18.488593005640702</c:v>
                </c:pt>
                <c:pt idx="200">
                  <c:v>18.505914173896262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79C-4AA8-B027-F089379DD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47648"/>
        <c:axId val="141949568"/>
      </c:scatterChart>
      <c:valAx>
        <c:axId val="141947648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052333022741466"/>
              <c:y val="0.937985266634570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41949568"/>
        <c:crosses val="autoZero"/>
        <c:crossBetween val="midCat"/>
      </c:valAx>
      <c:valAx>
        <c:axId val="1419495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Temperature (</a:t>
                </a:r>
                <a:r>
                  <a:rPr lang="en-US" sz="1100">
                    <a:sym typeface="Symbol"/>
                  </a:rPr>
                  <a:t></a:t>
                </a:r>
                <a:r>
                  <a:rPr lang="en-US" sz="1100"/>
                  <a:t>C)</a:t>
                </a:r>
              </a:p>
            </c:rich>
          </c:tx>
          <c:layout>
            <c:manualLayout>
              <c:xMode val="edge"/>
              <c:yMode val="edge"/>
              <c:x val="1.3813487878384515E-2"/>
              <c:y val="0.403849932959563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41947648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76235382341913138"/>
          <c:y val="3.6399592062826468E-2"/>
          <c:w val="0.19862061359977062"/>
          <c:h val="8.282849492298320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MOSFET &amp;</a:t>
            </a:r>
            <a:r>
              <a:rPr lang="en-US" sz="1200" baseline="0"/>
              <a:t> Inductor</a:t>
            </a:r>
            <a:r>
              <a:rPr lang="en-US" sz="1200"/>
              <a:t> Power Dissipation</a:t>
            </a:r>
          </a:p>
        </c:rich>
      </c:tx>
      <c:layout>
        <c:manualLayout>
          <c:xMode val="edge"/>
          <c:yMode val="edge"/>
          <c:x val="0.3164215172691891"/>
          <c:y val="3.56182795698924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00636942675162"/>
          <c:y val="0.15927440521547717"/>
          <c:w val="0.8471337579617837"/>
          <c:h val="0.70362972493790654"/>
        </c:manualLayout>
      </c:layout>
      <c:scatterChart>
        <c:scatterStyle val="lineMarker"/>
        <c:varyColors val="0"/>
        <c:ser>
          <c:idx val="2"/>
          <c:order val="0"/>
          <c:tx>
            <c:v>High-side MOSFET</c:v>
          </c:tx>
          <c:spPr>
            <a:ln w="2540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Calculations'!$AE$9:$AE$209</c:f>
              <c:numCache>
                <c:formatCode>0.000</c:formatCode>
                <c:ptCount val="201"/>
                <c:pt idx="0">
                  <c:v>0.38405829751407017</c:v>
                </c:pt>
                <c:pt idx="1">
                  <c:v>0.37177142109665656</c:v>
                </c:pt>
                <c:pt idx="2">
                  <c:v>0.36007166047506073</c:v>
                </c:pt>
                <c:pt idx="3">
                  <c:v>0.34892137010403912</c:v>
                </c:pt>
                <c:pt idx="4">
                  <c:v>0.33828600425583588</c:v>
                </c:pt>
                <c:pt idx="5">
                  <c:v>0.32813381642973394</c:v>
                </c:pt>
                <c:pt idx="6">
                  <c:v>0.31843559287359469</c:v>
                </c:pt>
                <c:pt idx="7">
                  <c:v>0.30916441581111254</c:v>
                </c:pt>
                <c:pt idx="8">
                  <c:v>0.3002954526051283</c:v>
                </c:pt>
                <c:pt idx="9">
                  <c:v>0.29180576762252369</c:v>
                </c:pt>
                <c:pt idx="10">
                  <c:v>0.28367415401757451</c:v>
                </c:pt>
                <c:pt idx="11">
                  <c:v>0.27588098303250724</c:v>
                </c:pt>
                <c:pt idx="12">
                  <c:v>0.26840806873804446</c:v>
                </c:pt>
                <c:pt idx="13">
                  <c:v>0.33221485475018997</c:v>
                </c:pt>
                <c:pt idx="14">
                  <c:v>0.32599016267164083</c:v>
                </c:pt>
                <c:pt idx="15">
                  <c:v>0.32000628006482768</c:v>
                </c:pt>
                <c:pt idx="16">
                  <c:v>0.31425311895279745</c:v>
                </c:pt>
                <c:pt idx="17">
                  <c:v>0.30872141453967528</c:v>
                </c:pt>
                <c:pt idx="18">
                  <c:v>0.30340266527358228</c:v>
                </c:pt>
                <c:pt idx="19">
                  <c:v>0.29828907836594176</c:v>
                </c:pt>
                <c:pt idx="20">
                  <c:v>0.29337352020824814</c:v>
                </c:pt>
                <c:pt idx="21">
                  <c:v>0.2886494711921419</c:v>
                </c:pt>
                <c:pt idx="22">
                  <c:v>0.2841109844951572</c:v>
                </c:pt>
                <c:pt idx="23">
                  <c:v>0.28192991964549635</c:v>
                </c:pt>
                <c:pt idx="24">
                  <c:v>0.28109324167257327</c:v>
                </c:pt>
                <c:pt idx="25">
                  <c:v>0.2803348755987416</c:v>
                </c:pt>
                <c:pt idx="26">
                  <c:v>0.27965003987469556</c:v>
                </c:pt>
                <c:pt idx="27">
                  <c:v>0.27903430373891108</c:v>
                </c:pt>
                <c:pt idx="28">
                  <c:v>0.27848355798308211</c:v>
                </c:pt>
                <c:pt idx="29">
                  <c:v>0.27799398843807743</c:v>
                </c:pt>
                <c:pt idx="30">
                  <c:v>0.27756205190033972</c:v>
                </c:pt>
                <c:pt idx="31">
                  <c:v>0.27718445425031529</c:v>
                </c:pt>
                <c:pt idx="32">
                  <c:v>0.2768581305422691</c:v>
                </c:pt>
                <c:pt idx="33">
                  <c:v>0.2765802268692128</c:v>
                </c:pt>
                <c:pt idx="34">
                  <c:v>0.27634808382811643</c:v>
                </c:pt>
                <c:pt idx="35">
                  <c:v>0.27615922142946081</c:v>
                </c:pt>
                <c:pt idx="36">
                  <c:v>0.27601132531184713</c:v>
                </c:pt>
                <c:pt idx="37">
                  <c:v>0.27590223413710496</c:v>
                </c:pt>
                <c:pt idx="38">
                  <c:v>0.27582992805436823</c:v>
                </c:pt>
                <c:pt idx="39">
                  <c:v>0.27579251813312727</c:v>
                </c:pt>
                <c:pt idx="40">
                  <c:v>0.27578823667551267</c:v>
                </c:pt>
                <c:pt idx="41">
                  <c:v>0.27581542832716338</c:v>
                </c:pt>
                <c:pt idx="42">
                  <c:v>0.3806062278078759</c:v>
                </c:pt>
                <c:pt idx="43">
                  <c:v>0.38158857643643485</c:v>
                </c:pt>
                <c:pt idx="44">
                  <c:v>0.38259527742825994</c:v>
                </c:pt>
                <c:pt idx="45">
                  <c:v>0.38362549563243781</c:v>
                </c:pt>
                <c:pt idx="46">
                  <c:v>0.38467843571007448</c:v>
                </c:pt>
                <c:pt idx="47">
                  <c:v>0.38575333976773668</c:v>
                </c:pt>
                <c:pt idx="48">
                  <c:v>0.3868494851560047</c:v>
                </c:pt>
                <c:pt idx="49">
                  <c:v>0.38796618242007408</c:v>
                </c:pt>
                <c:pt idx="50">
                  <c:v>0.38910277339048943</c:v>
                </c:pt>
                <c:pt idx="51">
                  <c:v>0.39025862940313139</c:v>
                </c:pt>
                <c:pt idx="52">
                  <c:v>0.39143314963851783</c:v>
                </c:pt>
                <c:pt idx="53">
                  <c:v>0.39262575957132811</c:v>
                </c:pt>
                <c:pt idx="54">
                  <c:v>0.39383590952183078</c:v>
                </c:pt>
                <c:pt idx="55">
                  <c:v>0.39506307330159324</c:v>
                </c:pt>
                <c:pt idx="56">
                  <c:v>0.39630674694648649</c:v>
                </c:pt>
                <c:pt idx="57">
                  <c:v>0.39756644753057307</c:v>
                </c:pt>
                <c:pt idx="58">
                  <c:v>0.39884171205499441</c:v>
                </c:pt>
                <c:pt idx="59">
                  <c:v>0.40013209640644476</c:v>
                </c:pt>
                <c:pt idx="60">
                  <c:v>0.40143717438026127</c:v>
                </c:pt>
                <c:pt idx="61">
                  <c:v>0.40275653676354867</c:v>
                </c:pt>
                <c:pt idx="62">
                  <c:v>0.40408979047412547</c:v>
                </c:pt>
                <c:pt idx="63">
                  <c:v>0.40543655775140314</c:v>
                </c:pt>
                <c:pt idx="64">
                  <c:v>0.40679647539561592</c:v>
                </c:pt>
                <c:pt idx="65">
                  <c:v>0.40816919405209334</c:v>
                </c:pt>
                <c:pt idx="66">
                  <c:v>0.40955437753751972</c:v>
                </c:pt>
                <c:pt idx="67">
                  <c:v>0.41095170220535843</c:v>
                </c:pt>
                <c:pt idx="68">
                  <c:v>0.41236085634782699</c:v>
                </c:pt>
                <c:pt idx="69">
                  <c:v>0.41378153963201114</c:v>
                </c:pt>
                <c:pt idx="70">
                  <c:v>0.41521346256787478</c:v>
                </c:pt>
                <c:pt idx="71">
                  <c:v>0.41665634600609625</c:v>
                </c:pt>
                <c:pt idx="72">
                  <c:v>0.41810992066380676</c:v>
                </c:pt>
                <c:pt idx="73">
                  <c:v>0.41957392667644589</c:v>
                </c:pt>
                <c:pt idx="74">
                  <c:v>0.4210481131740812</c:v>
                </c:pt>
                <c:pt idx="75">
                  <c:v>0.42253223788065025</c:v>
                </c:pt>
                <c:pt idx="76">
                  <c:v>0.42402606673469811</c:v>
                </c:pt>
                <c:pt idx="77">
                  <c:v>0.42552937353027898</c:v>
                </c:pt>
                <c:pt idx="78">
                  <c:v>0.42704193957678405</c:v>
                </c:pt>
                <c:pt idx="79">
                  <c:v>0.42856355337654567</c:v>
                </c:pt>
                <c:pt idx="80">
                  <c:v>0.43009401031914235</c:v>
                </c:pt>
                <c:pt idx="81">
                  <c:v>0.43163311239140523</c:v>
                </c:pt>
                <c:pt idx="82">
                  <c:v>0.43318066790219201</c:v>
                </c:pt>
                <c:pt idx="83">
                  <c:v>0.43473649122105956</c:v>
                </c:pt>
                <c:pt idx="84">
                  <c:v>0.43630040253001945</c:v>
                </c:pt>
                <c:pt idx="85">
                  <c:v>0.43787222758761929</c:v>
                </c:pt>
                <c:pt idx="86">
                  <c:v>0.43945179750463953</c:v>
                </c:pt>
                <c:pt idx="87">
                  <c:v>0.44103894853074171</c:v>
                </c:pt>
                <c:pt idx="88">
                  <c:v>0.44263352185144672</c:v>
                </c:pt>
                <c:pt idx="89">
                  <c:v>0.44423536339486347</c:v>
                </c:pt>
                <c:pt idx="90">
                  <c:v>0.44584432364762244</c:v>
                </c:pt>
                <c:pt idx="91">
                  <c:v>0.44746025747950402</c:v>
                </c:pt>
                <c:pt idx="92">
                  <c:v>0.44908302397628369</c:v>
                </c:pt>
                <c:pt idx="93">
                  <c:v>0.45071248628034677</c:v>
                </c:pt>
                <c:pt idx="94">
                  <c:v>0.45234851143865018</c:v>
                </c:pt>
                <c:pt idx="95">
                  <c:v>0.45399097025763729</c:v>
                </c:pt>
                <c:pt idx="96">
                  <c:v>0.45563973716473488</c:v>
                </c:pt>
                <c:pt idx="97">
                  <c:v>0.45729469007608325</c:v>
                </c:pt>
                <c:pt idx="98">
                  <c:v>0.45895571027017251</c:v>
                </c:pt>
                <c:pt idx="99">
                  <c:v>0.46062268226707609</c:v>
                </c:pt>
                <c:pt idx="100">
                  <c:v>0.46229549371299183</c:v>
                </c:pt>
                <c:pt idx="101">
                  <c:v>0.46397403526981873</c:v>
                </c:pt>
                <c:pt idx="102">
                  <c:v>0.46565820050951034</c:v>
                </c:pt>
                <c:pt idx="103">
                  <c:v>0.46734788581296499</c:v>
                </c:pt>
                <c:pt idx="104">
                  <c:v>0.46904299027322244</c:v>
                </c:pt>
                <c:pt idx="105">
                  <c:v>0.47074341560275401</c:v>
                </c:pt>
                <c:pt idx="106">
                  <c:v>0.47244906604464226</c:v>
                </c:pt>
                <c:pt idx="107">
                  <c:v>0.47415984828745761</c:v>
                </c:pt>
                <c:pt idx="108">
                  <c:v>0.475875671383653</c:v>
                </c:pt>
                <c:pt idx="109">
                  <c:v>0.47759644667130541</c:v>
                </c:pt>
                <c:pt idx="110">
                  <c:v>0.479322087699042</c:v>
                </c:pt>
                <c:pt idx="111">
                  <c:v>0.48105251015399969</c:v>
                </c:pt>
                <c:pt idx="112">
                  <c:v>0.48278763179267292</c:v>
                </c:pt>
                <c:pt idx="113">
                  <c:v>0.48452737237451415</c:v>
                </c:pt>
                <c:pt idx="114">
                  <c:v>0.48627165359815777</c:v>
                </c:pt>
                <c:pt idx="115">
                  <c:v>0.48802039904014555</c:v>
                </c:pt>
                <c:pt idx="116">
                  <c:v>0.4897735340960373</c:v>
                </c:pt>
                <c:pt idx="117">
                  <c:v>0.49153098592379857</c:v>
                </c:pt>
                <c:pt idx="118">
                  <c:v>0.49329268338935967</c:v>
                </c:pt>
                <c:pt idx="119">
                  <c:v>0.49505855701425006</c:v>
                </c:pt>
                <c:pt idx="120">
                  <c:v>0.49682853892521267</c:v>
                </c:pt>
                <c:pt idx="121">
                  <c:v>0.49860256280571136</c:v>
                </c:pt>
                <c:pt idx="122">
                  <c:v>0.50038056384924556</c:v>
                </c:pt>
                <c:pt idx="123">
                  <c:v>0.50216247871439523</c:v>
                </c:pt>
                <c:pt idx="124">
                  <c:v>0.50394824548151707</c:v>
                </c:pt>
                <c:pt idx="125">
                  <c:v>0.50573780361102327</c:v>
                </c:pt>
                <c:pt idx="126">
                  <c:v>0.50753109390317297</c:v>
                </c:pt>
                <c:pt idx="127">
                  <c:v>0.50932805845931051</c:v>
                </c:pt>
                <c:pt idx="128">
                  <c:v>0.51112864064449071</c:v>
                </c:pt>
                <c:pt idx="129">
                  <c:v>0.51293278505143247</c:v>
                </c:pt>
                <c:pt idx="130">
                  <c:v>0.51474043746574139</c:v>
                </c:pt>
                <c:pt idx="131">
                  <c:v>0.51655154483235399</c:v>
                </c:pt>
                <c:pt idx="132">
                  <c:v>0.51836605522314738</c:v>
                </c:pt>
                <c:pt idx="133">
                  <c:v>0.52018391780566986</c:v>
                </c:pt>
                <c:pt idx="134">
                  <c:v>0.52200508281294455</c:v>
                </c:pt>
                <c:pt idx="135">
                  <c:v>0.52382950151430352</c:v>
                </c:pt>
                <c:pt idx="136">
                  <c:v>0.52565712618721006</c:v>
                </c:pt>
                <c:pt idx="137">
                  <c:v>0.52748791009002838</c:v>
                </c:pt>
                <c:pt idx="138">
                  <c:v>0.52932180743570656</c:v>
                </c:pt>
                <c:pt idx="139">
                  <c:v>0.53115877336633111</c:v>
                </c:pt>
                <c:pt idx="140">
                  <c:v>0.53299876392852297</c:v>
                </c:pt>
                <c:pt idx="141">
                  <c:v>0.53484173604963947</c:v>
                </c:pt>
                <c:pt idx="142">
                  <c:v>0.53668764751475362</c:v>
                </c:pt>
                <c:pt idx="143">
                  <c:v>0.53853645694437657</c:v>
                </c:pt>
                <c:pt idx="144">
                  <c:v>0.54038812377289769</c:v>
                </c:pt>
                <c:pt idx="145">
                  <c:v>0.54224260822771542</c:v>
                </c:pt>
                <c:pt idx="146">
                  <c:v>0.54409987130902793</c:v>
                </c:pt>
                <c:pt idx="147">
                  <c:v>0.54595987477026553</c:v>
                </c:pt>
                <c:pt idx="148">
                  <c:v>0.54782258109913406</c:v>
                </c:pt>
                <c:pt idx="149">
                  <c:v>0.5496879534992507</c:v>
                </c:pt>
                <c:pt idx="150">
                  <c:v>0.5515559558723494</c:v>
                </c:pt>
                <c:pt idx="151">
                  <c:v>0.55342655280103292</c:v>
                </c:pt>
                <c:pt idx="152">
                  <c:v>0.55529970953205465</c:v>
                </c:pt>
                <c:pt idx="153">
                  <c:v>0.55717539196010724</c:v>
                </c:pt>
                <c:pt idx="154">
                  <c:v>0.55905356661210315</c:v>
                </c:pt>
                <c:pt idx="155">
                  <c:v>0.56093420063192723</c:v>
                </c:pt>
                <c:pt idx="156">
                  <c:v>0.56281726176564495</c:v>
                </c:pt>
                <c:pt idx="157">
                  <c:v>0.56470271834714925</c:v>
                </c:pt>
                <c:pt idx="158">
                  <c:v>0.56659053928423353</c:v>
                </c:pt>
                <c:pt idx="159">
                  <c:v>0.56848069404507051</c:v>
                </c:pt>
                <c:pt idx="160">
                  <c:v>0.57037315264508859</c:v>
                </c:pt>
                <c:pt idx="161">
                  <c:v>0.57226788563422715</c:v>
                </c:pt>
                <c:pt idx="162">
                  <c:v>0.57416486408456024</c:v>
                </c:pt>
                <c:pt idx="163">
                  <c:v>0.57606405957827544</c:v>
                </c:pt>
                <c:pt idx="164">
                  <c:v>0.57796544419599538</c:v>
                </c:pt>
                <c:pt idx="165">
                  <c:v>0.57986899050543017</c:v>
                </c:pt>
                <c:pt idx="166">
                  <c:v>0.58177467155035056</c:v>
                </c:pt>
                <c:pt idx="167">
                  <c:v>0.58368246083986952</c:v>
                </c:pt>
                <c:pt idx="168">
                  <c:v>0.58559233233802332</c:v>
                </c:pt>
                <c:pt idx="169">
                  <c:v>0.5875042604536409</c:v>
                </c:pt>
                <c:pt idx="170">
                  <c:v>0.58941822003049382</c:v>
                </c:pt>
                <c:pt idx="171">
                  <c:v>0.59133418633771406</c:v>
                </c:pt>
                <c:pt idx="172">
                  <c:v>0.59325213506047547</c:v>
                </c:pt>
                <c:pt idx="173">
                  <c:v>0.59517204229092724</c:v>
                </c:pt>
                <c:pt idx="174">
                  <c:v>0.5970938845193714</c:v>
                </c:pt>
                <c:pt idx="175">
                  <c:v>0.59901763862567736</c:v>
                </c:pt>
                <c:pt idx="176">
                  <c:v>0.60094328187092594</c:v>
                </c:pt>
                <c:pt idx="177">
                  <c:v>0.6028707918892745</c:v>
                </c:pt>
                <c:pt idx="178">
                  <c:v>0.60480014668003845</c:v>
                </c:pt>
                <c:pt idx="179">
                  <c:v>0.60673132459997747</c:v>
                </c:pt>
                <c:pt idx="180">
                  <c:v>0.60866430435578811</c:v>
                </c:pt>
                <c:pt idx="181">
                  <c:v>0.61059906499678673</c:v>
                </c:pt>
                <c:pt idx="182">
                  <c:v>0.61253558590778445</c:v>
                </c:pt>
                <c:pt idx="183">
                  <c:v>0.61447384680214445</c:v>
                </c:pt>
                <c:pt idx="184">
                  <c:v>0.61641382771501785</c:v>
                </c:pt>
                <c:pt idx="185">
                  <c:v>0.61835550899674918</c:v>
                </c:pt>
                <c:pt idx="186">
                  <c:v>0.62029887130645356</c:v>
                </c:pt>
                <c:pt idx="187">
                  <c:v>0.62224389560575066</c:v>
                </c:pt>
                <c:pt idx="188">
                  <c:v>0.62419056315265864</c:v>
                </c:pt>
                <c:pt idx="189">
                  <c:v>0.62613885549564052</c:v>
                </c:pt>
                <c:pt idx="190">
                  <c:v>0.62808875446779677</c:v>
                </c:pt>
                <c:pt idx="191">
                  <c:v>0.63004024218120258</c:v>
                </c:pt>
                <c:pt idx="192">
                  <c:v>0.63199330102138462</c:v>
                </c:pt>
                <c:pt idx="193">
                  <c:v>0.63394791364193059</c:v>
                </c:pt>
                <c:pt idx="194">
                  <c:v>0.63590406295923363</c:v>
                </c:pt>
                <c:pt idx="195">
                  <c:v>0.63786173214736053</c:v>
                </c:pt>
                <c:pt idx="196">
                  <c:v>0.63982090463304575</c:v>
                </c:pt>
                <c:pt idx="197">
                  <c:v>0.64178156409080456</c:v>
                </c:pt>
                <c:pt idx="198">
                  <c:v>0.64374369443816359</c:v>
                </c:pt>
                <c:pt idx="199">
                  <c:v>0.6457072798310034</c:v>
                </c:pt>
                <c:pt idx="200">
                  <c:v>0.6476723046590136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EF-4936-9B76-59ED7816AF7E}"/>
            </c:ext>
          </c:extLst>
        </c:ser>
        <c:ser>
          <c:idx val="3"/>
          <c:order val="1"/>
          <c:tx>
            <c:v>Low-side MOSFET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Calculations'!$AI$9:$AI$209</c:f>
              <c:numCache>
                <c:formatCode>0.000</c:formatCode>
                <c:ptCount val="2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0.10907080576440685</c:v>
                </c:pt>
                <c:pt idx="14">
                  <c:v>0.10873848562009515</c:v>
                </c:pt>
                <c:pt idx="15">
                  <c:v>0.10841822665327466</c:v>
                </c:pt>
                <c:pt idx="16">
                  <c:v>0.1081095784283157</c:v>
                </c:pt>
                <c:pt idx="17">
                  <c:v>0.10781212678537433</c:v>
                </c:pt>
                <c:pt idx="18">
                  <c:v>0.10752549148834306</c:v>
                </c:pt>
                <c:pt idx="19">
                  <c:v>0.10724932406525374</c:v>
                </c:pt>
                <c:pt idx="20">
                  <c:v>0.10698330582335122</c:v>
                </c:pt>
                <c:pt idx="21">
                  <c:v>0.10672714602288569</c:v>
                </c:pt>
                <c:pt idx="22">
                  <c:v>0.10648058019529601</c:v>
                </c:pt>
                <c:pt idx="23">
                  <c:v>0.10790967129104828</c:v>
                </c:pt>
                <c:pt idx="24">
                  <c:v>0.10981565204406793</c:v>
                </c:pt>
                <c:pt idx="25">
                  <c:v>0.11168493848514749</c:v>
                </c:pt>
                <c:pt idx="26">
                  <c:v>0.11351956629555039</c:v>
                </c:pt>
                <c:pt idx="27">
                  <c:v>0.11532140959846954</c:v>
                </c:pt>
                <c:pt idx="28">
                  <c:v>0.1170921952633865</c:v>
                </c:pt>
                <c:pt idx="29">
                  <c:v>0.11883351585026958</c:v>
                </c:pt>
                <c:pt idx="30">
                  <c:v>0.12054684133167035</c:v>
                </c:pt>
                <c:pt idx="31">
                  <c:v>0.12223352971587384</c:v>
                </c:pt>
                <c:pt idx="32">
                  <c:v>0.12389483668105924</c:v>
                </c:pt>
                <c:pt idx="33">
                  <c:v>0.12553192431872454</c:v>
                </c:pt>
                <c:pt idx="34">
                  <c:v>0.12714586907424641</c:v>
                </c:pt>
                <c:pt idx="35">
                  <c:v>0.12873766896322439</c:v>
                </c:pt>
                <c:pt idx="36">
                  <c:v>0.13030825013406386</c:v>
                </c:pt>
                <c:pt idx="37">
                  <c:v>0.13185847283996066</c:v>
                </c:pt>
                <c:pt idx="38">
                  <c:v>0.13338913687695952</c:v>
                </c:pt>
                <c:pt idx="39">
                  <c:v>0.13490098653897506</c:v>
                </c:pt>
                <c:pt idx="40">
                  <c:v>0.13639471513550458</c:v>
                </c:pt>
                <c:pt idx="41">
                  <c:v>0.13787096911315985</c:v>
                </c:pt>
                <c:pt idx="42">
                  <c:v>0.22206546105582978</c:v>
                </c:pt>
                <c:pt idx="43">
                  <c:v>0.22336567470605825</c:v>
                </c:pt>
                <c:pt idx="44">
                  <c:v>0.22464578941372559</c:v>
                </c:pt>
                <c:pt idx="45">
                  <c:v>0.22590636057514732</c:v>
                </c:pt>
                <c:pt idx="46">
                  <c:v>0.22714791990435285</c:v>
                </c:pt>
                <c:pt idx="47">
                  <c:v>0.22837097678550483</c:v>
                </c:pt>
                <c:pt idx="48">
                  <c:v>0.22957601953182089</c:v>
                </c:pt>
                <c:pt idx="49">
                  <c:v>0.23076351655838426</c:v>
                </c:pt>
                <c:pt idx="50">
                  <c:v>0.23193391747558648</c:v>
                </c:pt>
                <c:pt idx="51">
                  <c:v>0.23308765410935661</c:v>
                </c:pt>
                <c:pt idx="52">
                  <c:v>0.23422514145380513</c:v>
                </c:pt>
                <c:pt idx="53">
                  <c:v>0.2353467785614265</c:v>
                </c:pt>
                <c:pt idx="54">
                  <c:v>0.23645294937557201</c:v>
                </c:pt>
                <c:pt idx="55">
                  <c:v>0.23754402350950785</c:v>
                </c:pt>
                <c:pt idx="56">
                  <c:v>0.23862035697601378</c:v>
                </c:pt>
                <c:pt idx="57">
                  <c:v>0.23968229287115209</c:v>
                </c:pt>
                <c:pt idx="58">
                  <c:v>0.24073016201553946</c:v>
                </c:pt>
                <c:pt idx="59">
                  <c:v>0.24176428355618323</c:v>
                </c:pt>
                <c:pt idx="60">
                  <c:v>0.24278496553169709</c:v>
                </c:pt>
                <c:pt idx="61">
                  <c:v>0.24379250540348751</c:v>
                </c:pt>
                <c:pt idx="62">
                  <c:v>0.24478719055529619</c:v>
                </c:pt>
                <c:pt idx="63">
                  <c:v>0.24576929876329559</c:v>
                </c:pt>
                <c:pt idx="64">
                  <c:v>0.24673909863876617</c:v>
                </c:pt>
                <c:pt idx="65">
                  <c:v>0.24769685004522382</c:v>
                </c:pt>
                <c:pt idx="66">
                  <c:v>0.24864280449172585</c:v>
                </c:pt>
                <c:pt idx="67">
                  <c:v>0.24957720550394999</c:v>
                </c:pt>
                <c:pt idx="68">
                  <c:v>0.2505002889745227</c:v>
                </c:pt>
                <c:pt idx="69">
                  <c:v>0.25141228349396144</c:v>
                </c:pt>
                <c:pt idx="70">
                  <c:v>0.25231341066349411</c:v>
                </c:pt>
                <c:pt idx="71">
                  <c:v>0.25320388539092753</c:v>
                </c:pt>
                <c:pt idx="72">
                  <c:v>0.25408391617064902</c:v>
                </c:pt>
                <c:pt idx="73">
                  <c:v>0.25495370534876843</c:v>
                </c:pt>
                <c:pt idx="74">
                  <c:v>0.25581344937433492</c:v>
                </c:pt>
                <c:pt idx="75">
                  <c:v>0.25666333903749572</c:v>
                </c:pt>
                <c:pt idx="76">
                  <c:v>0.25750355969540434</c:v>
                </c:pt>
                <c:pt idx="77">
                  <c:v>0.25833429148662629</c:v>
                </c:pt>
                <c:pt idx="78">
                  <c:v>0.25915570953474215</c:v>
                </c:pt>
                <c:pt idx="79">
                  <c:v>0.25996798414179545</c:v>
                </c:pt>
                <c:pt idx="80">
                  <c:v>0.26077128097219193</c:v>
                </c:pt>
                <c:pt idx="81">
                  <c:v>0.2615657612276126</c:v>
                </c:pt>
                <c:pt idx="82">
                  <c:v>0.26235158181346802</c:v>
                </c:pt>
                <c:pt idx="83">
                  <c:v>0.26312889549738339</c:v>
                </c:pt>
                <c:pt idx="84">
                  <c:v>0.26389785106017272</c:v>
                </c:pt>
                <c:pt idx="85">
                  <c:v>0.26465859343973069</c:v>
                </c:pt>
                <c:pt idx="86">
                  <c:v>0.26541126386824138</c:v>
                </c:pt>
                <c:pt idx="87">
                  <c:v>0.26615600000307887</c:v>
                </c:pt>
                <c:pt idx="88">
                  <c:v>0.26689293605174819</c:v>
                </c:pt>
                <c:pt idx="89">
                  <c:v>0.26762220289119637</c:v>
                </c:pt>
                <c:pt idx="90">
                  <c:v>0.26834392818179958</c:v>
                </c:pt>
                <c:pt idx="91">
                  <c:v>0.26905823647631283</c:v>
                </c:pt>
                <c:pt idx="92">
                  <c:v>0.26976524932405371</c:v>
                </c:pt>
                <c:pt idx="93">
                  <c:v>0.27046508537057379</c:v>
                </c:pt>
                <c:pt idx="94">
                  <c:v>0.27115786045305124</c:v>
                </c:pt>
                <c:pt idx="95">
                  <c:v>0.27184368769163358</c:v>
                </c:pt>
                <c:pt idx="96">
                  <c:v>0.27252267757693499</c:v>
                </c:pt>
                <c:pt idx="97">
                  <c:v>0.27319493805388806</c:v>
                </c:pt>
                <c:pt idx="98">
                  <c:v>0.27386057460213431</c:v>
                </c:pt>
                <c:pt idx="99">
                  <c:v>0.27451969031312851</c:v>
                </c:pt>
                <c:pt idx="100">
                  <c:v>0.27517238596411953</c:v>
                </c:pt>
                <c:pt idx="101">
                  <c:v>0.27581876008916445</c:v>
                </c:pt>
                <c:pt idx="102">
                  <c:v>0.27645890904731946</c:v>
                </c:pt>
                <c:pt idx="103">
                  <c:v>0.27709292708814598</c:v>
                </c:pt>
                <c:pt idx="104">
                  <c:v>0.27772090641466229</c:v>
                </c:pt>
                <c:pt idx="105">
                  <c:v>0.27834293724386117</c:v>
                </c:pt>
                <c:pt idx="106">
                  <c:v>0.27895910786490996</c:v>
                </c:pt>
                <c:pt idx="107">
                  <c:v>0.27956950469514236</c:v>
                </c:pt>
                <c:pt idx="108">
                  <c:v>0.28017421233394452</c:v>
                </c:pt>
                <c:pt idx="109">
                  <c:v>0.28077331361463204</c:v>
                </c:pt>
                <c:pt idx="110">
                  <c:v>0.28136688965441142</c:v>
                </c:pt>
                <c:pt idx="111">
                  <c:v>0.28195501990251276</c:v>
                </c:pt>
                <c:pt idx="112">
                  <c:v>0.28253778218657466</c:v>
                </c:pt>
                <c:pt idx="113">
                  <c:v>0.28311525275736144</c:v>
                </c:pt>
                <c:pt idx="114">
                  <c:v>0.28368750633188572</c:v>
                </c:pt>
                <c:pt idx="115">
                  <c:v>0.28425461613500619</c:v>
                </c:pt>
                <c:pt idx="116">
                  <c:v>0.28481665393956757</c:v>
                </c:pt>
                <c:pt idx="117">
                  <c:v>0.28537369010514613</c:v>
                </c:pt>
                <c:pt idx="118">
                  <c:v>0.28592579361545917</c:v>
                </c:pt>
                <c:pt idx="119">
                  <c:v>0.28647303211449726</c:v>
                </c:pt>
                <c:pt idx="120">
                  <c:v>0.28701547194143179</c:v>
                </c:pt>
                <c:pt idx="121">
                  <c:v>0.28755317816434917</c:v>
                </c:pt>
                <c:pt idx="122">
                  <c:v>0.28808621461286144</c:v>
                </c:pt>
                <c:pt idx="123">
                  <c:v>0.28861464390963815</c:v>
                </c:pt>
                <c:pt idx="124">
                  <c:v>0.28913852750090485</c:v>
                </c:pt>
                <c:pt idx="125">
                  <c:v>0.28965792568594945</c:v>
                </c:pt>
                <c:pt idx="126">
                  <c:v>0.29017289764567605</c:v>
                </c:pt>
                <c:pt idx="127">
                  <c:v>0.29068350147024519</c:v>
                </c:pt>
                <c:pt idx="128">
                  <c:v>0.29118979418583629</c:v>
                </c:pt>
                <c:pt idx="129">
                  <c:v>0.29169183178056618</c:v>
                </c:pt>
                <c:pt idx="130">
                  <c:v>0.29218966922959722</c:v>
                </c:pt>
                <c:pt idx="131">
                  <c:v>0.29268336051946664</c:v>
                </c:pt>
                <c:pt idx="132">
                  <c:v>0.2931729586716661</c:v>
                </c:pt>
                <c:pt idx="133">
                  <c:v>0.29365851576550134</c:v>
                </c:pt>
                <c:pt idx="134">
                  <c:v>0.29414008296025734</c:v>
                </c:pt>
                <c:pt idx="135">
                  <c:v>0.29461771051669633</c:v>
                </c:pt>
                <c:pt idx="136">
                  <c:v>0.29509144781791441</c:v>
                </c:pt>
                <c:pt idx="137">
                  <c:v>0.29556134338957729</c:v>
                </c:pt>
                <c:pt idx="138">
                  <c:v>0.29602744491956184</c:v>
                </c:pt>
                <c:pt idx="139">
                  <c:v>0.29648979927702174</c:v>
                </c:pt>
                <c:pt idx="140">
                  <c:v>0.2969484525309008</c:v>
                </c:pt>
                <c:pt idx="141">
                  <c:v>0.29740344996791129</c:v>
                </c:pt>
                <c:pt idx="142">
                  <c:v>0.29785483610999836</c:v>
                </c:pt>
                <c:pt idx="143">
                  <c:v>0.29830265473130796</c:v>
                </c:pt>
                <c:pt idx="144">
                  <c:v>0.29874694887467451</c:v>
                </c:pt>
                <c:pt idx="145">
                  <c:v>0.29918776086764792</c:v>
                </c:pt>
                <c:pt idx="146">
                  <c:v>0.29962513233807292</c:v>
                </c:pt>
                <c:pt idx="147">
                  <c:v>0.30005910422923793</c:v>
                </c:pt>
                <c:pt idx="148">
                  <c:v>0.30048971681460712</c:v>
                </c:pt>
                <c:pt idx="149">
                  <c:v>0.30091700971215107</c:v>
                </c:pt>
                <c:pt idx="150">
                  <c:v>0.30134102189828788</c:v>
                </c:pt>
                <c:pt idx="151">
                  <c:v>0.3017617917214494</c:v>
                </c:pt>
                <c:pt idx="152">
                  <c:v>0.30217935691528375</c:v>
                </c:pt>
                <c:pt idx="153">
                  <c:v>0.30259375461150689</c:v>
                </c:pt>
                <c:pt idx="154">
                  <c:v>0.30300502135241403</c:v>
                </c:pt>
                <c:pt idx="155">
                  <c:v>0.30341319310306342</c:v>
                </c:pt>
                <c:pt idx="156">
                  <c:v>0.30381830526314096</c:v>
                </c:pt>
                <c:pt idx="157">
                  <c:v>0.30422039267851775</c:v>
                </c:pt>
                <c:pt idx="158">
                  <c:v>0.3046194896525094</c:v>
                </c:pt>
                <c:pt idx="159">
                  <c:v>0.305015629956847</c:v>
                </c:pt>
                <c:pt idx="160">
                  <c:v>0.30540884684236808</c:v>
                </c:pt>
                <c:pt idx="161">
                  <c:v>0.30579917304943782</c:v>
                </c:pt>
                <c:pt idx="162">
                  <c:v>0.3061866408181072</c:v>
                </c:pt>
                <c:pt idx="163">
                  <c:v>0.30657128189801691</c:v>
                </c:pt>
                <c:pt idx="164">
                  <c:v>0.30695312755805598</c:v>
                </c:pt>
                <c:pt idx="165">
                  <c:v>0.30733220859577987</c:v>
                </c:pt>
                <c:pt idx="166">
                  <c:v>0.30770855534659858</c:v>
                </c:pt>
                <c:pt idx="167">
                  <c:v>0.30808219769273903</c:v>
                </c:pt>
                <c:pt idx="168">
                  <c:v>0.30845316507199011</c:v>
                </c:pt>
                <c:pt idx="169">
                  <c:v>0.30882148648623597</c:v>
                </c:pt>
                <c:pt idx="170">
                  <c:v>0.30918719050978416</c:v>
                </c:pt>
                <c:pt idx="171">
                  <c:v>0.30955030529749533</c:v>
                </c:pt>
                <c:pt idx="172">
                  <c:v>0.3099108585927185</c:v>
                </c:pt>
                <c:pt idx="173">
                  <c:v>0.31026887773503958</c:v>
                </c:pt>
                <c:pt idx="174">
                  <c:v>0.31062438966784722</c:v>
                </c:pt>
                <c:pt idx="175">
                  <c:v>0.31097742094572184</c:v>
                </c:pt>
                <c:pt idx="176">
                  <c:v>0.31132799774165215</c:v>
                </c:pt>
                <c:pt idx="177">
                  <c:v>0.31167614585408565</c:v>
                </c:pt>
                <c:pt idx="178">
                  <c:v>0.31202189071381553</c:v>
                </c:pt>
                <c:pt idx="179">
                  <c:v>0.3123652573907108</c:v>
                </c:pt>
                <c:pt idx="180">
                  <c:v>0.31270627060029238</c:v>
                </c:pt>
                <c:pt idx="181">
                  <c:v>0.31304495471016019</c:v>
                </c:pt>
                <c:pt idx="182">
                  <c:v>0.3133813337462758</c:v>
                </c:pt>
                <c:pt idx="183">
                  <c:v>0.31371543139910285</c:v>
                </c:pt>
                <c:pt idx="184">
                  <c:v>0.3140472710296115</c:v>
                </c:pt>
                <c:pt idx="185">
                  <c:v>0.31437687567514871</c:v>
                </c:pt>
                <c:pt idx="186">
                  <c:v>0.31470426805517898</c:v>
                </c:pt>
                <c:pt idx="187">
                  <c:v>0.31502947057689845</c:v>
                </c:pt>
                <c:pt idx="188">
                  <c:v>0.31535250534072645</c:v>
                </c:pt>
                <c:pt idx="189">
                  <c:v>0.31567339414567674</c:v>
                </c:pt>
                <c:pt idx="190">
                  <c:v>0.31599215849461287</c:v>
                </c:pt>
                <c:pt idx="191">
                  <c:v>0.3163088195993895</c:v>
                </c:pt>
                <c:pt idx="192">
                  <c:v>0.31662339838588388</c:v>
                </c:pt>
                <c:pt idx="193">
                  <c:v>0.31693591549891831</c:v>
                </c:pt>
                <c:pt idx="194">
                  <c:v>0.31724639130707993</c:v>
                </c:pt>
                <c:pt idx="195">
                  <c:v>0.31755484590743638</c:v>
                </c:pt>
                <c:pt idx="196">
                  <c:v>0.31786129913015287</c:v>
                </c:pt>
                <c:pt idx="197">
                  <c:v>0.31816577054301221</c:v>
                </c:pt>
                <c:pt idx="198">
                  <c:v>0.31846827945584044</c:v>
                </c:pt>
                <c:pt idx="199">
                  <c:v>0.3187688449248397</c:v>
                </c:pt>
                <c:pt idx="200">
                  <c:v>0.31906748575683208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EF-4936-9B76-59ED7816AF7E}"/>
            </c:ext>
          </c:extLst>
        </c:ser>
        <c:ser>
          <c:idx val="0"/>
          <c:order val="2"/>
          <c:tx>
            <c:v>Inductor Loss</c:v>
          </c:tx>
          <c:spPr>
            <a:ln w="31750">
              <a:solidFill>
                <a:srgbClr val="FF6600"/>
              </a:solidFill>
              <a:prstDash val="lg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Calculations'!$T$9:$T$209</c:f>
              <c:numCache>
                <c:formatCode>0.000</c:formatCode>
                <c:ptCount val="201"/>
                <c:pt idx="0">
                  <c:v>0.52266939328509698</c:v>
                </c:pt>
                <c:pt idx="1">
                  <c:v>0.50535291510877633</c:v>
                </c:pt>
                <c:pt idx="2">
                  <c:v>0.4886842842851874</c:v>
                </c:pt>
                <c:pt idx="3">
                  <c:v>0.47263712699389088</c:v>
                </c:pt>
                <c:pt idx="4">
                  <c:v>0.45718839980281972</c:v>
                </c:pt>
                <c:pt idx="5">
                  <c:v>0.44231807313909449</c:v>
                </c:pt>
                <c:pt idx="6">
                  <c:v>0.42800883771867282</c:v>
                </c:pt>
                <c:pt idx="7">
                  <c:v>0.41424582976611574</c:v>
                </c:pt>
                <c:pt idx="8">
                  <c:v>0.40101637107026444</c:v>
                </c:pt>
                <c:pt idx="9">
                  <c:v>0.38830971999758734</c:v>
                </c:pt>
                <c:pt idx="10">
                  <c:v>0.37611682949903075</c:v>
                </c:pt>
                <c:pt idx="11">
                  <c:v>0.36443010785511948</c:v>
                </c:pt>
                <c:pt idx="12">
                  <c:v>0.35324317733230703</c:v>
                </c:pt>
                <c:pt idx="13">
                  <c:v>0.39142296142217275</c:v>
                </c:pt>
                <c:pt idx="14">
                  <c:v>0.37251656377119446</c:v>
                </c:pt>
                <c:pt idx="15">
                  <c:v>0.35443191409947938</c:v>
                </c:pt>
                <c:pt idx="16">
                  <c:v>0.33722004248016868</c:v>
                </c:pt>
                <c:pt idx="17">
                  <c:v>0.32093109287394578</c:v>
                </c:pt>
                <c:pt idx="18">
                  <c:v>0.30561359202819788</c:v>
                </c:pt>
                <c:pt idx="19">
                  <c:v>0.291313582247754</c:v>
                </c:pt>
                <c:pt idx="20">
                  <c:v>0.2780735655456511</c:v>
                </c:pt>
                <c:pt idx="21">
                  <c:v>0.26593117787775045</c:v>
                </c:pt>
                <c:pt idx="22">
                  <c:v>0.25491746047794112</c:v>
                </c:pt>
                <c:pt idx="23">
                  <c:v>0.2413217515765908</c:v>
                </c:pt>
                <c:pt idx="24">
                  <c:v>0.24163338723442168</c:v>
                </c:pt>
                <c:pt idx="25">
                  <c:v>0.24266501768601004</c:v>
                </c:pt>
                <c:pt idx="26">
                  <c:v>0.24452163701938137</c:v>
                </c:pt>
                <c:pt idx="27">
                  <c:v>0.247246507144431</c:v>
                </c:pt>
                <c:pt idx="28">
                  <c:v>0.25085539244612481</c:v>
                </c:pt>
                <c:pt idx="29">
                  <c:v>0.25534821987706313</c:v>
                </c:pt>
                <c:pt idx="30">
                  <c:v>0.26071486022897389</c:v>
                </c:pt>
                <c:pt idx="31">
                  <c:v>0.26693849253869895</c:v>
                </c:pt>
                <c:pt idx="32">
                  <c:v>0.27399775088275546</c:v>
                </c:pt>
                <c:pt idx="33">
                  <c:v>0.28186817759899851</c:v>
                </c:pt>
                <c:pt idx="34">
                  <c:v>0.29052324729110063</c:v>
                </c:pt>
                <c:pt idx="35">
                  <c:v>0.29993510892193759</c:v>
                </c:pt>
                <c:pt idx="36">
                  <c:v>0.31007513432999151</c:v>
                </c:pt>
                <c:pt idx="37">
                  <c:v>0.32091432921200752</c:v>
                </c:pt>
                <c:pt idx="38">
                  <c:v>0.33242364374810457</c:v>
                </c:pt>
                <c:pt idx="39">
                  <c:v>0.34457420843225711</c:v>
                </c:pt>
                <c:pt idx="40">
                  <c:v>0.35733751321057494</c:v>
                </c:pt>
                <c:pt idx="41">
                  <c:v>0.37068554306330664</c:v>
                </c:pt>
                <c:pt idx="42">
                  <c:v>0.24887054214555632</c:v>
                </c:pt>
                <c:pt idx="43">
                  <c:v>0.25229976892376543</c:v>
                </c:pt>
                <c:pt idx="44">
                  <c:v>0.25584896182478412</c:v>
                </c:pt>
                <c:pt idx="45">
                  <c:v>0.25951214201007566</c:v>
                </c:pt>
                <c:pt idx="46">
                  <c:v>0.26328351658000271</c:v>
                </c:pt>
                <c:pt idx="47">
                  <c:v>0.26715748194367039</c:v>
                </c:pt>
                <c:pt idx="48">
                  <c:v>0.2711286252231464</c:v>
                </c:pt>
                <c:pt idx="49">
                  <c:v>0.27519172409321829</c:v>
                </c:pt>
                <c:pt idx="50">
                  <c:v>0.27934174537981421</c:v>
                </c:pt>
                <c:pt idx="51">
                  <c:v>0.28357384267855396</c:v>
                </c:pt>
                <c:pt idx="52">
                  <c:v>0.28788335320580716</c:v>
                </c:pt>
                <c:pt idx="53">
                  <c:v>0.29226579405527714</c:v>
                </c:pt>
                <c:pt idx="54">
                  <c:v>0.29671685800136693</c:v>
                </c:pt>
                <c:pt idx="55">
                  <c:v>0.30123240896483361</c:v>
                </c:pt>
                <c:pt idx="56">
                  <c:v>0.30580847723523491</c:v>
                </c:pt>
                <c:pt idx="57">
                  <c:v>0.31044125452749799</c:v>
                </c:pt>
                <c:pt idx="58">
                  <c:v>0.31512708893581376</c:v>
                </c:pt>
                <c:pt idx="59">
                  <c:v>0.31986247983643268</c:v>
                </c:pt>
                <c:pt idx="60">
                  <c:v>0.32464407278132024</c:v>
                </c:pt>
                <c:pt idx="61">
                  <c:v>0.32946865441667317</c:v>
                </c:pt>
                <c:pt idx="62">
                  <c:v>0.33433314745368475</c:v>
                </c:pt>
                <c:pt idx="63">
                  <c:v>0.33923460571346131</c:v>
                </c:pt>
                <c:pt idx="64">
                  <c:v>0.34417020926342595</c:v>
                </c:pt>
                <c:pt idx="65">
                  <c:v>0.34913725965875159</c:v>
                </c:pt>
                <c:pt idx="66">
                  <c:v>0.35413317529919464</c:v>
                </c:pt>
                <c:pt idx="67">
                  <c:v>0.35915548690908233</c:v>
                </c:pt>
                <c:pt idx="68">
                  <c:v>0.36420183314601118</c:v>
                </c:pt>
                <c:pt idx="69">
                  <c:v>0.36926995634201498</c:v>
                </c:pt>
                <c:pt idx="70">
                  <c:v>0.37435769837944255</c:v>
                </c:pt>
                <c:pt idx="71">
                  <c:v>0.37946299670256589</c:v>
                </c:pt>
                <c:pt idx="72">
                  <c:v>0.38458388046490666</c:v>
                </c:pt>
                <c:pt idx="73">
                  <c:v>0.38971846681144212</c:v>
                </c:pt>
                <c:pt idx="74">
                  <c:v>0.39486495729417964</c:v>
                </c:pt>
                <c:pt idx="75">
                  <c:v>0.40002163441903016</c:v>
                </c:pt>
                <c:pt idx="76">
                  <c:v>0.40518685832149759</c:v>
                </c:pt>
                <c:pt idx="77">
                  <c:v>0.41035906356833196</c:v>
                </c:pt>
                <c:pt idx="78">
                  <c:v>0.41553675608205903</c:v>
                </c:pt>
                <c:pt idx="79">
                  <c:v>0.42071851018508344</c:v>
                </c:pt>
                <c:pt idx="80">
                  <c:v>0.42590296575992359</c:v>
                </c:pt>
                <c:pt idx="81">
                  <c:v>0.4310888255220453</c:v>
                </c:pt>
                <c:pt idx="82">
                  <c:v>0.43627485240169817</c:v>
                </c:pt>
                <c:pt idx="83">
                  <c:v>0.44145986703113704</c:v>
                </c:pt>
                <c:pt idx="84">
                  <c:v>0.4466427453336056</c:v>
                </c:pt>
                <c:pt idx="85">
                  <c:v>0.45182241621048602</c:v>
                </c:pt>
                <c:pt idx="86">
                  <c:v>0.45699785932306347</c:v>
                </c:pt>
                <c:pt idx="87">
                  <c:v>0.46216810296539568</c:v>
                </c:pt>
                <c:pt idx="88">
                  <c:v>0.46733222202485653</c:v>
                </c:pt>
                <c:pt idx="89">
                  <c:v>0.47248933602699406</c:v>
                </c:pt>
                <c:pt idx="90">
                  <c:v>0.47763860726142338</c:v>
                </c:pt>
                <c:pt idx="91">
                  <c:v>0.48277923898556507</c:v>
                </c:pt>
                <c:pt idx="92">
                  <c:v>0.48791047370313556</c:v>
                </c:pt>
                <c:pt idx="93">
                  <c:v>0.49303159151437803</c:v>
                </c:pt>
                <c:pt idx="94">
                  <c:v>0.49814190853513945</c:v>
                </c:pt>
                <c:pt idx="95">
                  <c:v>0.50324077538197043</c:v>
                </c:pt>
                <c:pt idx="96">
                  <c:v>0.50832757572054899</c:v>
                </c:pt>
                <c:pt idx="97">
                  <c:v>0.51340172487479874</c:v>
                </c:pt>
                <c:pt idx="98">
                  <c:v>0.51846266849419587</c:v>
                </c:pt>
                <c:pt idx="99">
                  <c:v>0.52350988127682163</c:v>
                </c:pt>
                <c:pt idx="100">
                  <c:v>0.52854286574584541</c:v>
                </c:pt>
                <c:pt idx="101">
                  <c:v>0.53356115107717916</c:v>
                </c:pt>
                <c:pt idx="102">
                  <c:v>0.53856429197615807</c:v>
                </c:pt>
                <c:pt idx="103">
                  <c:v>0.54355186760117036</c:v>
                </c:pt>
                <c:pt idx="104">
                  <c:v>0.54852348053226252</c:v>
                </c:pt>
                <c:pt idx="105">
                  <c:v>0.55347875578280026</c:v>
                </c:pt>
                <c:pt idx="106">
                  <c:v>0.5584173398523693</c:v>
                </c:pt>
                <c:pt idx="107">
                  <c:v>0.56333889981916141</c:v>
                </c:pt>
                <c:pt idx="108">
                  <c:v>0.56824312247016795</c:v>
                </c:pt>
                <c:pt idx="109">
                  <c:v>0.5731297134675758</c:v>
                </c:pt>
                <c:pt idx="110">
                  <c:v>0.57799839654981944</c:v>
                </c:pt>
                <c:pt idx="111">
                  <c:v>0.58284891276582662</c:v>
                </c:pt>
                <c:pt idx="112">
                  <c:v>0.58768101974103182</c:v>
                </c:pt>
                <c:pt idx="113">
                  <c:v>0.59249449097382056</c:v>
                </c:pt>
                <c:pt idx="114">
                  <c:v>0.59728911516110417</c:v>
                </c:pt>
                <c:pt idx="115">
                  <c:v>0.6020646955517821</c:v>
                </c:pt>
                <c:pt idx="116">
                  <c:v>0.60682104932692149</c:v>
                </c:pt>
                <c:pt idx="117">
                  <c:v>0.61155800700551077</c:v>
                </c:pt>
                <c:pt idx="118">
                  <c:v>0.61627541187470358</c:v>
                </c:pt>
                <c:pt idx="119">
                  <c:v>0.62097311944352096</c:v>
                </c:pt>
                <c:pt idx="120">
                  <c:v>0.6256509969190196</c:v>
                </c:pt>
                <c:pt idx="121">
                  <c:v>0.63030892270396544</c:v>
                </c:pt>
                <c:pt idx="122">
                  <c:v>0.63494678591512776</c:v>
                </c:pt>
                <c:pt idx="123">
                  <c:v>0.63956448592129633</c:v>
                </c:pt>
                <c:pt idx="124">
                  <c:v>0.6441619319002212</c:v>
                </c:pt>
                <c:pt idx="125">
                  <c:v>0.64873904241365588</c:v>
                </c:pt>
                <c:pt idx="126">
                  <c:v>0.65329574499975485</c:v>
                </c:pt>
                <c:pt idx="127">
                  <c:v>0.65783197578210084</c:v>
                </c:pt>
                <c:pt idx="128">
                  <c:v>0.66234767909466075</c:v>
                </c:pt>
                <c:pt idx="129">
                  <c:v>0.6668428071220055</c:v>
                </c:pt>
                <c:pt idx="130">
                  <c:v>0.67131731955416063</c:v>
                </c:pt>
                <c:pt idx="131">
                  <c:v>0.67577118325547447</c:v>
                </c:pt>
                <c:pt idx="132">
                  <c:v>0.6802043719469214</c:v>
                </c:pt>
                <c:pt idx="133">
                  <c:v>0.68461686590129434</c:v>
                </c:pt>
                <c:pt idx="134">
                  <c:v>0.68900865165072944</c:v>
                </c:pt>
                <c:pt idx="135">
                  <c:v>0.69337972170607476</c:v>
                </c:pt>
                <c:pt idx="136">
                  <c:v>0.69773007428760692</c:v>
                </c:pt>
                <c:pt idx="137">
                  <c:v>0.70205971306661996</c:v>
                </c:pt>
                <c:pt idx="138">
                  <c:v>0.70636864691745394</c:v>
                </c:pt>
                <c:pt idx="139">
                  <c:v>0.71065688967952134</c:v>
                </c:pt>
                <c:pt idx="140">
                  <c:v>0.71492445992893527</c:v>
                </c:pt>
                <c:pt idx="141">
                  <c:v>0.71917138075932763</c:v>
                </c:pt>
                <c:pt idx="142">
                  <c:v>0.72339767957149959</c:v>
                </c:pt>
                <c:pt idx="143">
                  <c:v>0.72760338787154399</c:v>
                </c:pt>
                <c:pt idx="144">
                  <c:v>0.73178854107707436</c:v>
                </c:pt>
                <c:pt idx="145">
                  <c:v>0.73595317833125828</c:v>
                </c:pt>
                <c:pt idx="146">
                  <c:v>0.74009734232431923</c:v>
                </c:pt>
                <c:pt idx="147">
                  <c:v>0.74422107912221702</c:v>
                </c:pt>
                <c:pt idx="148">
                  <c:v>0.74832443800220771</c:v>
                </c:pt>
                <c:pt idx="149">
                  <c:v>0.75240747129500607</c:v>
                </c:pt>
                <c:pt idx="150">
                  <c:v>0.75647023423329895</c:v>
                </c:pt>
                <c:pt idx="151">
                  <c:v>0.76051278480633178</c:v>
                </c:pt>
                <c:pt idx="152">
                  <c:v>0.76453518362034145</c:v>
                </c:pt>
                <c:pt idx="153">
                  <c:v>0.76853749376459912</c:v>
                </c:pt>
                <c:pt idx="154">
                  <c:v>0.77251978068282612</c:v>
                </c:pt>
                <c:pt idx="155">
                  <c:v>0.77648211204979101</c:v>
                </c:pt>
                <c:pt idx="156">
                  <c:v>0.7804245576528549</c:v>
                </c:pt>
                <c:pt idx="157">
                  <c:v>0.78434718927829206</c:v>
                </c:pt>
                <c:pt idx="158">
                  <c:v>0.78825008060218282</c:v>
                </c:pt>
                <c:pt idx="159">
                  <c:v>0.7921333070856944</c:v>
                </c:pt>
                <c:pt idx="160">
                  <c:v>0.79599694587458902</c:v>
                </c:pt>
                <c:pt idx="161">
                  <c:v>0.79984107570278618</c:v>
                </c:pt>
                <c:pt idx="162">
                  <c:v>0.80366577679980622</c:v>
                </c:pt>
                <c:pt idx="163">
                  <c:v>0.80747113080196942</c:v>
                </c:pt>
                <c:pt idx="164">
                  <c:v>0.81125722066717354</c:v>
                </c:pt>
                <c:pt idx="165">
                  <c:v>0.81502413059313317</c:v>
                </c:pt>
                <c:pt idx="166">
                  <c:v>0.8187719459389271</c:v>
                </c:pt>
                <c:pt idx="167">
                  <c:v>0.8225007531497367</c:v>
                </c:pt>
                <c:pt idx="168">
                  <c:v>0.82621063968464103</c:v>
                </c:pt>
                <c:pt idx="169">
                  <c:v>0.82990169394735891</c:v>
                </c:pt>
                <c:pt idx="170">
                  <c:v>0.83357400521981195</c:v>
                </c:pt>
                <c:pt idx="171">
                  <c:v>0.83722766359840517</c:v>
                </c:pt>
                <c:pt idx="172">
                  <c:v>0.84086275993292348</c:v>
                </c:pt>
                <c:pt idx="173">
                  <c:v>0.84447938576793113</c:v>
                </c:pt>
                <c:pt idx="174">
                  <c:v>0.8480776332865807</c:v>
                </c:pt>
                <c:pt idx="175">
                  <c:v>0.85165759525675444</c:v>
                </c:pt>
                <c:pt idx="176">
                  <c:v>0.85521936497941131</c:v>
                </c:pt>
                <c:pt idx="177">
                  <c:v>0.858763036239097</c:v>
                </c:pt>
                <c:pt idx="178">
                  <c:v>0.86228870325649953</c:v>
                </c:pt>
                <c:pt idx="179">
                  <c:v>0.8657964606429891</c:v>
                </c:pt>
                <c:pt idx="180">
                  <c:v>0.86928640335706198</c:v>
                </c:pt>
                <c:pt idx="181">
                  <c:v>0.87275862666261039</c:v>
                </c:pt>
                <c:pt idx="182">
                  <c:v>0.87621322608895302</c:v>
                </c:pt>
                <c:pt idx="183">
                  <c:v>0.87965029739255718</c:v>
                </c:pt>
                <c:pt idx="184">
                  <c:v>0.88306993652039012</c:v>
                </c:pt>
                <c:pt idx="185">
                  <c:v>0.88647223957482313</c:v>
                </c:pt>
                <c:pt idx="186">
                  <c:v>0.88985730278005359</c:v>
                </c:pt>
                <c:pt idx="187">
                  <c:v>0.89322522244996239</c:v>
                </c:pt>
                <c:pt idx="188">
                  <c:v>0.89657609495736224</c:v>
                </c:pt>
                <c:pt idx="189">
                  <c:v>0.89991001670459103</c:v>
                </c:pt>
                <c:pt idx="190">
                  <c:v>0.90322708409537678</c:v>
                </c:pt>
                <c:pt idx="191">
                  <c:v>0.90652739350795453</c:v>
                </c:pt>
                <c:pt idx="192">
                  <c:v>0.90981104126935963</c:v>
                </c:pt>
                <c:pt idx="193">
                  <c:v>0.91307812363086849</c:v>
                </c:pt>
                <c:pt idx="194">
                  <c:v>0.91632873674454152</c:v>
                </c:pt>
                <c:pt idx="195">
                  <c:v>0.91956297664081765</c:v>
                </c:pt>
                <c:pt idx="196">
                  <c:v>0.92278093920713211</c:v>
                </c:pt>
                <c:pt idx="197">
                  <c:v>0.92598272016750582</c:v>
                </c:pt>
                <c:pt idx="198">
                  <c:v>0.92916841506307757</c:v>
                </c:pt>
                <c:pt idx="199">
                  <c:v>0.9323381192335457</c:v>
                </c:pt>
                <c:pt idx="200">
                  <c:v>0.93549192779946788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EF-4936-9B76-59ED7816AF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147136"/>
        <c:axId val="159149056"/>
      </c:scatterChart>
      <c:valAx>
        <c:axId val="159147136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898089171975511"/>
              <c:y val="0.925404072474819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149056"/>
        <c:crosses val="autoZero"/>
        <c:crossBetween val="midCat"/>
      </c:valAx>
      <c:valAx>
        <c:axId val="1591490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Power Disipation (W)</a:t>
                </a:r>
              </a:p>
            </c:rich>
          </c:tx>
          <c:layout>
            <c:manualLayout>
              <c:xMode val="edge"/>
              <c:yMode val="edge"/>
              <c:x val="1.9108297737292643E-2"/>
              <c:y val="0.3461025738718144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147136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7115673503774995"/>
          <c:y val="1.0080645161290322E-2"/>
          <c:w val="0.20336554227017919"/>
          <c:h val="0.1290324697316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600"/>
              <a:t> Overall Efficiency</a:t>
            </a:r>
          </a:p>
        </c:rich>
      </c:tx>
      <c:layout>
        <c:manualLayout>
          <c:xMode val="edge"/>
          <c:yMode val="edge"/>
          <c:x val="0.41192468827576156"/>
          <c:y val="3.02419354838718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74102129638858"/>
          <c:y val="0.15927435034411094"/>
          <c:w val="0.85384629851107507"/>
          <c:h val="0.72983942815910108"/>
        </c:manualLayout>
      </c:layout>
      <c:scatterChart>
        <c:scatterStyle val="lineMarker"/>
        <c:varyColors val="0"/>
        <c:ser>
          <c:idx val="0"/>
          <c:order val="0"/>
          <c:tx>
            <c:v>Efficiency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Calculations'!$BD$9:$BD$209</c:f>
              <c:numCache>
                <c:formatCode>0.0%</c:formatCode>
                <c:ptCount val="201"/>
                <c:pt idx="0">
                  <c:v>0.94578878771037811</c:v>
                </c:pt>
                <c:pt idx="1">
                  <c:v>0.94709991140466065</c:v>
                </c:pt>
                <c:pt idx="2">
                  <c:v>0.94836084269955334</c:v>
                </c:pt>
                <c:pt idx="3">
                  <c:v>0.94957407130248561</c:v>
                </c:pt>
                <c:pt idx="4">
                  <c:v>0.95074188407071947</c:v>
                </c:pt>
                <c:pt idx="5">
                  <c:v>0.9518663822322555</c:v>
                </c:pt>
                <c:pt idx="6">
                  <c:v>0.95294949713237742</c:v>
                </c:pt>
                <c:pt idx="7">
                  <c:v>0.95399300469791581</c:v>
                </c:pt>
                <c:pt idx="8">
                  <c:v>0.95499853879386243</c:v>
                </c:pt>
                <c:pt idx="9">
                  <c:v>0.95596760363402855</c:v>
                </c:pt>
                <c:pt idx="10">
                  <c:v>0.95690158539916181</c:v>
                </c:pt>
                <c:pt idx="11">
                  <c:v>0.95780176321297594</c:v>
                </c:pt>
                <c:pt idx="12">
                  <c:v>0.95866931963018798</c:v>
                </c:pt>
                <c:pt idx="13">
                  <c:v>0.95988465636603215</c:v>
                </c:pt>
                <c:pt idx="14">
                  <c:v>0.96076827323356828</c:v>
                </c:pt>
                <c:pt idx="15">
                  <c:v>0.96161866671542851</c:v>
                </c:pt>
                <c:pt idx="16">
                  <c:v>0.96243533345919829</c:v>
                </c:pt>
                <c:pt idx="17">
                  <c:v>0.96321774095292267</c:v>
                </c:pt>
                <c:pt idx="18">
                  <c:v>0.96396534548755541</c:v>
                </c:pt>
                <c:pt idx="19">
                  <c:v>0.96467761264160523</c:v>
                </c:pt>
                <c:pt idx="20">
                  <c:v>0.96535404133396208</c:v>
                </c:pt>
                <c:pt idx="21">
                  <c:v>0.96599419305251255</c:v>
                </c:pt>
                <c:pt idx="22">
                  <c:v>0.96659772887691009</c:v>
                </c:pt>
                <c:pt idx="23">
                  <c:v>0.96685608192042127</c:v>
                </c:pt>
                <c:pt idx="24">
                  <c:v>0.96670346858721889</c:v>
                </c:pt>
                <c:pt idx="25">
                  <c:v>0.96653798091440257</c:v>
                </c:pt>
                <c:pt idx="26">
                  <c:v>0.96635752856785462</c:v>
                </c:pt>
                <c:pt idx="27">
                  <c:v>0.96616123498232409</c:v>
                </c:pt>
                <c:pt idx="28">
                  <c:v>0.96594876873040558</c:v>
                </c:pt>
                <c:pt idx="29">
                  <c:v>0.96572011496186572</c:v>
                </c:pt>
                <c:pt idx="30">
                  <c:v>0.96547546155736663</c:v>
                </c:pt>
                <c:pt idx="31">
                  <c:v>0.96521513251227675</c:v>
                </c:pt>
                <c:pt idx="32">
                  <c:v>0.96493954516573122</c:v>
                </c:pt>
                <c:pt idx="33">
                  <c:v>0.96464918105131003</c:v>
                </c:pt>
                <c:pt idx="34">
                  <c:v>0.96434456520784728</c:v>
                </c:pt>
                <c:pt idx="35">
                  <c:v>0.96402625107085149</c:v>
                </c:pt>
                <c:pt idx="36">
                  <c:v>0.96369480921494888</c:v>
                </c:pt>
                <c:pt idx="37">
                  <c:v>0.9633508188476364</c:v>
                </c:pt>
                <c:pt idx="38">
                  <c:v>0.96299486132286383</c:v>
                </c:pt>
                <c:pt idx="39">
                  <c:v>0.96262751516981448</c:v>
                </c:pt>
                <c:pt idx="40">
                  <c:v>0.96224935227815034</c:v>
                </c:pt>
                <c:pt idx="41">
                  <c:v>0.96186093497827085</c:v>
                </c:pt>
                <c:pt idx="42">
                  <c:v>0.9658426841417046</c:v>
                </c:pt>
                <c:pt idx="43">
                  <c:v>0.96562892084180119</c:v>
                </c:pt>
                <c:pt idx="44">
                  <c:v>0.96541510736923819</c:v>
                </c:pt>
                <c:pt idx="45">
                  <c:v>0.96520128468813593</c:v>
                </c:pt>
                <c:pt idx="46">
                  <c:v>0.96498749363131064</c:v>
                </c:pt>
                <c:pt idx="47">
                  <c:v>0.96477377462149772</c:v>
                </c:pt>
                <c:pt idx="48">
                  <c:v>0.96456016744691842</c:v>
                </c:pt>
                <c:pt idx="49">
                  <c:v>0.96434671108195913</c:v>
                </c:pt>
                <c:pt idx="50">
                  <c:v>0.96413344354539476</c:v>
                </c:pt>
                <c:pt idx="51">
                  <c:v>0.96392040178991711</c:v>
                </c:pt>
                <c:pt idx="52">
                  <c:v>0.96370762161779566</c:v>
                </c:pt>
                <c:pt idx="53">
                  <c:v>0.96349513761836492</c:v>
                </c:pt>
                <c:pt idx="54">
                  <c:v>0.96328298312374083</c:v>
                </c:pt>
                <c:pt idx="55">
                  <c:v>0.96307119017974696</c:v>
                </c:pt>
                <c:pt idx="56">
                  <c:v>0.9628597895295169</c:v>
                </c:pt>
                <c:pt idx="57">
                  <c:v>0.9626488106076303</c:v>
                </c:pt>
                <c:pt idx="58">
                  <c:v>0.96243828154297772</c:v>
                </c:pt>
                <c:pt idx="59">
                  <c:v>0.96222822916882689</c:v>
                </c:pt>
                <c:pt idx="60">
                  <c:v>0.96201867903879179</c:v>
                </c:pt>
                <c:pt idx="61">
                  <c:v>0.96180965544761132</c:v>
                </c:pt>
                <c:pt idx="62">
                  <c:v>0.96160118145580109</c:v>
                </c:pt>
                <c:pt idx="63">
                  <c:v>0.96139327891739135</c:v>
                </c:pt>
                <c:pt idx="64">
                  <c:v>0.9611859685100782</c:v>
                </c:pt>
                <c:pt idx="65">
                  <c:v>0.96097926976721959</c:v>
                </c:pt>
                <c:pt idx="66">
                  <c:v>0.96077320111119502</c:v>
                </c:pt>
                <c:pt idx="67">
                  <c:v>0.96056777988771924</c:v>
                </c:pt>
                <c:pt idx="68">
                  <c:v>0.96036302240076843</c:v>
                </c:pt>
                <c:pt idx="69">
                  <c:v>0.96015894394782553</c:v>
                </c:pt>
                <c:pt idx="70">
                  <c:v>0.95995555885520467</c:v>
                </c:pt>
                <c:pt idx="71">
                  <c:v>0.95975288051324859</c:v>
                </c:pt>
                <c:pt idx="72">
                  <c:v>0.95955092141123133</c:v>
                </c:pt>
                <c:pt idx="73">
                  <c:v>0.95934969317182583</c:v>
                </c:pt>
                <c:pt idx="74">
                  <c:v>0.95914920658502034</c:v>
                </c:pt>
                <c:pt idx="75">
                  <c:v>0.95894947164139377</c:v>
                </c:pt>
                <c:pt idx="76">
                  <c:v>0.95875049756467046</c:v>
                </c:pt>
                <c:pt idx="77">
                  <c:v>0.95855229284350074</c:v>
                </c:pt>
                <c:pt idx="78">
                  <c:v>0.95835486526241875</c:v>
                </c:pt>
                <c:pt idx="79">
                  <c:v>0.95815822193194311</c:v>
                </c:pt>
                <c:pt idx="80">
                  <c:v>0.95796236931780032</c:v>
                </c:pt>
                <c:pt idx="81">
                  <c:v>0.95776731326925146</c:v>
                </c:pt>
                <c:pt idx="82">
                  <c:v>0.95757305904651679</c:v>
                </c:pt>
                <c:pt idx="83">
                  <c:v>0.95737961134729344</c:v>
                </c:pt>
                <c:pt idx="84">
                  <c:v>0.95718697433237132</c:v>
                </c:pt>
                <c:pt idx="85">
                  <c:v>0.95699515165035265</c:v>
                </c:pt>
                <c:pt idx="86">
                  <c:v>0.95680414646148571</c:v>
                </c:pt>
                <c:pt idx="87">
                  <c:v>0.95661396146062738</c:v>
                </c:pt>
                <c:pt idx="88">
                  <c:v>0.95642459889934905</c:v>
                </c:pt>
                <c:pt idx="89">
                  <c:v>0.9562360606072039</c:v>
                </c:pt>
                <c:pt idx="90">
                  <c:v>0.95604834801217553</c:v>
                </c:pt>
                <c:pt idx="91">
                  <c:v>0.95586146216032697</c:v>
                </c:pt>
                <c:pt idx="92">
                  <c:v>0.95567540373467341</c:v>
                </c:pt>
                <c:pt idx="93">
                  <c:v>0.95549017307329853</c:v>
                </c:pt>
                <c:pt idx="94">
                  <c:v>0.95530577018673879</c:v>
                </c:pt>
                <c:pt idx="95">
                  <c:v>0.95512219477465599</c:v>
                </c:pt>
                <c:pt idx="96">
                  <c:v>0.95493944624182425</c:v>
                </c:pt>
                <c:pt idx="97">
                  <c:v>0.95475752371345091</c:v>
                </c:pt>
                <c:pt idx="98">
                  <c:v>0.95457642604985549</c:v>
                </c:pt>
                <c:pt idx="99">
                  <c:v>0.95439615186052917</c:v>
                </c:pt>
                <c:pt idx="100">
                  <c:v>0.95421669951759669</c:v>
                </c:pt>
                <c:pt idx="101">
                  <c:v>0.95403806716870188</c:v>
                </c:pt>
                <c:pt idx="102">
                  <c:v>0.95386025274933883</c:v>
                </c:pt>
                <c:pt idx="103">
                  <c:v>0.95368325399464871</c:v>
                </c:pt>
                <c:pt idx="104">
                  <c:v>0.95350706845070377</c:v>
                </c:pt>
                <c:pt idx="105">
                  <c:v>0.95333169348529623</c:v>
                </c:pt>
                <c:pt idx="106">
                  <c:v>0.95315712629825389</c:v>
                </c:pt>
                <c:pt idx="107">
                  <c:v>0.95298336393129901</c:v>
                </c:pt>
                <c:pt idx="108">
                  <c:v>0.95281040327746924</c:v>
                </c:pt>
                <c:pt idx="109">
                  <c:v>0.95263824109011885</c:v>
                </c:pt>
                <c:pt idx="110">
                  <c:v>0.95246687399151631</c:v>
                </c:pt>
                <c:pt idx="111">
                  <c:v>0.95229629848105468</c:v>
                </c:pt>
                <c:pt idx="112">
                  <c:v>0.9521265109430912</c:v>
                </c:pt>
                <c:pt idx="113">
                  <c:v>0.95195750765443143</c:v>
                </c:pt>
                <c:pt idx="114">
                  <c:v>0.95178928479147118</c:v>
                </c:pt>
                <c:pt idx="115">
                  <c:v>0.95162183843701265</c:v>
                </c:pt>
                <c:pt idx="116">
                  <c:v>0.95145516458676738</c:v>
                </c:pt>
                <c:pt idx="117">
                  <c:v>0.95128925915555773</c:v>
                </c:pt>
                <c:pt idx="118">
                  <c:v>0.95112411798323293</c:v>
                </c:pt>
                <c:pt idx="119">
                  <c:v>0.95095973684030854</c:v>
                </c:pt>
                <c:pt idx="120">
                  <c:v>0.95079611143334286</c:v>
                </c:pt>
                <c:pt idx="121">
                  <c:v>0.95063323741006056</c:v>
                </c:pt>
                <c:pt idx="122">
                  <c:v>0.95047111036423593</c:v>
                </c:pt>
                <c:pt idx="123">
                  <c:v>0.95030972584034357</c:v>
                </c:pt>
                <c:pt idx="124">
                  <c:v>0.95014907933798942</c:v>
                </c:pt>
                <c:pt idx="125">
                  <c:v>0.94998916631612806</c:v>
                </c:pt>
                <c:pt idx="126">
                  <c:v>0.94982998219707981</c:v>
                </c:pt>
                <c:pt idx="127">
                  <c:v>0.94967152237035213</c:v>
                </c:pt>
                <c:pt idx="128">
                  <c:v>0.94951378219627669</c:v>
                </c:pt>
                <c:pt idx="129">
                  <c:v>0.94935675700946986</c:v>
                </c:pt>
                <c:pt idx="130">
                  <c:v>0.94920044212212118</c:v>
                </c:pt>
                <c:pt idx="131">
                  <c:v>0.94904483282712249</c:v>
                </c:pt>
                <c:pt idx="132">
                  <c:v>0.94888992440104047</c:v>
                </c:pt>
                <c:pt idx="133">
                  <c:v>0.94873571210694108</c:v>
                </c:pt>
                <c:pt idx="134">
                  <c:v>0.94858219119707254</c:v>
                </c:pt>
                <c:pt idx="135">
                  <c:v>0.94842935691541275</c:v>
                </c:pt>
                <c:pt idx="136">
                  <c:v>0.94827720450008701</c:v>
                </c:pt>
                <c:pt idx="137">
                  <c:v>0.94812572918566218</c:v>
                </c:pt>
                <c:pt idx="138">
                  <c:v>0.94797492620532209</c:v>
                </c:pt>
                <c:pt idx="139">
                  <c:v>0.94782479079293014</c:v>
                </c:pt>
                <c:pt idx="140">
                  <c:v>0.94767531818498407</c:v>
                </c:pt>
                <c:pt idx="141">
                  <c:v>0.9475265036224666</c:v>
                </c:pt>
                <c:pt idx="142">
                  <c:v>0.94737834235259799</c:v>
                </c:pt>
                <c:pt idx="143">
                  <c:v>0.94723082963049465</c:v>
                </c:pt>
                <c:pt idx="144">
                  <c:v>0.94708396072073664</c:v>
                </c:pt>
                <c:pt idx="145">
                  <c:v>0.94693773089884992</c:v>
                </c:pt>
                <c:pt idx="146">
                  <c:v>0.94679213545270591</c:v>
                </c:pt>
                <c:pt idx="147">
                  <c:v>0.9466471696838431</c:v>
                </c:pt>
                <c:pt idx="148">
                  <c:v>0.94650282890871318</c:v>
                </c:pt>
                <c:pt idx="149">
                  <c:v>0.94635910845985527</c:v>
                </c:pt>
                <c:pt idx="150">
                  <c:v>0.94621600368700276</c:v>
                </c:pt>
                <c:pt idx="151">
                  <c:v>0.946073509958124</c:v>
                </c:pt>
                <c:pt idx="152">
                  <c:v>0.94593162266040087</c:v>
                </c:pt>
                <c:pt idx="153">
                  <c:v>0.94579033720114791</c:v>
                </c:pt>
                <c:pt idx="154">
                  <c:v>0.94564964900867488</c:v>
                </c:pt>
                <c:pt idx="155">
                  <c:v>0.94550955353309452</c:v>
                </c:pt>
                <c:pt idx="156">
                  <c:v>0.94537004624707877</c:v>
                </c:pt>
                <c:pt idx="157">
                  <c:v>0.94523112264656683</c:v>
                </c:pt>
                <c:pt idx="158">
                  <c:v>0.94509277825142335</c:v>
                </c:pt>
                <c:pt idx="159">
                  <c:v>0.94495500860605497</c:v>
                </c:pt>
                <c:pt idx="160">
                  <c:v>0.94481780927998149</c:v>
                </c:pt>
                <c:pt idx="161">
                  <c:v>0.94468117586836775</c:v>
                </c:pt>
                <c:pt idx="162">
                  <c:v>0.94454510399251512</c:v>
                </c:pt>
                <c:pt idx="163">
                  <c:v>0.94440958930031738</c:v>
                </c:pt>
                <c:pt idx="164">
                  <c:v>0.94427462746668023</c:v>
                </c:pt>
                <c:pt idx="165">
                  <c:v>0.94414021419390692</c:v>
                </c:pt>
                <c:pt idx="166">
                  <c:v>0.94400634521205262</c:v>
                </c:pt>
                <c:pt idx="167">
                  <c:v>0.94387301627924669</c:v>
                </c:pt>
                <c:pt idx="168">
                  <c:v>0.94374022318198769</c:v>
                </c:pt>
                <c:pt idx="169">
                  <c:v>0.94360796173540873</c:v>
                </c:pt>
                <c:pt idx="170">
                  <c:v>0.94347622778351747</c:v>
                </c:pt>
                <c:pt idx="171">
                  <c:v>0.94334501719941044</c:v>
                </c:pt>
                <c:pt idx="172">
                  <c:v>0.94321432588546394</c:v>
                </c:pt>
                <c:pt idx="173">
                  <c:v>0.94308414977350119</c:v>
                </c:pt>
                <c:pt idx="174">
                  <c:v>0.9429544848249386</c:v>
                </c:pt>
                <c:pt idx="175">
                  <c:v>0.94282532703091104</c:v>
                </c:pt>
                <c:pt idx="176">
                  <c:v>0.94269667241237765</c:v>
                </c:pt>
                <c:pt idx="177">
                  <c:v>0.94256851702020872</c:v>
                </c:pt>
                <c:pt idx="178">
                  <c:v>0.94244085693525526</c:v>
                </c:pt>
                <c:pt idx="179">
                  <c:v>0.94231368826840145</c:v>
                </c:pt>
                <c:pt idx="180">
                  <c:v>0.942187007160601</c:v>
                </c:pt>
                <c:pt idx="181">
                  <c:v>0.94206080978289886</c:v>
                </c:pt>
                <c:pt idx="182">
                  <c:v>0.94193509233643791</c:v>
                </c:pt>
                <c:pt idx="183">
                  <c:v>0.94180985105245263</c:v>
                </c:pt>
                <c:pt idx="184">
                  <c:v>0.94168508219224922</c:v>
                </c:pt>
                <c:pt idx="185">
                  <c:v>0.94156078204717386</c:v>
                </c:pt>
                <c:pt idx="186">
                  <c:v>0.94143694693856983</c:v>
                </c:pt>
                <c:pt idx="187">
                  <c:v>0.94131357321772213</c:v>
                </c:pt>
                <c:pt idx="188">
                  <c:v>0.94119065726579354</c:v>
                </c:pt>
                <c:pt idx="189">
                  <c:v>0.94106819549374976</c:v>
                </c:pt>
                <c:pt idx="190">
                  <c:v>0.94094618434227539</c:v>
                </c:pt>
                <c:pt idx="191">
                  <c:v>0.94082462028168146</c:v>
                </c:pt>
                <c:pt idx="192">
                  <c:v>0.94070349981180479</c:v>
                </c:pt>
                <c:pt idx="193">
                  <c:v>0.94058281946189903</c:v>
                </c:pt>
                <c:pt idx="194">
                  <c:v>0.94046257579051851</c:v>
                </c:pt>
                <c:pt idx="195">
                  <c:v>0.94034276538539618</c:v>
                </c:pt>
                <c:pt idx="196">
                  <c:v>0.94022338486331292</c:v>
                </c:pt>
                <c:pt idx="197">
                  <c:v>0.94010443086996376</c:v>
                </c:pt>
                <c:pt idx="198">
                  <c:v>0.93998590007981486</c:v>
                </c:pt>
                <c:pt idx="199">
                  <c:v>0.9398677891959587</c:v>
                </c:pt>
                <c:pt idx="200">
                  <c:v>0.93975009494996109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CF-4862-8F37-003557E6EE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172480"/>
        <c:axId val="41816064"/>
      </c:scatterChart>
      <c:valAx>
        <c:axId val="15917248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576315442322012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41816064"/>
        <c:crosses val="autoZero"/>
        <c:crossBetween val="midCat"/>
      </c:valAx>
      <c:valAx>
        <c:axId val="41816064"/>
        <c:scaling>
          <c:orientation val="minMax"/>
          <c:max val="1"/>
          <c:min val="0.70000000000000007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Efficiency (%)</a:t>
                </a:r>
              </a:p>
            </c:rich>
          </c:tx>
          <c:layout>
            <c:manualLayout>
              <c:xMode val="edge"/>
              <c:yMode val="edge"/>
              <c:x val="6.7750677506776052E-3"/>
              <c:y val="0.4274197781728969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172480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636970175475957"/>
          <c:y val="3.6290322580645726E-2"/>
          <c:w val="0.11788632112042907"/>
          <c:h val="4.23387096774193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97037571498782"/>
          <c:y val="5.9812039624079237E-2"/>
          <c:w val="0.80603751224324049"/>
          <c:h val="0.81048450596901189"/>
        </c:manualLayout>
      </c:layout>
      <c:scatterChart>
        <c:scatterStyle val="lineMarker"/>
        <c:varyColors val="0"/>
        <c:ser>
          <c:idx val="1"/>
          <c:order val="1"/>
          <c:tx>
            <c:v>Boost D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Calculations'!$O$9:$O$209</c:f>
              <c:numCache>
                <c:formatCode>0.000</c:formatCode>
                <c:ptCount val="201"/>
                <c:pt idx="0">
                  <c:v>0.26340796019900498</c:v>
                </c:pt>
                <c:pt idx="1">
                  <c:v>0.25187565092201197</c:v>
                </c:pt>
                <c:pt idx="2">
                  <c:v>0.24035162380779912</c:v>
                </c:pt>
                <c:pt idx="3">
                  <c:v>0.22883551966208582</c:v>
                </c:pt>
                <c:pt idx="4">
                  <c:v>0.21732699976542341</c:v>
                </c:pt>
                <c:pt idx="5">
                  <c:v>0.20582574443480767</c:v>
                </c:pt>
                <c:pt idx="6">
                  <c:v>0.19433145170486935</c:v>
                </c:pt>
                <c:pt idx="7">
                  <c:v>0.18284383611720378</c:v>
                </c:pt>
                <c:pt idx="8">
                  <c:v>0.17136262760763432</c:v>
                </c:pt>
                <c:pt idx="9">
                  <c:v>0.15988757048229041</c:v>
                </c:pt>
                <c:pt idx="10">
                  <c:v>0.14841842247433829</c:v>
                </c:pt>
                <c:pt idx="11">
                  <c:v>0.13695495387404683</c:v>
                </c:pt>
                <c:pt idx="12">
                  <c:v>0.12549694672562658</c:v>
                </c:pt>
                <c:pt idx="13">
                  <c:v>0.15349187499999997</c:v>
                </c:pt>
                <c:pt idx="14">
                  <c:v>0.14286624999999997</c:v>
                </c:pt>
                <c:pt idx="15">
                  <c:v>0.13224062499999997</c:v>
                </c:pt>
                <c:pt idx="16">
                  <c:v>0.12161499999999996</c:v>
                </c:pt>
                <c:pt idx="17">
                  <c:v>0.11098937499999995</c:v>
                </c:pt>
                <c:pt idx="18">
                  <c:v>0.10036375000000008</c:v>
                </c:pt>
                <c:pt idx="19">
                  <c:v>8.9738125000000071E-2</c:v>
                </c:pt>
                <c:pt idx="20">
                  <c:v>7.9112500000000072E-2</c:v>
                </c:pt>
                <c:pt idx="21">
                  <c:v>6.8486874999999905E-2</c:v>
                </c:pt>
                <c:pt idx="22">
                  <c:v>5.7861249999999899E-2</c:v>
                </c:pt>
                <c:pt idx="23">
                  <c:v>5.5500000000000001E-2</c:v>
                </c:pt>
                <c:pt idx="24">
                  <c:v>5.5500000000000001E-2</c:v>
                </c:pt>
                <c:pt idx="25">
                  <c:v>5.5500000000000001E-2</c:v>
                </c:pt>
                <c:pt idx="26">
                  <c:v>5.5500000000000001E-2</c:v>
                </c:pt>
                <c:pt idx="27">
                  <c:v>5.5500000000000001E-2</c:v>
                </c:pt>
                <c:pt idx="28">
                  <c:v>5.5500000000000001E-2</c:v>
                </c:pt>
                <c:pt idx="29">
                  <c:v>5.5500000000000001E-2</c:v>
                </c:pt>
                <c:pt idx="30">
                  <c:v>5.5500000000000001E-2</c:v>
                </c:pt>
                <c:pt idx="31">
                  <c:v>5.5500000000000001E-2</c:v>
                </c:pt>
                <c:pt idx="32">
                  <c:v>5.5500000000000001E-2</c:v>
                </c:pt>
                <c:pt idx="33">
                  <c:v>5.5500000000000001E-2</c:v>
                </c:pt>
                <c:pt idx="34">
                  <c:v>5.5500000000000001E-2</c:v>
                </c:pt>
                <c:pt idx="35">
                  <c:v>5.5500000000000001E-2</c:v>
                </c:pt>
                <c:pt idx="36">
                  <c:v>5.5500000000000001E-2</c:v>
                </c:pt>
                <c:pt idx="37">
                  <c:v>5.5500000000000001E-2</c:v>
                </c:pt>
                <c:pt idx="38">
                  <c:v>5.5500000000000001E-2</c:v>
                </c:pt>
                <c:pt idx="39">
                  <c:v>5.5500000000000001E-2</c:v>
                </c:pt>
                <c:pt idx="40">
                  <c:v>5.5500000000000001E-2</c:v>
                </c:pt>
                <c:pt idx="41">
                  <c:v>5.5500000000000001E-2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E6-4E5B-818B-D49CF4A69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67520"/>
        <c:axId val="41873792"/>
      </c:scatterChart>
      <c:scatterChart>
        <c:scatterStyle val="lineMarker"/>
        <c:varyColors val="0"/>
        <c:ser>
          <c:idx val="0"/>
          <c:order val="0"/>
          <c:tx>
            <c:v>Buck D</c:v>
          </c:tx>
          <c:spPr>
            <a:ln w="31750">
              <a:solidFill>
                <a:srgbClr val="0000FF"/>
              </a:solidFill>
              <a:prstDash val="sysDash"/>
            </a:ln>
          </c:spPr>
          <c:marker>
            <c:symbol val="none"/>
          </c:marker>
          <c:xVal>
            <c:numRef>
              <c:f>'Efficiency vs VIN Calculations'!$H$9:$H$209</c:f>
              <c:numCache>
                <c:formatCode>0.00</c:formatCode>
                <c:ptCount val="201"/>
                <c:pt idx="0">
                  <c:v>9</c:v>
                </c:pt>
                <c:pt idx="1">
                  <c:v>9.1349999999999998</c:v>
                </c:pt>
                <c:pt idx="2">
                  <c:v>9.27</c:v>
                </c:pt>
                <c:pt idx="3">
                  <c:v>9.4049999999999994</c:v>
                </c:pt>
                <c:pt idx="4">
                  <c:v>9.5399999999999991</c:v>
                </c:pt>
                <c:pt idx="5">
                  <c:v>9.6750000000000007</c:v>
                </c:pt>
                <c:pt idx="6">
                  <c:v>9.81</c:v>
                </c:pt>
                <c:pt idx="7">
                  <c:v>9.9450000000000003</c:v>
                </c:pt>
                <c:pt idx="8">
                  <c:v>10.08</c:v>
                </c:pt>
                <c:pt idx="9">
                  <c:v>10.215</c:v>
                </c:pt>
                <c:pt idx="10">
                  <c:v>10.35</c:v>
                </c:pt>
                <c:pt idx="11">
                  <c:v>10.484999999999999</c:v>
                </c:pt>
                <c:pt idx="12">
                  <c:v>10.62</c:v>
                </c:pt>
                <c:pt idx="13">
                  <c:v>10.755000000000001</c:v>
                </c:pt>
                <c:pt idx="14">
                  <c:v>10.89</c:v>
                </c:pt>
                <c:pt idx="15">
                  <c:v>11.025</c:v>
                </c:pt>
                <c:pt idx="16">
                  <c:v>11.16</c:v>
                </c:pt>
                <c:pt idx="17">
                  <c:v>11.295</c:v>
                </c:pt>
                <c:pt idx="18">
                  <c:v>11.43</c:v>
                </c:pt>
                <c:pt idx="19">
                  <c:v>11.565</c:v>
                </c:pt>
                <c:pt idx="20">
                  <c:v>11.7</c:v>
                </c:pt>
                <c:pt idx="21">
                  <c:v>11.835000000000001</c:v>
                </c:pt>
                <c:pt idx="22">
                  <c:v>11.97</c:v>
                </c:pt>
                <c:pt idx="23">
                  <c:v>12.105</c:v>
                </c:pt>
                <c:pt idx="24">
                  <c:v>12.24</c:v>
                </c:pt>
                <c:pt idx="25">
                  <c:v>12.375</c:v>
                </c:pt>
                <c:pt idx="26">
                  <c:v>12.51</c:v>
                </c:pt>
                <c:pt idx="27">
                  <c:v>12.645</c:v>
                </c:pt>
                <c:pt idx="28">
                  <c:v>12.780000000000001</c:v>
                </c:pt>
                <c:pt idx="29">
                  <c:v>12.914999999999999</c:v>
                </c:pt>
                <c:pt idx="30">
                  <c:v>13.05</c:v>
                </c:pt>
                <c:pt idx="31">
                  <c:v>13.184999999999999</c:v>
                </c:pt>
                <c:pt idx="32">
                  <c:v>13.32</c:v>
                </c:pt>
                <c:pt idx="33">
                  <c:v>13.455</c:v>
                </c:pt>
                <c:pt idx="34">
                  <c:v>13.59</c:v>
                </c:pt>
                <c:pt idx="35">
                  <c:v>13.725</c:v>
                </c:pt>
                <c:pt idx="36">
                  <c:v>13.86</c:v>
                </c:pt>
                <c:pt idx="37">
                  <c:v>13.995000000000001</c:v>
                </c:pt>
                <c:pt idx="38">
                  <c:v>14.129999999999999</c:v>
                </c:pt>
                <c:pt idx="39">
                  <c:v>14.265000000000001</c:v>
                </c:pt>
                <c:pt idx="40">
                  <c:v>14.4</c:v>
                </c:pt>
                <c:pt idx="41">
                  <c:v>14.535</c:v>
                </c:pt>
                <c:pt idx="42">
                  <c:v>14.67</c:v>
                </c:pt>
                <c:pt idx="43">
                  <c:v>14.805</c:v>
                </c:pt>
                <c:pt idx="44">
                  <c:v>14.940000000000001</c:v>
                </c:pt>
                <c:pt idx="45">
                  <c:v>15.074999999999999</c:v>
                </c:pt>
                <c:pt idx="46">
                  <c:v>15.21</c:v>
                </c:pt>
                <c:pt idx="47">
                  <c:v>15.344999999999999</c:v>
                </c:pt>
                <c:pt idx="48">
                  <c:v>15.48</c:v>
                </c:pt>
                <c:pt idx="49">
                  <c:v>15.615</c:v>
                </c:pt>
                <c:pt idx="50">
                  <c:v>15.75</c:v>
                </c:pt>
                <c:pt idx="51">
                  <c:v>15.885</c:v>
                </c:pt>
                <c:pt idx="52">
                  <c:v>16.02</c:v>
                </c:pt>
                <c:pt idx="53">
                  <c:v>16.155000000000001</c:v>
                </c:pt>
                <c:pt idx="54">
                  <c:v>16.29</c:v>
                </c:pt>
                <c:pt idx="55">
                  <c:v>16.425000000000001</c:v>
                </c:pt>
                <c:pt idx="56">
                  <c:v>16.560000000000002</c:v>
                </c:pt>
                <c:pt idx="57">
                  <c:v>16.695</c:v>
                </c:pt>
                <c:pt idx="58">
                  <c:v>16.829999999999998</c:v>
                </c:pt>
                <c:pt idx="59">
                  <c:v>16.965</c:v>
                </c:pt>
                <c:pt idx="60">
                  <c:v>17.100000000000001</c:v>
                </c:pt>
                <c:pt idx="61">
                  <c:v>17.234999999999999</c:v>
                </c:pt>
                <c:pt idx="62">
                  <c:v>17.369999999999997</c:v>
                </c:pt>
                <c:pt idx="63">
                  <c:v>17.505000000000003</c:v>
                </c:pt>
                <c:pt idx="64">
                  <c:v>17.64</c:v>
                </c:pt>
                <c:pt idx="65">
                  <c:v>17.774999999999999</c:v>
                </c:pt>
                <c:pt idx="66">
                  <c:v>17.91</c:v>
                </c:pt>
                <c:pt idx="67">
                  <c:v>18.045000000000002</c:v>
                </c:pt>
                <c:pt idx="68">
                  <c:v>18.18</c:v>
                </c:pt>
                <c:pt idx="69">
                  <c:v>18.314999999999998</c:v>
                </c:pt>
                <c:pt idx="70">
                  <c:v>18.45</c:v>
                </c:pt>
                <c:pt idx="71">
                  <c:v>18.585000000000001</c:v>
                </c:pt>
                <c:pt idx="72">
                  <c:v>18.72</c:v>
                </c:pt>
                <c:pt idx="73">
                  <c:v>18.855</c:v>
                </c:pt>
                <c:pt idx="74">
                  <c:v>18.990000000000002</c:v>
                </c:pt>
                <c:pt idx="75">
                  <c:v>19.125</c:v>
                </c:pt>
                <c:pt idx="76">
                  <c:v>19.259999999999998</c:v>
                </c:pt>
                <c:pt idx="77">
                  <c:v>19.395</c:v>
                </c:pt>
                <c:pt idx="78">
                  <c:v>19.53</c:v>
                </c:pt>
                <c:pt idx="79">
                  <c:v>19.664999999999999</c:v>
                </c:pt>
                <c:pt idx="80">
                  <c:v>19.8</c:v>
                </c:pt>
                <c:pt idx="81">
                  <c:v>19.935000000000002</c:v>
                </c:pt>
                <c:pt idx="82">
                  <c:v>20.07</c:v>
                </c:pt>
                <c:pt idx="83">
                  <c:v>20.204999999999998</c:v>
                </c:pt>
                <c:pt idx="84">
                  <c:v>20.34</c:v>
                </c:pt>
                <c:pt idx="85">
                  <c:v>20.475000000000001</c:v>
                </c:pt>
                <c:pt idx="86">
                  <c:v>20.61</c:v>
                </c:pt>
                <c:pt idx="87">
                  <c:v>20.744999999999997</c:v>
                </c:pt>
                <c:pt idx="88">
                  <c:v>20.880000000000003</c:v>
                </c:pt>
                <c:pt idx="89">
                  <c:v>21.015000000000001</c:v>
                </c:pt>
                <c:pt idx="90">
                  <c:v>21.15</c:v>
                </c:pt>
                <c:pt idx="91">
                  <c:v>21.285</c:v>
                </c:pt>
                <c:pt idx="92">
                  <c:v>21.42</c:v>
                </c:pt>
                <c:pt idx="93">
                  <c:v>21.555</c:v>
                </c:pt>
                <c:pt idx="94">
                  <c:v>21.689999999999998</c:v>
                </c:pt>
                <c:pt idx="95">
                  <c:v>21.824999999999999</c:v>
                </c:pt>
                <c:pt idx="96">
                  <c:v>21.96</c:v>
                </c:pt>
                <c:pt idx="97">
                  <c:v>22.094999999999999</c:v>
                </c:pt>
                <c:pt idx="98">
                  <c:v>22.23</c:v>
                </c:pt>
                <c:pt idx="99">
                  <c:v>22.365000000000002</c:v>
                </c:pt>
                <c:pt idx="100">
                  <c:v>22.5</c:v>
                </c:pt>
                <c:pt idx="101">
                  <c:v>22.634999999999998</c:v>
                </c:pt>
                <c:pt idx="102">
                  <c:v>22.77</c:v>
                </c:pt>
                <c:pt idx="103">
                  <c:v>22.905000000000001</c:v>
                </c:pt>
                <c:pt idx="104">
                  <c:v>23.04</c:v>
                </c:pt>
                <c:pt idx="105">
                  <c:v>23.175000000000001</c:v>
                </c:pt>
                <c:pt idx="106">
                  <c:v>23.310000000000002</c:v>
                </c:pt>
                <c:pt idx="107">
                  <c:v>23.445</c:v>
                </c:pt>
                <c:pt idx="108">
                  <c:v>23.580000000000002</c:v>
                </c:pt>
                <c:pt idx="109">
                  <c:v>23.715000000000003</c:v>
                </c:pt>
                <c:pt idx="110">
                  <c:v>23.85</c:v>
                </c:pt>
                <c:pt idx="111">
                  <c:v>23.984999999999999</c:v>
                </c:pt>
                <c:pt idx="112">
                  <c:v>24.12</c:v>
                </c:pt>
                <c:pt idx="113">
                  <c:v>24.254999999999999</c:v>
                </c:pt>
                <c:pt idx="114">
                  <c:v>24.39</c:v>
                </c:pt>
                <c:pt idx="115">
                  <c:v>24.524999999999999</c:v>
                </c:pt>
                <c:pt idx="116">
                  <c:v>24.659999999999997</c:v>
                </c:pt>
                <c:pt idx="117">
                  <c:v>24.794999999999998</c:v>
                </c:pt>
                <c:pt idx="118">
                  <c:v>24.93</c:v>
                </c:pt>
                <c:pt idx="119">
                  <c:v>25.064999999999998</c:v>
                </c:pt>
                <c:pt idx="120">
                  <c:v>25.2</c:v>
                </c:pt>
                <c:pt idx="121">
                  <c:v>25.335000000000001</c:v>
                </c:pt>
                <c:pt idx="122">
                  <c:v>25.47</c:v>
                </c:pt>
                <c:pt idx="123">
                  <c:v>25.605</c:v>
                </c:pt>
                <c:pt idx="124">
                  <c:v>25.74</c:v>
                </c:pt>
                <c:pt idx="125">
                  <c:v>25.875</c:v>
                </c:pt>
                <c:pt idx="126">
                  <c:v>26.01</c:v>
                </c:pt>
                <c:pt idx="127">
                  <c:v>26.145</c:v>
                </c:pt>
                <c:pt idx="128">
                  <c:v>26.28</c:v>
                </c:pt>
                <c:pt idx="129">
                  <c:v>26.414999999999999</c:v>
                </c:pt>
                <c:pt idx="130">
                  <c:v>26.55</c:v>
                </c:pt>
                <c:pt idx="131">
                  <c:v>26.685000000000002</c:v>
                </c:pt>
                <c:pt idx="132">
                  <c:v>26.82</c:v>
                </c:pt>
                <c:pt idx="133">
                  <c:v>26.955000000000002</c:v>
                </c:pt>
                <c:pt idx="134">
                  <c:v>27.09</c:v>
                </c:pt>
                <c:pt idx="135">
                  <c:v>27.225000000000001</c:v>
                </c:pt>
                <c:pt idx="136">
                  <c:v>27.360000000000003</c:v>
                </c:pt>
                <c:pt idx="137">
                  <c:v>27.495000000000001</c:v>
                </c:pt>
                <c:pt idx="138">
                  <c:v>27.63</c:v>
                </c:pt>
                <c:pt idx="139">
                  <c:v>27.764999999999997</c:v>
                </c:pt>
                <c:pt idx="140">
                  <c:v>27.9</c:v>
                </c:pt>
                <c:pt idx="141">
                  <c:v>28.035</c:v>
                </c:pt>
                <c:pt idx="142">
                  <c:v>28.169999999999998</c:v>
                </c:pt>
                <c:pt idx="143">
                  <c:v>28.305</c:v>
                </c:pt>
                <c:pt idx="144">
                  <c:v>28.439999999999998</c:v>
                </c:pt>
                <c:pt idx="145">
                  <c:v>28.574999999999999</c:v>
                </c:pt>
                <c:pt idx="146">
                  <c:v>28.71</c:v>
                </c:pt>
                <c:pt idx="147">
                  <c:v>28.844999999999999</c:v>
                </c:pt>
                <c:pt idx="148">
                  <c:v>28.98</c:v>
                </c:pt>
                <c:pt idx="149">
                  <c:v>29.114999999999998</c:v>
                </c:pt>
                <c:pt idx="150">
                  <c:v>29.25</c:v>
                </c:pt>
                <c:pt idx="151">
                  <c:v>29.385000000000002</c:v>
                </c:pt>
                <c:pt idx="152">
                  <c:v>29.52</c:v>
                </c:pt>
                <c:pt idx="153">
                  <c:v>29.655000000000001</c:v>
                </c:pt>
                <c:pt idx="154">
                  <c:v>29.79</c:v>
                </c:pt>
                <c:pt idx="155">
                  <c:v>29.925000000000001</c:v>
                </c:pt>
                <c:pt idx="156">
                  <c:v>30.060000000000002</c:v>
                </c:pt>
                <c:pt idx="157">
                  <c:v>30.195</c:v>
                </c:pt>
                <c:pt idx="158">
                  <c:v>30.330000000000002</c:v>
                </c:pt>
                <c:pt idx="159">
                  <c:v>30.465</c:v>
                </c:pt>
                <c:pt idx="160">
                  <c:v>30.6</c:v>
                </c:pt>
                <c:pt idx="161">
                  <c:v>30.735000000000003</c:v>
                </c:pt>
                <c:pt idx="162">
                  <c:v>30.87</c:v>
                </c:pt>
                <c:pt idx="163">
                  <c:v>31.004999999999999</c:v>
                </c:pt>
                <c:pt idx="164">
                  <c:v>31.139999999999997</c:v>
                </c:pt>
                <c:pt idx="165">
                  <c:v>31.274999999999999</c:v>
                </c:pt>
                <c:pt idx="166">
                  <c:v>31.41</c:v>
                </c:pt>
                <c:pt idx="167">
                  <c:v>31.544999999999998</c:v>
                </c:pt>
                <c:pt idx="168">
                  <c:v>31.68</c:v>
                </c:pt>
                <c:pt idx="169">
                  <c:v>31.814999999999998</c:v>
                </c:pt>
                <c:pt idx="170">
                  <c:v>31.95</c:v>
                </c:pt>
                <c:pt idx="171">
                  <c:v>32.085000000000001</c:v>
                </c:pt>
                <c:pt idx="172">
                  <c:v>32.22</c:v>
                </c:pt>
                <c:pt idx="173">
                  <c:v>32.355000000000004</c:v>
                </c:pt>
                <c:pt idx="174">
                  <c:v>32.489999999999995</c:v>
                </c:pt>
                <c:pt idx="175">
                  <c:v>32.625</c:v>
                </c:pt>
                <c:pt idx="176">
                  <c:v>32.760000000000005</c:v>
                </c:pt>
                <c:pt idx="177">
                  <c:v>32.894999999999996</c:v>
                </c:pt>
                <c:pt idx="178">
                  <c:v>33.03</c:v>
                </c:pt>
                <c:pt idx="179">
                  <c:v>33.164999999999999</c:v>
                </c:pt>
                <c:pt idx="180">
                  <c:v>33.299999999999997</c:v>
                </c:pt>
                <c:pt idx="181">
                  <c:v>33.435000000000002</c:v>
                </c:pt>
                <c:pt idx="182">
                  <c:v>33.57</c:v>
                </c:pt>
                <c:pt idx="183">
                  <c:v>33.704999999999998</c:v>
                </c:pt>
                <c:pt idx="184">
                  <c:v>33.840000000000003</c:v>
                </c:pt>
                <c:pt idx="185">
                  <c:v>33.975000000000001</c:v>
                </c:pt>
                <c:pt idx="186">
                  <c:v>34.11</c:v>
                </c:pt>
                <c:pt idx="187">
                  <c:v>34.245000000000005</c:v>
                </c:pt>
                <c:pt idx="188">
                  <c:v>34.379999999999995</c:v>
                </c:pt>
                <c:pt idx="189">
                  <c:v>34.515000000000001</c:v>
                </c:pt>
                <c:pt idx="190">
                  <c:v>34.65</c:v>
                </c:pt>
                <c:pt idx="191">
                  <c:v>34.784999999999997</c:v>
                </c:pt>
                <c:pt idx="192">
                  <c:v>34.92</c:v>
                </c:pt>
                <c:pt idx="193">
                  <c:v>35.055</c:v>
                </c:pt>
                <c:pt idx="194">
                  <c:v>35.19</c:v>
                </c:pt>
                <c:pt idx="195">
                  <c:v>35.325000000000003</c:v>
                </c:pt>
                <c:pt idx="196">
                  <c:v>35.46</c:v>
                </c:pt>
                <c:pt idx="197">
                  <c:v>35.594999999999999</c:v>
                </c:pt>
                <c:pt idx="198">
                  <c:v>35.730000000000004</c:v>
                </c:pt>
                <c:pt idx="199">
                  <c:v>35.864999999999995</c:v>
                </c:pt>
                <c:pt idx="200">
                  <c:v>36</c:v>
                </c:pt>
              </c:numCache>
            </c:numRef>
          </c:xVal>
          <c:yVal>
            <c:numRef>
              <c:f>'Efficiency vs VIN Calculations'!$N$9:$N$209</c:f>
              <c:numCache>
                <c:formatCode>0.000</c:formatCode>
                <c:ptCount val="20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0.94450000000000001</c:v>
                </c:pt>
                <c:pt idx="14">
                  <c:v>0.94450000000000001</c:v>
                </c:pt>
                <c:pt idx="15">
                  <c:v>0.94450000000000001</c:v>
                </c:pt>
                <c:pt idx="16">
                  <c:v>0.94450000000000001</c:v>
                </c:pt>
                <c:pt idx="17">
                  <c:v>0.94450000000000001</c:v>
                </c:pt>
                <c:pt idx="18">
                  <c:v>0.94450000000000001</c:v>
                </c:pt>
                <c:pt idx="19">
                  <c:v>0.94450000000000001</c:v>
                </c:pt>
                <c:pt idx="20">
                  <c:v>0.94450000000000001</c:v>
                </c:pt>
                <c:pt idx="21">
                  <c:v>0.94450000000000001</c:v>
                </c:pt>
                <c:pt idx="22">
                  <c:v>0.94450000000000001</c:v>
                </c:pt>
                <c:pt idx="23">
                  <c:v>0.93630731102850051</c:v>
                </c:pt>
                <c:pt idx="24">
                  <c:v>0.92598039215686268</c:v>
                </c:pt>
                <c:pt idx="25">
                  <c:v>0.91587878787878796</c:v>
                </c:pt>
                <c:pt idx="26">
                  <c:v>0.90599520383693044</c:v>
                </c:pt>
                <c:pt idx="27">
                  <c:v>0.89632265717674975</c:v>
                </c:pt>
                <c:pt idx="28">
                  <c:v>0.88685446009389657</c:v>
                </c:pt>
                <c:pt idx="29">
                  <c:v>0.87758420441347273</c:v>
                </c:pt>
                <c:pt idx="30">
                  <c:v>0.8685057471264368</c:v>
                </c:pt>
                <c:pt idx="31">
                  <c:v>0.85961319681456205</c:v>
                </c:pt>
                <c:pt idx="32">
                  <c:v>0.85090090090090087</c:v>
                </c:pt>
                <c:pt idx="33">
                  <c:v>0.84236343366778155</c:v>
                </c:pt>
                <c:pt idx="34">
                  <c:v>0.83399558498896242</c:v>
                </c:pt>
                <c:pt idx="35">
                  <c:v>0.82579234972677595</c:v>
                </c:pt>
                <c:pt idx="36">
                  <c:v>0.81774891774891778</c:v>
                </c:pt>
                <c:pt idx="37">
                  <c:v>0.80986066452304384</c:v>
                </c:pt>
                <c:pt idx="38">
                  <c:v>0.80212314225053083</c:v>
                </c:pt>
                <c:pt idx="39">
                  <c:v>0.79453207150368033</c:v>
                </c:pt>
                <c:pt idx="40">
                  <c:v>0.78708333333333325</c:v>
                </c:pt>
                <c:pt idx="41">
                  <c:v>0.7797729618163054</c:v>
                </c:pt>
                <c:pt idx="42">
                  <c:v>0.82503733876442631</c:v>
                </c:pt>
                <c:pt idx="43">
                  <c:v>0.81754456777665652</c:v>
                </c:pt>
                <c:pt idx="44">
                  <c:v>0.8101866666666665</c:v>
                </c:pt>
                <c:pt idx="45">
                  <c:v>0.80296002642880737</c:v>
                </c:pt>
                <c:pt idx="46">
                  <c:v>0.79586116568434828</c:v>
                </c:pt>
                <c:pt idx="47">
                  <c:v>0.78888672508925672</c:v>
                </c:pt>
                <c:pt idx="48">
                  <c:v>0.78203346203346191</c:v>
                </c:pt>
                <c:pt idx="49">
                  <c:v>0.77529824561403504</c:v>
                </c:pt>
                <c:pt idx="50">
                  <c:v>0.76867805186590754</c:v>
                </c:pt>
                <c:pt idx="51">
                  <c:v>0.76216995923486985</c:v>
                </c:pt>
                <c:pt idx="52">
                  <c:v>0.75577114427860703</c:v>
                </c:pt>
                <c:pt idx="53">
                  <c:v>0.74947887758248533</c:v>
                </c:pt>
                <c:pt idx="54">
                  <c:v>0.74329051987767591</c:v>
                </c:pt>
                <c:pt idx="55">
                  <c:v>0.73720351835001519</c:v>
                </c:pt>
                <c:pt idx="56">
                  <c:v>0.73121540312876043</c:v>
                </c:pt>
                <c:pt idx="57">
                  <c:v>0.72532378394509101</c:v>
                </c:pt>
                <c:pt idx="58">
                  <c:v>0.7195263469508586</c:v>
                </c:pt>
                <c:pt idx="59">
                  <c:v>0.71382085168869314</c:v>
                </c:pt>
                <c:pt idx="60">
                  <c:v>0.70820512820512815</c:v>
                </c:pt>
                <c:pt idx="61">
                  <c:v>0.70267707429893034</c:v>
                </c:pt>
                <c:pt idx="62">
                  <c:v>0.69723465289730358</c:v>
                </c:pt>
                <c:pt idx="63">
                  <c:v>0.69187588955308843</c:v>
                </c:pt>
                <c:pt idx="64">
                  <c:v>0.68659887005649711</c:v>
                </c:pt>
                <c:pt idx="65">
                  <c:v>0.68140173815531269</c:v>
                </c:pt>
                <c:pt idx="66">
                  <c:v>0.67628269337785196</c:v>
                </c:pt>
                <c:pt idx="67">
                  <c:v>0.6712399889533277</c:v>
                </c:pt>
                <c:pt idx="68">
                  <c:v>0.6662719298245614</c:v>
                </c:pt>
                <c:pt idx="69">
                  <c:v>0.66137687074829943</c:v>
                </c:pt>
                <c:pt idx="70">
                  <c:v>0.65655321447866022</c:v>
                </c:pt>
                <c:pt idx="71">
                  <c:v>0.65179941002949848</c:v>
                </c:pt>
                <c:pt idx="72">
                  <c:v>0.64711395101171465</c:v>
                </c:pt>
                <c:pt idx="73">
                  <c:v>0.64249537404176582</c:v>
                </c:pt>
                <c:pt idx="74">
                  <c:v>0.6379422572178477</c:v>
                </c:pt>
                <c:pt idx="75">
                  <c:v>0.63345321866041182</c:v>
                </c:pt>
                <c:pt idx="76">
                  <c:v>0.62902691511387165</c:v>
                </c:pt>
                <c:pt idx="77">
                  <c:v>0.62466204060652786</c:v>
                </c:pt>
                <c:pt idx="78">
                  <c:v>0.62035732516590092</c:v>
                </c:pt>
                <c:pt idx="79">
                  <c:v>0.6161115335868188</c:v>
                </c:pt>
                <c:pt idx="80">
                  <c:v>0.61192346424974819</c:v>
                </c:pt>
                <c:pt idx="81">
                  <c:v>0.60779194798699665</c:v>
                </c:pt>
                <c:pt idx="82">
                  <c:v>0.60371584699453551</c:v>
                </c:pt>
                <c:pt idx="83">
                  <c:v>0.5996940537873181</c:v>
                </c:pt>
                <c:pt idx="84">
                  <c:v>0.59572549019607846</c:v>
                </c:pt>
                <c:pt idx="85">
                  <c:v>0.59180910640370099</c:v>
                </c:pt>
                <c:pt idx="86">
                  <c:v>0.58794388001935172</c:v>
                </c:pt>
                <c:pt idx="87">
                  <c:v>0.58412881518865667</c:v>
                </c:pt>
                <c:pt idx="88">
                  <c:v>0.58036294173829983</c:v>
                </c:pt>
                <c:pt idx="89">
                  <c:v>0.57664531435349942</c:v>
                </c:pt>
                <c:pt idx="90">
                  <c:v>0.57297501178689303</c:v>
                </c:pt>
                <c:pt idx="91">
                  <c:v>0.5693511360974467</c:v>
                </c:pt>
                <c:pt idx="92">
                  <c:v>0.56577281191806328</c:v>
                </c:pt>
                <c:pt idx="93">
                  <c:v>0.56223918575063614</c:v>
                </c:pt>
                <c:pt idx="94">
                  <c:v>0.55874942528735638</c:v>
                </c:pt>
                <c:pt idx="95">
                  <c:v>0.55530271875713966</c:v>
                </c:pt>
                <c:pt idx="96">
                  <c:v>0.55189827429609439</c:v>
                </c:pt>
                <c:pt idx="97">
                  <c:v>0.54853531934100652</c:v>
                </c:pt>
                <c:pt idx="98">
                  <c:v>0.54521310004486312</c:v>
                </c:pt>
                <c:pt idx="99">
                  <c:v>0.54193088071348938</c:v>
                </c:pt>
                <c:pt idx="100">
                  <c:v>0.53868794326241132</c:v>
                </c:pt>
                <c:pt idx="101">
                  <c:v>0.53548358669310425</c:v>
                </c:pt>
                <c:pt idx="102">
                  <c:v>0.53231712658782304</c:v>
                </c:pt>
                <c:pt idx="103">
                  <c:v>0.52918789462225124</c:v>
                </c:pt>
                <c:pt idx="104">
                  <c:v>0.52609523809523806</c:v>
                </c:pt>
                <c:pt idx="105">
                  <c:v>0.52303851947493007</c:v>
                </c:pt>
                <c:pt idx="106">
                  <c:v>0.52001711596063327</c:v>
                </c:pt>
                <c:pt idx="107">
                  <c:v>0.51703041905977454</c:v>
                </c:pt>
                <c:pt idx="108">
                  <c:v>0.51407783417935693</c:v>
                </c:pt>
                <c:pt idx="109">
                  <c:v>0.51115878023133532</c:v>
                </c:pt>
                <c:pt idx="110">
                  <c:v>0.50827268925135927</c:v>
                </c:pt>
                <c:pt idx="111">
                  <c:v>0.50541900603035972</c:v>
                </c:pt>
                <c:pt idx="112">
                  <c:v>0.50259718775847806</c:v>
                </c:pt>
                <c:pt idx="113">
                  <c:v>0.49980670368085545</c:v>
                </c:pt>
                <c:pt idx="114">
                  <c:v>0.49704703476482615</c:v>
                </c:pt>
                <c:pt idx="115">
                  <c:v>0.49431767337807608</c:v>
                </c:pt>
                <c:pt idx="116">
                  <c:v>0.49161812297734636</c:v>
                </c:pt>
                <c:pt idx="117">
                  <c:v>0.48894789780728226</c:v>
                </c:pt>
                <c:pt idx="118">
                  <c:v>0.48630652260904361</c:v>
                </c:pt>
                <c:pt idx="119">
                  <c:v>0.48369353233830847</c:v>
                </c:pt>
                <c:pt idx="120">
                  <c:v>0.48110847189231987</c:v>
                </c:pt>
                <c:pt idx="121">
                  <c:v>0.47855089584563887</c:v>
                </c:pt>
                <c:pt idx="122">
                  <c:v>0.47602036819428123</c:v>
                </c:pt>
                <c:pt idx="123">
                  <c:v>0.47351646210792908</c:v>
                </c:pt>
                <c:pt idx="124">
                  <c:v>0.47103875968992248</c:v>
                </c:pt>
                <c:pt idx="125">
                  <c:v>0.46858685174474646</c:v>
                </c:pt>
                <c:pt idx="126">
                  <c:v>0.46616033755274255</c:v>
                </c:pt>
                <c:pt idx="127">
                  <c:v>0.46375882465178403</c:v>
                </c:pt>
                <c:pt idx="128">
                  <c:v>0.46138192862566435</c:v>
                </c:pt>
                <c:pt idx="129">
                  <c:v>0.45902927289896128</c:v>
                </c:pt>
                <c:pt idx="130">
                  <c:v>0.45670048853814355</c:v>
                </c:pt>
                <c:pt idx="131">
                  <c:v>0.45439521405870253</c:v>
                </c:pt>
                <c:pt idx="132">
                  <c:v>0.45211309523809523</c:v>
                </c:pt>
                <c:pt idx="133">
                  <c:v>0.44985378493429573</c:v>
                </c:pt>
                <c:pt idx="134">
                  <c:v>0.44761694290976056</c:v>
                </c:pt>
                <c:pt idx="135">
                  <c:v>0.44540223566061937</c:v>
                </c:pt>
                <c:pt idx="136">
                  <c:v>0.44320933625091169</c:v>
                </c:pt>
                <c:pt idx="137">
                  <c:v>0.44103792415169657</c:v>
                </c:pt>
                <c:pt idx="138">
                  <c:v>0.4388876850848682</c:v>
                </c:pt>
                <c:pt idx="139">
                  <c:v>0.43675831087151845</c:v>
                </c:pt>
                <c:pt idx="140">
                  <c:v>0.43464949928469243</c:v>
                </c:pt>
                <c:pt idx="141">
                  <c:v>0.43256095390638905</c:v>
                </c:pt>
                <c:pt idx="142">
                  <c:v>0.43049238398866457</c:v>
                </c:pt>
                <c:pt idx="143">
                  <c:v>0.42844350431870259</c:v>
                </c:pt>
                <c:pt idx="144">
                  <c:v>0.4264140350877193</c:v>
                </c:pt>
                <c:pt idx="145">
                  <c:v>0.42440370176357606</c:v>
                </c:pt>
                <c:pt idx="146">
                  <c:v>0.42241223496697949</c:v>
                </c:pt>
                <c:pt idx="147">
                  <c:v>0.42043937035115031</c:v>
                </c:pt>
                <c:pt idx="148">
                  <c:v>0.41848484848484846</c:v>
                </c:pt>
                <c:pt idx="149">
                  <c:v>0.41654841473864612</c:v>
                </c:pt>
                <c:pt idx="150">
                  <c:v>0.41462981917434322</c:v>
                </c:pt>
                <c:pt idx="151">
                  <c:v>0.41272881643742565</c:v>
                </c:pt>
                <c:pt idx="152">
                  <c:v>0.41084516565246787</c:v>
                </c:pt>
                <c:pt idx="153">
                  <c:v>0.40897863032138648</c:v>
                </c:pt>
                <c:pt idx="154">
                  <c:v>0.4071289782244556</c:v>
                </c:pt>
                <c:pt idx="155">
                  <c:v>0.4052959813239953</c:v>
                </c:pt>
                <c:pt idx="156">
                  <c:v>0.40347941567065071</c:v>
                </c:pt>
                <c:pt idx="157">
                  <c:v>0.40167906131217979</c:v>
                </c:pt>
                <c:pt idx="158">
                  <c:v>0.39989470220467255</c:v>
                </c:pt>
                <c:pt idx="159">
                  <c:v>0.39812612612612613</c:v>
                </c:pt>
                <c:pt idx="160">
                  <c:v>0.39637312459230267</c:v>
                </c:pt>
                <c:pt idx="161">
                  <c:v>0.39463549277480103</c:v>
                </c:pt>
                <c:pt idx="162">
                  <c:v>0.39291302942127382</c:v>
                </c:pt>
                <c:pt idx="163">
                  <c:v>0.39120553677772413</c:v>
                </c:pt>
                <c:pt idx="164">
                  <c:v>0.38951282051282055</c:v>
                </c:pt>
                <c:pt idx="165">
                  <c:v>0.3878346896441679</c:v>
                </c:pt>
                <c:pt idx="166">
                  <c:v>0.38617095646647598</c:v>
                </c:pt>
                <c:pt idx="167">
                  <c:v>0.38452143648156939</c:v>
                </c:pt>
                <c:pt idx="168">
                  <c:v>0.38288594833018275</c:v>
                </c:pt>
                <c:pt idx="169">
                  <c:v>0.38126431372549019</c:v>
                </c:pt>
                <c:pt idx="170">
                  <c:v>0.37965635738831616</c:v>
                </c:pt>
                <c:pt idx="171">
                  <c:v>0.37806190698397879</c:v>
                </c:pt>
                <c:pt idx="172">
                  <c:v>0.37648079306071869</c:v>
                </c:pt>
                <c:pt idx="173">
                  <c:v>0.3749128489896652</c:v>
                </c:pt>
                <c:pt idx="174">
                  <c:v>0.373357910906298</c:v>
                </c:pt>
                <c:pt idx="175">
                  <c:v>0.37181581765335775</c:v>
                </c:pt>
                <c:pt idx="176">
                  <c:v>0.37028641072516749</c:v>
                </c:pt>
                <c:pt idx="177">
                  <c:v>0.3687695342133212</c:v>
                </c:pt>
                <c:pt idx="178">
                  <c:v>0.36726503475370198</c:v>
                </c:pt>
                <c:pt idx="179">
                  <c:v>0.36577276147479304</c:v>
                </c:pt>
                <c:pt idx="180">
                  <c:v>0.36429256594724219</c:v>
                </c:pt>
                <c:pt idx="181">
                  <c:v>0.36282430213464689</c:v>
                </c:pt>
                <c:pt idx="182">
                  <c:v>0.36136782634552478</c:v>
                </c:pt>
                <c:pt idx="183">
                  <c:v>0.35992299718643561</c:v>
                </c:pt>
                <c:pt idx="184">
                  <c:v>0.35848967551622413</c:v>
                </c:pt>
                <c:pt idx="185">
                  <c:v>0.35706772440135148</c:v>
                </c:pt>
                <c:pt idx="186">
                  <c:v>0.35565700907228559</c:v>
                </c:pt>
                <c:pt idx="187">
                  <c:v>0.35425739688092106</c:v>
                </c:pt>
                <c:pt idx="188">
                  <c:v>0.35286875725900119</c:v>
                </c:pt>
                <c:pt idx="189">
                  <c:v>0.35149096167751259</c:v>
                </c:pt>
                <c:pt idx="190">
                  <c:v>0.35012388360702962</c:v>
                </c:pt>
                <c:pt idx="191">
                  <c:v>0.34876739847897831</c:v>
                </c:pt>
                <c:pt idx="192">
                  <c:v>0.34742138364779868</c:v>
                </c:pt>
                <c:pt idx="193">
                  <c:v>0.34608571835397972</c:v>
                </c:pt>
                <c:pt idx="194">
                  <c:v>0.34476028368794326</c:v>
                </c:pt>
                <c:pt idx="195">
                  <c:v>0.34344496255475476</c:v>
                </c:pt>
                <c:pt idx="196">
                  <c:v>0.34213963963963956</c:v>
                </c:pt>
                <c:pt idx="197">
                  <c:v>0.34084420137428129</c:v>
                </c:pt>
                <c:pt idx="198">
                  <c:v>0.33955853590388368</c:v>
                </c:pt>
                <c:pt idx="199">
                  <c:v>0.33828253305497563</c:v>
                </c:pt>
                <c:pt idx="200">
                  <c:v>0.33701608430393781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E6-4E5B-818B-D49CF4A69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859648"/>
        <c:axId val="41875712"/>
      </c:scatterChart>
      <c:valAx>
        <c:axId val="41867520"/>
        <c:scaling>
          <c:orientation val="minMax"/>
          <c:max val="18"/>
          <c:min val="6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200"/>
                  <a:t>Input</a:t>
                </a:r>
                <a:r>
                  <a:rPr lang="en-US" sz="1200" baseline="0"/>
                  <a:t> Voltage (V)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.42044692620593743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41873792"/>
        <c:crosses val="autoZero"/>
        <c:crossBetween val="midCat"/>
      </c:valAx>
      <c:valAx>
        <c:axId val="41873792"/>
        <c:scaling>
          <c:orientation val="minMax"/>
          <c:max val="0.55000000000000004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200">
                    <a:solidFill>
                      <a:srgbClr val="FF0000"/>
                    </a:solidFill>
                  </a:rPr>
                  <a:t>Boost Duty Cycle</a:t>
                </a:r>
              </a:p>
            </c:rich>
          </c:tx>
          <c:layout>
            <c:manualLayout>
              <c:xMode val="edge"/>
              <c:yMode val="edge"/>
              <c:x val="1.7399239437699769E-2"/>
              <c:y val="0.3629036491406316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41867520"/>
        <c:crosses val="autoZero"/>
        <c:crossBetween val="midCat"/>
        <c:majorUnit val="0.1"/>
        <c:minorUnit val="5.000000000000001E-2"/>
      </c:valAx>
      <c:valAx>
        <c:axId val="41875712"/>
        <c:scaling>
          <c:orientation val="minMax"/>
          <c:max val="1.05"/>
          <c:min val="0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200" b="1">
                    <a:solidFill>
                      <a:srgbClr val="0000FF"/>
                    </a:solidFill>
                  </a:defRPr>
                </a:pPr>
                <a:r>
                  <a:rPr lang="en-US" sz="1200" b="1">
                    <a:solidFill>
                      <a:srgbClr val="0000FF"/>
                    </a:solidFill>
                  </a:rPr>
                  <a:t>Buck Duty Cycle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50" b="1">
                <a:solidFill>
                  <a:srgbClr val="0000FF"/>
                </a:solidFill>
              </a:defRPr>
            </a:pPr>
            <a:endParaRPr lang="zh-TW"/>
          </a:p>
        </c:txPr>
        <c:crossAx val="158859648"/>
        <c:crosses val="max"/>
        <c:crossBetween val="midCat"/>
        <c:majorUnit val="0.1"/>
      </c:valAx>
      <c:valAx>
        <c:axId val="1588596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18757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773316184082571"/>
          <c:y val="0.14112903225806453"/>
          <c:w val="0.15360806990759621"/>
          <c:h val="0.107866819066971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 MOSFET Temp Rise</a:t>
            </a:r>
          </a:p>
        </c:rich>
      </c:tx>
      <c:layout>
        <c:manualLayout>
          <c:xMode val="edge"/>
          <c:yMode val="edge"/>
          <c:x val="0.10222965146116514"/>
          <c:y val="5.39717446561783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64104795743185"/>
          <c:y val="0.15757606845026328"/>
          <c:w val="0.85614122031885154"/>
          <c:h val="0.71717313204926625"/>
        </c:manualLayout>
      </c:layout>
      <c:scatterChart>
        <c:scatterStyle val="lineMarker"/>
        <c:varyColors val="0"/>
        <c:ser>
          <c:idx val="0"/>
          <c:order val="0"/>
          <c:tx>
            <c:strRef>
              <c:f>'Efficiency vs Load Calculations'!$BE$8</c:f>
              <c:strCache>
                <c:ptCount val="1"/>
                <c:pt idx="0">
                  <c:v>Boost ''CONTROL'' MOSFET Temp Rise</c:v>
                </c:pt>
              </c:strCache>
            </c:strRef>
          </c:tx>
          <c:spPr>
            <a:ln w="3175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Calculations'!$BE$9:$BE$109</c:f>
              <c:numCache>
                <c:formatCode>0.0</c:formatCode>
                <c:ptCount val="101"/>
                <c:pt idx="0">
                  <c:v>7.0051550737204238</c:v>
                </c:pt>
                <c:pt idx="1">
                  <c:v>7.0137121066852322</c:v>
                </c:pt>
                <c:pt idx="2">
                  <c:v>7.0223868857435985</c:v>
                </c:pt>
                <c:pt idx="3">
                  <c:v>7.0311794113873338</c:v>
                </c:pt>
                <c:pt idx="4">
                  <c:v>7.0400896844361354</c:v>
                </c:pt>
                <c:pt idx="5">
                  <c:v>7.0491177060375829</c:v>
                </c:pt>
                <c:pt idx="6">
                  <c:v>7.0582634776671522</c:v>
                </c:pt>
                <c:pt idx="7">
                  <c:v>7.0675270011282212</c:v>
                </c:pt>
                <c:pt idx="8">
                  <c:v>7.0769082785520858</c:v>
                </c:pt>
                <c:pt idx="9">
                  <c:v>7.0864073123979718</c:v>
                </c:pt>
                <c:pt idx="10">
                  <c:v>7.0960241054530542</c:v>
                </c:pt>
                <c:pt idx="11">
                  <c:v>7.1057586608324765</c:v>
                </c:pt>
                <c:pt idx="12">
                  <c:v>7.1156109819793691</c:v>
                </c:pt>
                <c:pt idx="13">
                  <c:v>7.1255810726648781</c:v>
                </c:pt>
                <c:pt idx="14">
                  <c:v>7.1356689369881892</c:v>
                </c:pt>
                <c:pt idx="15">
                  <c:v>7.145874579376553</c:v>
                </c:pt>
                <c:pt idx="16">
                  <c:v>7.1561980045853204</c:v>
                </c:pt>
                <c:pt idx="17">
                  <c:v>7.1666392176979716</c:v>
                </c:pt>
                <c:pt idx="18">
                  <c:v>7.1771982241261583</c:v>
                </c:pt>
                <c:pt idx="19">
                  <c:v>7.187875029609728</c:v>
                </c:pt>
                <c:pt idx="20">
                  <c:v>7.1986696402167807</c:v>
                </c:pt>
                <c:pt idx="21">
                  <c:v>7.2095820623436957</c:v>
                </c:pt>
                <c:pt idx="22">
                  <c:v>7.2206123027151881</c:v>
                </c:pt>
                <c:pt idx="23">
                  <c:v>7.231760368384343</c:v>
                </c:pt>
                <c:pt idx="24">
                  <c:v>7.2430262667326772</c:v>
                </c:pt>
                <c:pt idx="25">
                  <c:v>7.2544100054701808</c:v>
                </c:pt>
                <c:pt idx="26">
                  <c:v>7.2659115926353781</c:v>
                </c:pt>
                <c:pt idx="27">
                  <c:v>7.2775310365953754</c:v>
                </c:pt>
                <c:pt idx="28">
                  <c:v>7.2892683460459242</c:v>
                </c:pt>
                <c:pt idx="29">
                  <c:v>7.3011235300114814</c:v>
                </c:pt>
                <c:pt idx="30">
                  <c:v>7.3130965978452691</c:v>
                </c:pt>
                <c:pt idx="31">
                  <c:v>7.3251875592293425</c:v>
                </c:pt>
                <c:pt idx="32">
                  <c:v>7.3373964241746554</c:v>
                </c:pt>
                <c:pt idx="33">
                  <c:v>7.3497232030211288</c:v>
                </c:pt>
                <c:pt idx="34">
                  <c:v>7.3621679064377279</c:v>
                </c:pt>
                <c:pt idx="35">
                  <c:v>7.3747305454225236</c:v>
                </c:pt>
                <c:pt idx="36">
                  <c:v>7.3874111313027857</c:v>
                </c:pt>
                <c:pt idx="37">
                  <c:v>7.4002096757350504</c:v>
                </c:pt>
                <c:pt idx="38">
                  <c:v>7.4131261907051993</c:v>
                </c:pt>
                <c:pt idx="39">
                  <c:v>7.4261606885285527</c:v>
                </c:pt>
                <c:pt idx="40">
                  <c:v>7.4393131818499452</c:v>
                </c:pt>
                <c:pt idx="41">
                  <c:v>7.4525836836438186</c:v>
                </c:pt>
                <c:pt idx="42">
                  <c:v>7.4659722072143122</c:v>
                </c:pt>
                <c:pt idx="43">
                  <c:v>7.4794787661953528</c:v>
                </c:pt>
                <c:pt idx="44">
                  <c:v>7.49310337455075</c:v>
                </c:pt>
                <c:pt idx="45">
                  <c:v>7.5068460465742923</c:v>
                </c:pt>
                <c:pt idx="46">
                  <c:v>7.5207067968898498</c:v>
                </c:pt>
                <c:pt idx="47">
                  <c:v>7.534685640451471</c:v>
                </c:pt>
                <c:pt idx="48">
                  <c:v>7.5487825925434882</c:v>
                </c:pt>
                <c:pt idx="49">
                  <c:v>7.5629976687806311</c:v>
                </c:pt>
                <c:pt idx="50">
                  <c:v>7.57733088510812</c:v>
                </c:pt>
                <c:pt idx="51">
                  <c:v>7.5917822578017873</c:v>
                </c:pt>
                <c:pt idx="52">
                  <c:v>7.6063518034681898</c:v>
                </c:pt>
                <c:pt idx="53">
                  <c:v>7.6210395390447232</c:v>
                </c:pt>
                <c:pt idx="54">
                  <c:v>7.6358454817997385</c:v>
                </c:pt>
                <c:pt idx="55">
                  <c:v>7.6507696493326582</c:v>
                </c:pt>
                <c:pt idx="56">
                  <c:v>7.6658120595741082</c:v>
                </c:pt>
                <c:pt idx="57">
                  <c:v>7.6809727307860367</c:v>
                </c:pt>
                <c:pt idx="58">
                  <c:v>7.6962516815618391</c:v>
                </c:pt>
                <c:pt idx="59">
                  <c:v>7.7116489308264899</c:v>
                </c:pt>
                <c:pt idx="60">
                  <c:v>7.7271644978366751</c:v>
                </c:pt>
                <c:pt idx="61">
                  <c:v>7.7427984021809246</c:v>
                </c:pt>
                <c:pt idx="62">
                  <c:v>7.7585506637797463</c:v>
                </c:pt>
                <c:pt idx="63">
                  <c:v>7.7744213028857736</c:v>
                </c:pt>
                <c:pt idx="64">
                  <c:v>7.790410340083894</c:v>
                </c:pt>
                <c:pt idx="65">
                  <c:v>7.8065177962913985</c:v>
                </c:pt>
                <c:pt idx="66">
                  <c:v>7.8227436927581246</c:v>
                </c:pt>
                <c:pt idx="67">
                  <c:v>7.8390880510666143</c:v>
                </c:pt>
                <c:pt idx="68">
                  <c:v>7.8555508931322473</c:v>
                </c:pt>
                <c:pt idx="69">
                  <c:v>7.872132241203408</c:v>
                </c:pt>
                <c:pt idx="70">
                  <c:v>7.8888321178616314</c:v>
                </c:pt>
                <c:pt idx="71">
                  <c:v>7.9056505460217625</c:v>
                </c:pt>
                <c:pt idx="72">
                  <c:v>7.922587548932122</c:v>
                </c:pt>
                <c:pt idx="73">
                  <c:v>7.9396431501746587</c:v>
                </c:pt>
                <c:pt idx="74">
                  <c:v>7.9568173736651184</c:v>
                </c:pt>
                <c:pt idx="75">
                  <c:v>7.9741102436532119</c:v>
                </c:pt>
                <c:pt idx="76">
                  <c:v>7.9915217847227806</c:v>
                </c:pt>
                <c:pt idx="77">
                  <c:v>8.0090520217919696</c:v>
                </c:pt>
                <c:pt idx="78">
                  <c:v>8.0267009801134002</c:v>
                </c:pt>
                <c:pt idx="79">
                  <c:v>8.0444686852743494</c:v>
                </c:pt>
                <c:pt idx="80">
                  <c:v>8.0623551631969246</c:v>
                </c:pt>
                <c:pt idx="81">
                  <c:v>8.080360440138243</c:v>
                </c:pt>
                <c:pt idx="82">
                  <c:v>8.0984845426906151</c:v>
                </c:pt>
                <c:pt idx="83">
                  <c:v>8.1167274977817403</c:v>
                </c:pt>
                <c:pt idx="84">
                  <c:v>8.1350893326748785</c:v>
                </c:pt>
                <c:pt idx="85">
                  <c:v>8.1535700749690534</c:v>
                </c:pt>
                <c:pt idx="86">
                  <c:v>8.1721697525992347</c:v>
                </c:pt>
                <c:pt idx="87">
                  <c:v>8.1908883938365413</c:v>
                </c:pt>
                <c:pt idx="88">
                  <c:v>8.2097260272884345</c:v>
                </c:pt>
                <c:pt idx="89">
                  <c:v>8.2286826818989134</c:v>
                </c:pt>
                <c:pt idx="90">
                  <c:v>8.2477583869487372</c:v>
                </c:pt>
                <c:pt idx="91">
                  <c:v>8.2669531720556009</c:v>
                </c:pt>
                <c:pt idx="92">
                  <c:v>8.2862670671743572</c:v>
                </c:pt>
                <c:pt idx="93">
                  <c:v>8.3057001025972284</c:v>
                </c:pt>
                <c:pt idx="94">
                  <c:v>8.3252523089540151</c:v>
                </c:pt>
                <c:pt idx="95">
                  <c:v>8.3449237172122999</c:v>
                </c:pt>
                <c:pt idx="96">
                  <c:v>8.3647143586776878</c:v>
                </c:pt>
                <c:pt idx="97">
                  <c:v>8.3846242649939988</c:v>
                </c:pt>
                <c:pt idx="98">
                  <c:v>8.4046534681435006</c:v>
                </c:pt>
                <c:pt idx="99">
                  <c:v>8.4248020004471442</c:v>
                </c:pt>
                <c:pt idx="100">
                  <c:v>8.445069894564762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EF-4B1E-B765-E43B65049EC4}"/>
            </c:ext>
          </c:extLst>
        </c:ser>
        <c:ser>
          <c:idx val="1"/>
          <c:order val="1"/>
          <c:tx>
            <c:strRef>
              <c:f>'Efficiency vs Load Calculations'!$BF$8</c:f>
              <c:strCache>
                <c:ptCount val="1"/>
                <c:pt idx="0">
                  <c:v>Boost ''SYNC'' MOSFET Temp Rise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Calculations'!$BF$9:$BF$109</c:f>
              <c:numCache>
                <c:formatCode>0.0</c:formatCode>
                <c:ptCount val="101"/>
                <c:pt idx="0">
                  <c:v>0.42490800000000006</c:v>
                </c:pt>
                <c:pt idx="1">
                  <c:v>0.49213527187146022</c:v>
                </c:pt>
                <c:pt idx="2">
                  <c:v>0.56132883734035122</c:v>
                </c:pt>
                <c:pt idx="3">
                  <c:v>0.63249029747171481</c:v>
                </c:pt>
                <c:pt idx="4">
                  <c:v>0.70562134625926232</c:v>
                </c:pt>
                <c:pt idx="5">
                  <c:v>0.78072377076766963</c:v>
                </c:pt>
                <c:pt idx="6">
                  <c:v>0.85779945128586965</c:v>
                </c:pt>
                <c:pt idx="7">
                  <c:v>0.93685036149136658</c:v>
                </c:pt>
                <c:pt idx="8">
                  <c:v>1.017878568625602</c:v>
                </c:pt>
                <c:pt idx="9">
                  <c:v>1.1008862336804062</c:v>
                </c:pt>
                <c:pt idx="10">
                  <c:v>1.1858756115955691</c:v>
                </c:pt>
                <c:pt idx="11">
                  <c:v>1.2728490514675666</c:v>
                </c:pt>
                <c:pt idx="12">
                  <c:v>1.3618089967694862</c:v>
                </c:pt>
                <c:pt idx="13">
                  <c:v>1.4527579855821871</c:v>
                </c:pt>
                <c:pt idx="14">
                  <c:v>1.5456986508367467</c:v>
                </c:pt>
                <c:pt idx="15">
                  <c:v>1.6406337205682362</c:v>
                </c:pt>
                <c:pt idx="16">
                  <c:v>1.7375660181808763</c:v>
                </c:pt>
                <c:pt idx="17">
                  <c:v>1.8364984627246268</c:v>
                </c:pt>
                <c:pt idx="18">
                  <c:v>1.9374340691832592</c:v>
                </c:pt>
                <c:pt idx="19">
                  <c:v>2.0403759487739821</c:v>
                </c:pt>
                <c:pt idx="20">
                  <c:v>2.1453273092586604</c:v>
                </c:pt>
                <c:pt idx="21">
                  <c:v>2.2522914552667133</c:v>
                </c:pt>
                <c:pt idx="22">
                  <c:v>2.3612717886297352</c:v>
                </c:pt>
                <c:pt idx="23">
                  <c:v>2.4722718087279234</c:v>
                </c:pt>
                <c:pt idx="24">
                  <c:v>2.5852951128483768</c:v>
                </c:pt>
                <c:pt idx="25">
                  <c:v>2.7003453965553352</c:v>
                </c:pt>
                <c:pt idx="26">
                  <c:v>2.8174264540724407</c:v>
                </c:pt>
                <c:pt idx="27">
                  <c:v>2.9365421786771058</c:v>
                </c:pt>
                <c:pt idx="28">
                  <c:v>3.0576965631070494</c:v>
                </c:pt>
                <c:pt idx="29">
                  <c:v>3.1808936999791113</c:v>
                </c:pt>
                <c:pt idx="30">
                  <c:v>3.3061377822204157</c:v>
                </c:pt>
                <c:pt idx="31">
                  <c:v>3.4334331035119701</c:v>
                </c:pt>
                <c:pt idx="32">
                  <c:v>3.5627840587448145</c:v>
                </c:pt>
                <c:pt idx="33">
                  <c:v>3.6941951444887926</c:v>
                </c:pt>
                <c:pt idx="34">
                  <c:v>3.8276709594740588</c:v>
                </c:pt>
                <c:pt idx="35">
                  <c:v>3.9632162050854154</c:v>
                </c:pt>
                <c:pt idx="36">
                  <c:v>4.1008356858695985</c:v>
                </c:pt>
                <c:pt idx="37">
                  <c:v>4.2405343100555895</c:v>
                </c:pt>
                <c:pt idx="38">
                  <c:v>4.3823170900881152</c:v>
                </c:pt>
                <c:pt idx="39">
                  <c:v>4.5261891431743857</c:v>
                </c:pt>
                <c:pt idx="40">
                  <c:v>4.6721556918442566</c:v>
                </c:pt>
                <c:pt idx="41">
                  <c:v>4.8202220645238727</c:v>
                </c:pt>
                <c:pt idx="42">
                  <c:v>4.9703936961229687</c:v>
                </c:pt>
                <c:pt idx="43">
                  <c:v>5.1226761286359199</c:v>
                </c:pt>
                <c:pt idx="44">
                  <c:v>5.277075011756688</c:v>
                </c:pt>
                <c:pt idx="45">
                  <c:v>5.4335961035078073</c:v>
                </c:pt>
                <c:pt idx="46">
                  <c:v>5.592245270883514</c:v>
                </c:pt>
                <c:pt idx="47">
                  <c:v>5.7530284905072042</c:v>
                </c:pt>
                <c:pt idx="48">
                  <c:v>5.9159518493033278</c:v>
                </c:pt>
                <c:pt idx="49">
                  <c:v>6.0810215451839005</c:v>
                </c:pt>
                <c:pt idx="50">
                  <c:v>6.2482438877497399</c:v>
                </c:pt>
                <c:pt idx="51">
                  <c:v>6.4176252990066436</c:v>
                </c:pt>
                <c:pt idx="52">
                  <c:v>6.5891723140966096</c:v>
                </c:pt>
                <c:pt idx="53">
                  <c:v>6.762891582044305</c:v>
                </c:pt>
                <c:pt idx="54">
                  <c:v>6.9387898665189205</c:v>
                </c:pt>
                <c:pt idx="55">
                  <c:v>7.1168740466115974</c:v>
                </c:pt>
                <c:pt idx="56">
                  <c:v>7.297151117628621</c:v>
                </c:pt>
                <c:pt idx="57">
                  <c:v>7.4796281919005043</c:v>
                </c:pt>
                <c:pt idx="58">
                  <c:v>7.6643124996072185</c:v>
                </c:pt>
                <c:pt idx="59">
                  <c:v>7.851211389619678</c:v>
                </c:pt>
                <c:pt idx="60">
                  <c:v>8.040332330357769</c:v>
                </c:pt>
                <c:pt idx="61">
                  <c:v>8.231682910665004</c:v>
                </c:pt>
                <c:pt idx="62">
                  <c:v>8.4252708407001222</c:v>
                </c:pt>
                <c:pt idx="63">
                  <c:v>8.6211039528457345</c:v>
                </c:pt>
                <c:pt idx="64">
                  <c:v>8.8191902026342905</c:v>
                </c:pt>
                <c:pt idx="65">
                  <c:v>9.0195376696915908</c:v>
                </c:pt>
                <c:pt idx="66">
                  <c:v>9.2221545586979872</c:v>
                </c:pt>
                <c:pt idx="67">
                  <c:v>9.4270492003675699</c:v>
                </c:pt>
                <c:pt idx="68">
                  <c:v>9.6342300524455613</c:v>
                </c:pt>
                <c:pt idx="69">
                  <c:v>9.8437057007241187</c:v>
                </c:pt>
                <c:pt idx="70">
                  <c:v>10.055484860076799</c:v>
                </c:pt>
                <c:pt idx="71">
                  <c:v>10.269576375511949</c:v>
                </c:pt>
                <c:pt idx="72">
                  <c:v>10.48598922324525</c:v>
                </c:pt>
                <c:pt idx="73">
                  <c:v>10.704732511791676</c:v>
                </c:pt>
                <c:pt idx="74">
                  <c:v>10.925815483077146</c:v>
                </c:pt>
                <c:pt idx="75">
                  <c:v>11.149247513570101</c:v>
                </c:pt>
                <c:pt idx="76">
                  <c:v>11.375038115433309</c:v>
                </c:pt>
                <c:pt idx="77">
                  <c:v>11.603196937696168</c:v>
                </c:pt>
                <c:pt idx="78">
                  <c:v>11.833733767447793</c:v>
                </c:pt>
                <c:pt idx="79">
                  <c:v>12.066658531051159</c:v>
                </c:pt>
                <c:pt idx="80">
                  <c:v>12.301981295378621</c:v>
                </c:pt>
                <c:pt idx="81">
                  <c:v>12.539712269069117</c:v>
                </c:pt>
                <c:pt idx="82">
                  <c:v>12.779861803807311</c:v>
                </c:pt>
                <c:pt idx="83">
                  <c:v>13.02244039562509</c:v>
                </c:pt>
                <c:pt idx="84">
                  <c:v>13.267458686225627</c:v>
                </c:pt>
                <c:pt idx="85">
                  <c:v>13.514927464330414</c:v>
                </c:pt>
                <c:pt idx="86">
                  <c:v>13.764857667049572</c:v>
                </c:pt>
                <c:pt idx="87">
                  <c:v>14.017260381275808</c:v>
                </c:pt>
                <c:pt idx="88">
                  <c:v>14.272146845102316</c:v>
                </c:pt>
                <c:pt idx="89">
                  <c:v>14.529528449265039</c:v>
                </c:pt>
                <c:pt idx="90">
                  <c:v>14.789416738609626</c:v>
                </c:pt>
                <c:pt idx="91">
                  <c:v>15.051823413583449</c:v>
                </c:pt>
                <c:pt idx="92">
                  <c:v>15.316760331753114</c:v>
                </c:pt>
                <c:pt idx="93">
                  <c:v>15.584239509347753</c:v>
                </c:pt>
                <c:pt idx="94">
                  <c:v>15.854273122828635</c:v>
                </c:pt>
                <c:pt idx="95">
                  <c:v>16.126873510485346</c:v>
                </c:pt>
                <c:pt idx="96">
                  <c:v>16.402053174059098</c:v>
                </c:pt>
                <c:pt idx="97">
                  <c:v>16.679824780393488</c:v>
                </c:pt>
                <c:pt idx="98">
                  <c:v>16.960201163113162</c:v>
                </c:pt>
                <c:pt idx="99">
                  <c:v>17.243195324330848</c:v>
                </c:pt>
                <c:pt idx="100">
                  <c:v>17.528820436383242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EF-4B1E-B765-E43B65049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35360"/>
        <c:axId val="158337280"/>
      </c:scatterChart>
      <c:valAx>
        <c:axId val="158335360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052333022741466"/>
              <c:y val="0.937985266634570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337280"/>
        <c:crosses val="autoZero"/>
        <c:crossBetween val="midCat"/>
      </c:valAx>
      <c:valAx>
        <c:axId val="1583372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Temperature (</a:t>
                </a:r>
                <a:r>
                  <a:rPr lang="en-US" sz="1100">
                    <a:sym typeface="Symbol"/>
                  </a:rPr>
                  <a:t></a:t>
                </a:r>
                <a:r>
                  <a:rPr lang="en-US" sz="1100"/>
                  <a:t>C)</a:t>
                </a:r>
              </a:p>
            </c:rich>
          </c:tx>
          <c:layout>
            <c:manualLayout>
              <c:xMode val="edge"/>
              <c:yMode val="edge"/>
              <c:x val="1.3813487878384515E-2"/>
              <c:y val="0.403849932959563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335360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60965366061085946"/>
          <c:y val="2.0620499360656842E-2"/>
          <c:w val="0.351320840481532"/>
          <c:h val="9.860752613023962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/>
              <a:t>MOSFET &amp;</a:t>
            </a:r>
            <a:r>
              <a:rPr lang="en-US" sz="1200" baseline="0"/>
              <a:t> Inductor</a:t>
            </a:r>
            <a:r>
              <a:rPr lang="en-US" sz="1200"/>
              <a:t> Power Dissipation</a:t>
            </a:r>
          </a:p>
        </c:rich>
      </c:tx>
      <c:layout>
        <c:manualLayout>
          <c:xMode val="edge"/>
          <c:yMode val="edge"/>
          <c:x val="0.13740051025090394"/>
          <c:y val="4.9059139784946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00636942675162"/>
          <c:y val="0.15927440521547717"/>
          <c:w val="0.8471337579617837"/>
          <c:h val="0.70362972493790654"/>
        </c:manualLayout>
      </c:layout>
      <c:scatterChart>
        <c:scatterStyle val="lineMarker"/>
        <c:varyColors val="0"/>
        <c:ser>
          <c:idx val="2"/>
          <c:order val="0"/>
          <c:tx>
            <c:strRef>
              <c:f>'Efficiency vs Load Calculations'!$BK$8</c:f>
              <c:strCache>
                <c:ptCount val="1"/>
                <c:pt idx="0">
                  <c:v>Boost ''Control'' MOSFET Loss</c:v>
                </c:pt>
              </c:strCache>
            </c:strRef>
          </c:tx>
          <c:spPr>
            <a:ln w="25400">
              <a:solidFill>
                <a:srgbClr val="000080"/>
              </a:solidFill>
              <a:prstDash val="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Calculations'!$BK$9:$BK$109</c:f>
              <c:numCache>
                <c:formatCode>0.000</c:formatCode>
                <c:ptCount val="101"/>
                <c:pt idx="0">
                  <c:v>0.1207785357538004</c:v>
                </c:pt>
                <c:pt idx="1">
                  <c:v>0.1209260708049178</c:v>
                </c:pt>
                <c:pt idx="2">
                  <c:v>0.12107563596109652</c:v>
                </c:pt>
                <c:pt idx="3">
                  <c:v>0.12122723123081609</c:v>
                </c:pt>
                <c:pt idx="4">
                  <c:v>0.12138085662820923</c:v>
                </c:pt>
                <c:pt idx="5">
                  <c:v>0.12153651217306177</c:v>
                </c:pt>
                <c:pt idx="6">
                  <c:v>0.12169419789081297</c:v>
                </c:pt>
                <c:pt idx="7">
                  <c:v>0.12185391381255554</c:v>
                </c:pt>
                <c:pt idx="8">
                  <c:v>0.12201565997503597</c:v>
                </c:pt>
                <c:pt idx="9">
                  <c:v>0.12217943642065468</c:v>
                </c:pt>
                <c:pt idx="10">
                  <c:v>0.12234524319746645</c:v>
                </c:pt>
                <c:pt idx="11">
                  <c:v>0.12251308035918063</c:v>
                </c:pt>
                <c:pt idx="12">
                  <c:v>0.12268294796516153</c:v>
                </c:pt>
                <c:pt idx="13">
                  <c:v>0.12285484608042893</c:v>
                </c:pt>
                <c:pt idx="14">
                  <c:v>0.12302877477565843</c:v>
                </c:pt>
                <c:pt idx="15">
                  <c:v>0.12320473412718196</c:v>
                </c:pt>
                <c:pt idx="16">
                  <c:v>0.12338272421698829</c:v>
                </c:pt>
                <c:pt idx="17">
                  <c:v>0.12356274513272365</c:v>
                </c:pt>
                <c:pt idx="18">
                  <c:v>0.12374479696769239</c:v>
                </c:pt>
                <c:pt idx="19">
                  <c:v>0.12392887982085737</c:v>
                </c:pt>
                <c:pt idx="20">
                  <c:v>0.12411499379684104</c:v>
                </c:pt>
                <c:pt idx="21">
                  <c:v>0.12430313900592579</c:v>
                </c:pt>
                <c:pt idx="22">
                  <c:v>0.12449331556405496</c:v>
                </c:pt>
                <c:pt idx="23">
                  <c:v>0.1246855235928335</c:v>
                </c:pt>
                <c:pt idx="24">
                  <c:v>0.12487976321952891</c:v>
                </c:pt>
                <c:pt idx="25">
                  <c:v>0.12507603457707209</c:v>
                </c:pt>
                <c:pt idx="26">
                  <c:v>0.12527433780405825</c:v>
                </c:pt>
                <c:pt idx="27">
                  <c:v>0.12547467304474785</c:v>
                </c:pt>
                <c:pt idx="28">
                  <c:v>0.12567704044906766</c:v>
                </c:pt>
                <c:pt idx="29">
                  <c:v>0.12588144017261174</c:v>
                </c:pt>
                <c:pt idx="30">
                  <c:v>0.12608787237664257</c:v>
                </c:pt>
                <c:pt idx="31">
                  <c:v>0.12629633722809211</c:v>
                </c:pt>
                <c:pt idx="32">
                  <c:v>0.12650683489956302</c:v>
                </c:pt>
                <c:pt idx="33">
                  <c:v>0.12671936556932981</c:v>
                </c:pt>
                <c:pt idx="34">
                  <c:v>0.12693392942134013</c:v>
                </c:pt>
                <c:pt idx="35">
                  <c:v>0.12715052664521592</c:v>
                </c:pt>
                <c:pt idx="36">
                  <c:v>0.12736915743625493</c:v>
                </c:pt>
                <c:pt idx="37">
                  <c:v>0.1275898219954319</c:v>
                </c:pt>
                <c:pt idx="38">
                  <c:v>0.12781252052939998</c:v>
                </c:pt>
                <c:pt idx="39">
                  <c:v>0.12803725325049228</c:v>
                </c:pt>
                <c:pt idx="40">
                  <c:v>0.12826402037672319</c:v>
                </c:pt>
                <c:pt idx="41">
                  <c:v>0.12849282213178997</c:v>
                </c:pt>
                <c:pt idx="42">
                  <c:v>0.12872365874507435</c:v>
                </c:pt>
                <c:pt idx="43">
                  <c:v>0.12895653045164401</c:v>
                </c:pt>
                <c:pt idx="44">
                  <c:v>0.12919143749225431</c:v>
                </c:pt>
                <c:pt idx="45">
                  <c:v>0.12942838011334987</c:v>
                </c:pt>
                <c:pt idx="46">
                  <c:v>0.12966735856706638</c:v>
                </c:pt>
                <c:pt idx="47">
                  <c:v>0.12990837311123227</c:v>
                </c:pt>
                <c:pt idx="48">
                  <c:v>0.13015142400937049</c:v>
                </c:pt>
                <c:pt idx="49">
                  <c:v>0.13039651153070053</c:v>
                </c:pt>
                <c:pt idx="50">
                  <c:v>0.13064363595014</c:v>
                </c:pt>
                <c:pt idx="51">
                  <c:v>0.13089279754830668</c:v>
                </c:pt>
                <c:pt idx="52">
                  <c:v>0.13114399661152051</c:v>
                </c:pt>
                <c:pt idx="53">
                  <c:v>0.13139723343180557</c:v>
                </c:pt>
                <c:pt idx="54">
                  <c:v>0.13165250830689204</c:v>
                </c:pt>
                <c:pt idx="55">
                  <c:v>0.13190982154021824</c:v>
                </c:pt>
                <c:pt idx="56">
                  <c:v>0.1321691734409329</c:v>
                </c:pt>
                <c:pt idx="57">
                  <c:v>0.13243056432389719</c:v>
                </c:pt>
                <c:pt idx="58">
                  <c:v>0.13269399450968689</c:v>
                </c:pt>
                <c:pt idx="59">
                  <c:v>0.13295946432459466</c:v>
                </c:pt>
                <c:pt idx="60">
                  <c:v>0.13322697410063233</c:v>
                </c:pt>
                <c:pt idx="61">
                  <c:v>0.13349652417553318</c:v>
                </c:pt>
                <c:pt idx="62">
                  <c:v>0.13376811489275425</c:v>
                </c:pt>
                <c:pt idx="63">
                  <c:v>0.13404174660147886</c:v>
                </c:pt>
                <c:pt idx="64">
                  <c:v>0.13431741965661886</c:v>
                </c:pt>
                <c:pt idx="65">
                  <c:v>0.13459513441881721</c:v>
                </c:pt>
                <c:pt idx="66">
                  <c:v>0.13487489125445043</c:v>
                </c:pt>
                <c:pt idx="67">
                  <c:v>0.13515669053563129</c:v>
                </c:pt>
                <c:pt idx="68">
                  <c:v>0.13544053264021116</c:v>
                </c:pt>
                <c:pt idx="69">
                  <c:v>0.13572641795178289</c:v>
                </c:pt>
                <c:pt idx="70">
                  <c:v>0.1360143468596833</c:v>
                </c:pt>
                <c:pt idx="71">
                  <c:v>0.1363043197589959</c:v>
                </c:pt>
                <c:pt idx="72">
                  <c:v>0.13659633705055382</c:v>
                </c:pt>
                <c:pt idx="73">
                  <c:v>0.13689039914094239</c:v>
                </c:pt>
                <c:pt idx="74">
                  <c:v>0.13718650644250205</c:v>
                </c:pt>
                <c:pt idx="75">
                  <c:v>0.13748465937333124</c:v>
                </c:pt>
                <c:pt idx="76">
                  <c:v>0.13778485835728932</c:v>
                </c:pt>
                <c:pt idx="77">
                  <c:v>0.13808710382399947</c:v>
                </c:pt>
                <c:pt idx="78">
                  <c:v>0.13839139620885174</c:v>
                </c:pt>
                <c:pt idx="79">
                  <c:v>0.13869773595300602</c:v>
                </c:pt>
                <c:pt idx="80">
                  <c:v>0.13900612350339525</c:v>
                </c:pt>
                <c:pt idx="81">
                  <c:v>0.13931655931272832</c:v>
                </c:pt>
                <c:pt idx="82">
                  <c:v>0.13962904383949337</c:v>
                </c:pt>
                <c:pt idx="83">
                  <c:v>0.13994357754796105</c:v>
                </c:pt>
                <c:pt idx="84">
                  <c:v>0.14026016090818758</c:v>
                </c:pt>
                <c:pt idx="85">
                  <c:v>0.14057879439601817</c:v>
                </c:pt>
                <c:pt idx="86">
                  <c:v>0.14089947849309026</c:v>
                </c:pt>
                <c:pt idx="87">
                  <c:v>0.14122221368683691</c:v>
                </c:pt>
                <c:pt idx="88">
                  <c:v>0.14154700047049024</c:v>
                </c:pt>
                <c:pt idx="89">
                  <c:v>0.14187383934308473</c:v>
                </c:pt>
                <c:pt idx="90">
                  <c:v>0.142202730809461</c:v>
                </c:pt>
                <c:pt idx="91">
                  <c:v>0.14253367538026898</c:v>
                </c:pt>
                <c:pt idx="92">
                  <c:v>0.14286667357197169</c:v>
                </c:pt>
                <c:pt idx="93">
                  <c:v>0.14320172590684876</c:v>
                </c:pt>
                <c:pt idx="94">
                  <c:v>0.14353883291300026</c:v>
                </c:pt>
                <c:pt idx="95">
                  <c:v>0.14387799512435001</c:v>
                </c:pt>
                <c:pt idx="96">
                  <c:v>0.14421921308064978</c:v>
                </c:pt>
                <c:pt idx="97">
                  <c:v>0.14456248732748272</c:v>
                </c:pt>
                <c:pt idx="98">
                  <c:v>0.14490781841626726</c:v>
                </c:pt>
                <c:pt idx="99">
                  <c:v>0.14525520690426111</c:v>
                </c:pt>
                <c:pt idx="100">
                  <c:v>0.14560465335456485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A8-42F2-9E8C-4AC28D4F752D}"/>
            </c:ext>
          </c:extLst>
        </c:ser>
        <c:ser>
          <c:idx val="3"/>
          <c:order val="1"/>
          <c:tx>
            <c:strRef>
              <c:f>'Efficiency vs Load Calculations'!$BL$8</c:f>
              <c:strCache>
                <c:ptCount val="1"/>
                <c:pt idx="0">
                  <c:v>Boost ''SYNC'' MOSFET Loss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Calculations'!$BL$9:$BL$109</c:f>
              <c:numCache>
                <c:formatCode>0.000</c:formatCode>
                <c:ptCount val="101"/>
                <c:pt idx="0">
                  <c:v>7.3260000000000009E-3</c:v>
                </c:pt>
                <c:pt idx="1">
                  <c:v>8.4850908943355213E-3</c:v>
                </c:pt>
                <c:pt idx="2">
                  <c:v>9.678083402419848E-3</c:v>
                </c:pt>
                <c:pt idx="3">
                  <c:v>1.090500512882267E-2</c:v>
                </c:pt>
                <c:pt idx="4">
                  <c:v>1.216588528033211E-2</c:v>
                </c:pt>
                <c:pt idx="5">
                  <c:v>1.3460754668408096E-2</c:v>
                </c:pt>
                <c:pt idx="6">
                  <c:v>1.4789645711825339E-2</c:v>
                </c:pt>
                <c:pt idx="7">
                  <c:v>1.6152592439506321E-2</c:v>
                </c:pt>
                <c:pt idx="8">
                  <c:v>1.7549630493544861E-2</c:v>
                </c:pt>
                <c:pt idx="9">
                  <c:v>1.8980797132420797E-2</c:v>
                </c:pt>
                <c:pt idx="10">
                  <c:v>2.0446131234406362E-2</c:v>
                </c:pt>
                <c:pt idx="11">
                  <c:v>2.1945673301164939E-2</c:v>
                </c:pt>
                <c:pt idx="12">
                  <c:v>2.3479465461542864E-2</c:v>
                </c:pt>
                <c:pt idx="13">
                  <c:v>2.5047551475554951E-2</c:v>
                </c:pt>
                <c:pt idx="14">
                  <c:v>2.6649976738564601E-2</c:v>
                </c:pt>
                <c:pt idx="15">
                  <c:v>2.8286788285659243E-2</c:v>
                </c:pt>
                <c:pt idx="16">
                  <c:v>2.9958034796222006E-2</c:v>
                </c:pt>
                <c:pt idx="17">
                  <c:v>3.166376659870046E-2</c:v>
                </c:pt>
                <c:pt idx="18">
                  <c:v>3.3404035675573436E-2</c:v>
                </c:pt>
                <c:pt idx="19">
                  <c:v>3.5178895668516931E-2</c:v>
                </c:pt>
                <c:pt idx="20">
                  <c:v>3.6988401883770006E-2</c:v>
                </c:pt>
                <c:pt idx="21">
                  <c:v>3.8832611297701949E-2</c:v>
                </c:pt>
                <c:pt idx="22">
                  <c:v>4.0711582562581644E-2</c:v>
                </c:pt>
                <c:pt idx="23">
                  <c:v>4.2625376012550405E-2</c:v>
                </c:pt>
                <c:pt idx="24">
                  <c:v>4.45740536697996E-2</c:v>
                </c:pt>
                <c:pt idx="25">
                  <c:v>4.6557679250954054E-2</c:v>
                </c:pt>
                <c:pt idx="26">
                  <c:v>4.8576318173662772E-2</c:v>
                </c:pt>
                <c:pt idx="27">
                  <c:v>5.0630037563398372E-2</c:v>
                </c:pt>
                <c:pt idx="28">
                  <c:v>5.2718906260466367E-2</c:v>
                </c:pt>
                <c:pt idx="29">
                  <c:v>5.4842994827226058E-2</c:v>
                </c:pt>
                <c:pt idx="30">
                  <c:v>5.7002375555524405E-2</c:v>
                </c:pt>
                <c:pt idx="31">
                  <c:v>5.9197122474344312E-2</c:v>
                </c:pt>
                <c:pt idx="32">
                  <c:v>6.1427311357669219E-2</c:v>
                </c:pt>
                <c:pt idx="33">
                  <c:v>6.3693019732565387E-2</c:v>
                </c:pt>
                <c:pt idx="34">
                  <c:v>6.5994326887483773E-2</c:v>
                </c:pt>
                <c:pt idx="35">
                  <c:v>6.8331313880783021E-2</c:v>
                </c:pt>
                <c:pt idx="36">
                  <c:v>7.0704063549475837E-2</c:v>
                </c:pt>
                <c:pt idx="37">
                  <c:v>7.3112660518199812E-2</c:v>
                </c:pt>
                <c:pt idx="38">
                  <c:v>7.555719120841578E-2</c:v>
                </c:pt>
                <c:pt idx="39">
                  <c:v>7.803774384783424E-2</c:v>
                </c:pt>
                <c:pt idx="40">
                  <c:v>8.0554408480073392E-2</c:v>
                </c:pt>
                <c:pt idx="41">
                  <c:v>8.3107276974549532E-2</c:v>
                </c:pt>
                <c:pt idx="42">
                  <c:v>8.5696443036602912E-2</c:v>
                </c:pt>
                <c:pt idx="43">
                  <c:v>8.8322002217860685E-2</c:v>
                </c:pt>
                <c:pt idx="44">
                  <c:v>9.0984051926839449E-2</c:v>
                </c:pt>
                <c:pt idx="45">
                  <c:v>9.3682691439789786E-2</c:v>
                </c:pt>
                <c:pt idx="46">
                  <c:v>9.6418021911784724E-2</c:v>
                </c:pt>
                <c:pt idx="47">
                  <c:v>9.9190146388055248E-2</c:v>
                </c:pt>
                <c:pt idx="48">
                  <c:v>0.10199916981557462</c:v>
                </c:pt>
                <c:pt idx="49">
                  <c:v>0.10484519905489484</c:v>
                </c:pt>
                <c:pt idx="50">
                  <c:v>0.1077283428922369</c:v>
                </c:pt>
                <c:pt idx="51">
                  <c:v>0.11064871205183868</c:v>
                </c:pt>
                <c:pt idx="52">
                  <c:v>0.11360641920856224</c:v>
                </c:pt>
                <c:pt idx="53">
                  <c:v>0.11660157900076387</c:v>
                </c:pt>
                <c:pt idx="54">
                  <c:v>0.11963430804342966</c:v>
                </c:pt>
                <c:pt idx="55">
                  <c:v>0.12270472494157926</c:v>
                </c:pt>
                <c:pt idx="56">
                  <c:v>0.12581295030394174</c:v>
                </c:pt>
                <c:pt idx="57">
                  <c:v>0.12895910675690525</c:v>
                </c:pt>
                <c:pt idx="58">
                  <c:v>0.13214331895874515</c:v>
                </c:pt>
                <c:pt idx="59">
                  <c:v>0.13536571361413238</c:v>
                </c:pt>
                <c:pt idx="60">
                  <c:v>0.13862641948892704</c:v>
                </c:pt>
                <c:pt idx="61">
                  <c:v>0.14192556742525869</c:v>
                </c:pt>
                <c:pt idx="62">
                  <c:v>0.14526329035689867</c:v>
                </c:pt>
                <c:pt idx="63">
                  <c:v>0.14863972332492645</c:v>
                </c:pt>
                <c:pt idx="64">
                  <c:v>0.15205500349369466</c:v>
                </c:pt>
                <c:pt idx="65">
                  <c:v>0.1555092701670964</c:v>
                </c:pt>
                <c:pt idx="66">
                  <c:v>0.15900266480513769</c:v>
                </c:pt>
                <c:pt idx="67">
                  <c:v>0.16253533104082016</c:v>
                </c:pt>
                <c:pt idx="68">
                  <c:v>0.16610741469733725</c:v>
                </c:pt>
                <c:pt idx="69">
                  <c:v>0.16971906380558827</c:v>
                </c:pt>
                <c:pt idx="70">
                  <c:v>0.17337042862201377</c:v>
                </c:pt>
                <c:pt idx="71">
                  <c:v>0.17706166164675774</c:v>
                </c:pt>
                <c:pt idx="72">
                  <c:v>0.18079291764215949</c:v>
                </c:pt>
                <c:pt idx="73">
                  <c:v>0.18456435365158061</c:v>
                </c:pt>
                <c:pt idx="74">
                  <c:v>0.18837612901857148</c:v>
                </c:pt>
                <c:pt idx="75">
                  <c:v>0.19222840540638106</c:v>
                </c:pt>
                <c:pt idx="76">
                  <c:v>0.19612134681781568</c:v>
                </c:pt>
                <c:pt idx="77">
                  <c:v>0.20005511961545119</c:v>
                </c:pt>
                <c:pt idx="78">
                  <c:v>0.20402989254220333</c:v>
                </c:pt>
                <c:pt idx="79">
                  <c:v>0.20804583674226135</c:v>
                </c:pt>
                <c:pt idx="80">
                  <c:v>0.21210312578239002</c:v>
                </c:pt>
                <c:pt idx="81">
                  <c:v>0.21620193567360546</c:v>
                </c:pt>
                <c:pt idx="82">
                  <c:v>0.22034244489322949</c:v>
                </c:pt>
                <c:pt idx="83">
                  <c:v>0.22452483440732912</c:v>
                </c:pt>
                <c:pt idx="84">
                  <c:v>0.2287492876935453</c:v>
                </c:pt>
                <c:pt idx="85">
                  <c:v>0.23301599076431748</c:v>
                </c:pt>
                <c:pt idx="86">
                  <c:v>0.23732513219050985</c:v>
                </c:pt>
                <c:pt idx="87">
                  <c:v>0.24167690312544496</c:v>
                </c:pt>
                <c:pt idx="88">
                  <c:v>0.2460714973293503</c:v>
                </c:pt>
                <c:pt idx="89">
                  <c:v>0.25050911119422481</c:v>
                </c:pt>
                <c:pt idx="90">
                  <c:v>0.25498994376913148</c:v>
                </c:pt>
                <c:pt idx="91">
                  <c:v>0.25951419678592152</c:v>
                </c:pt>
                <c:pt idx="92">
                  <c:v>0.26408207468539852</c:v>
                </c:pt>
                <c:pt idx="93">
                  <c:v>0.26869378464392679</c:v>
                </c:pt>
                <c:pt idx="94">
                  <c:v>0.27334953660049371</c:v>
                </c:pt>
                <c:pt idx="95">
                  <c:v>0.27804954328423009</c:v>
                </c:pt>
                <c:pt idx="96">
                  <c:v>0.28279402024239825</c:v>
                </c:pt>
                <c:pt idx="97">
                  <c:v>0.28758318586885323</c:v>
                </c:pt>
                <c:pt idx="98">
                  <c:v>0.29241726143298558</c:v>
                </c:pt>
                <c:pt idx="99">
                  <c:v>0.29729647110915258</c:v>
                </c:pt>
                <c:pt idx="100">
                  <c:v>0.3022210420066076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A8-42F2-9E8C-4AC28D4F752D}"/>
            </c:ext>
          </c:extLst>
        </c:ser>
        <c:ser>
          <c:idx val="0"/>
          <c:order val="2"/>
          <c:tx>
            <c:v>Inductor Loss</c:v>
          </c:tx>
          <c:spPr>
            <a:ln w="31750">
              <a:solidFill>
                <a:srgbClr val="FF6600"/>
              </a:solidFill>
              <a:prstDash val="lgDash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Calculations'!$T$9:$T$109</c:f>
              <c:numCache>
                <c:formatCode>0.000</c:formatCode>
                <c:ptCount val="101"/>
                <c:pt idx="0">
                  <c:v>0</c:v>
                </c:pt>
                <c:pt idx="1">
                  <c:v>2.3675044931614523E-5</c:v>
                </c:pt>
                <c:pt idx="2">
                  <c:v>9.470071781695793E-5</c:v>
                </c:pt>
                <c:pt idx="3">
                  <c:v>2.1307863295810459E-4</c:v>
                </c:pt>
                <c:pt idx="4">
                  <c:v>3.7881148096043121E-4</c:v>
                </c:pt>
                <c:pt idx="5">
                  <c:v>5.9190302888550679E-4</c:v>
                </c:pt>
                <c:pt idx="6">
                  <c:v>8.5235812046516226E-4</c:v>
                </c:pt>
                <c:pt idx="7">
                  <c:v>1.1601826763767615E-3</c:v>
                </c:pt>
                <c:pt idx="8">
                  <c:v>1.5153836945797008E-3</c:v>
                </c:pt>
                <c:pt idx="9">
                  <c:v>1.9179692507131797E-3</c:v>
                </c:pt>
                <c:pt idx="10">
                  <c:v>2.3679484985552764E-3</c:v>
                </c:pt>
                <c:pt idx="11">
                  <c:v>2.8653316705433808E-3</c:v>
                </c:pt>
                <c:pt idx="12">
                  <c:v>3.4101300783560399E-3</c:v>
                </c:pt>
                <c:pt idx="13">
                  <c:v>4.0023561135562862E-3</c:v>
                </c:pt>
                <c:pt idx="14">
                  <c:v>4.6420232482964896E-3</c:v>
                </c:pt>
                <c:pt idx="15">
                  <c:v>5.3291460360848459E-3</c:v>
                </c:pt>
                <c:pt idx="16">
                  <c:v>6.0637401126135615E-3</c:v>
                </c:pt>
                <c:pt idx="17">
                  <c:v>6.8458221966488106E-3</c:v>
                </c:pt>
                <c:pt idx="18">
                  <c:v>7.6754100909825866E-3</c:v>
                </c:pt>
                <c:pt idx="19">
                  <c:v>8.5525226834465493E-3</c:v>
                </c:pt>
                <c:pt idx="20">
                  <c:v>9.4771799479879161E-3</c:v>
                </c:pt>
                <c:pt idx="21">
                  <c:v>1.0449402945807625E-2</c:v>
                </c:pt>
                <c:pt idx="22">
                  <c:v>1.1469213826560758E-2</c:v>
                </c:pt>
                <c:pt idx="23">
                  <c:v>1.2536635829619473E-2</c:v>
                </c:pt>
                <c:pt idx="24">
                  <c:v>1.3651693285398487E-2</c:v>
                </c:pt>
                <c:pt idx="25">
                  <c:v>1.4814411616743317E-2</c:v>
                </c:pt>
                <c:pt idx="26">
                  <c:v>1.6024817340381359E-2</c:v>
                </c:pt>
                <c:pt idx="27">
                  <c:v>1.7282938068436057E-2</c:v>
                </c:pt>
                <c:pt idx="28">
                  <c:v>1.8588802510004221E-2</c:v>
                </c:pt>
                <c:pt idx="29">
                  <c:v>1.9942440472796707E-2</c:v>
                </c:pt>
                <c:pt idx="30">
                  <c:v>2.1343882864842702E-2</c:v>
                </c:pt>
                <c:pt idx="31">
                  <c:v>2.2793161696257617E-2</c:v>
                </c:pt>
                <c:pt idx="32">
                  <c:v>2.4290310081074989E-2</c:v>
                </c:pt>
                <c:pt idx="33">
                  <c:v>2.5835362239142443E-2</c:v>
                </c:pt>
                <c:pt idx="34">
                  <c:v>2.7428353498081971E-2</c:v>
                </c:pt>
                <c:pt idx="35">
                  <c:v>2.9069320295314713E-2</c:v>
                </c:pt>
                <c:pt idx="36">
                  <c:v>3.0758300180150557E-2</c:v>
                </c:pt>
                <c:pt idx="37">
                  <c:v>3.2495331815942538E-2</c:v>
                </c:pt>
                <c:pt idx="38">
                  <c:v>3.4280454982306606E-2</c:v>
                </c:pt>
                <c:pt idx="39">
                  <c:v>3.6113710577406685E-2</c:v>
                </c:pt>
                <c:pt idx="40">
                  <c:v>3.7995140620305519E-2</c:v>
                </c:pt>
                <c:pt idx="41">
                  <c:v>3.9924788253381374E-2</c:v>
                </c:pt>
                <c:pt idx="42">
                  <c:v>4.1902697744810959E-2</c:v>
                </c:pt>
                <c:pt idx="43">
                  <c:v>4.3928914491118749E-2</c:v>
                </c:pt>
                <c:pt idx="44">
                  <c:v>4.6003485019793192E-2</c:v>
                </c:pt>
                <c:pt idx="45">
                  <c:v>4.812645699196974E-2</c:v>
                </c:pt>
                <c:pt idx="46">
                  <c:v>5.0297879205181306E-2</c:v>
                </c:pt>
                <c:pt idx="47">
                  <c:v>5.2517801596176319E-2</c:v>
                </c:pt>
                <c:pt idx="48">
                  <c:v>5.4786275243804625E-2</c:v>
                </c:pt>
                <c:pt idx="49">
                  <c:v>5.7103352371971693E-2</c:v>
                </c:pt>
                <c:pt idx="50">
                  <c:v>5.9469086352661266E-2</c:v>
                </c:pt>
                <c:pt idx="51">
                  <c:v>6.1883531709026912E-2</c:v>
                </c:pt>
                <c:pt idx="52">
                  <c:v>6.434674411855297E-2</c:v>
                </c:pt>
                <c:pt idx="53">
                  <c:v>6.6858780416284652E-2</c:v>
                </c:pt>
                <c:pt idx="54">
                  <c:v>6.9419698598128465E-2</c:v>
                </c:pt>
                <c:pt idx="55">
                  <c:v>7.2029557824222559E-2</c:v>
                </c:pt>
                <c:pt idx="56">
                  <c:v>7.4688418422378042E-2</c:v>
                </c:pt>
                <c:pt idx="57">
                  <c:v>7.7396341891590836E-2</c:v>
                </c:pt>
                <c:pt idx="58">
                  <c:v>8.0153390905625607E-2</c:v>
                </c:pt>
                <c:pt idx="59">
                  <c:v>8.2959629316670641E-2</c:v>
                </c:pt>
                <c:pt idx="60">
                  <c:v>8.5815122159065671E-2</c:v>
                </c:pt>
                <c:pt idx="61">
                  <c:v>8.8719935653101753E-2</c:v>
                </c:pt>
                <c:pt idx="62">
                  <c:v>9.1674137208894599E-2</c:v>
                </c:pt>
                <c:pt idx="63">
                  <c:v>9.4677795430330849E-2</c:v>
                </c:pt>
                <c:pt idx="64">
                  <c:v>9.7730980119088762E-2</c:v>
                </c:pt>
                <c:pt idx="65">
                  <c:v>0.10083376227873275</c:v>
                </c:pt>
                <c:pt idx="66">
                  <c:v>0.10398621411888298</c:v>
                </c:pt>
                <c:pt idx="67">
                  <c:v>0.10718840905946017</c:v>
                </c:pt>
                <c:pt idx="68">
                  <c:v>0.11044042173500589</c:v>
                </c:pt>
                <c:pt idx="69">
                  <c:v>0.1137423279990793</c:v>
                </c:pt>
                <c:pt idx="70">
                  <c:v>0.1170942049287305</c:v>
                </c:pt>
                <c:pt idx="71">
                  <c:v>0.12049613082905088</c:v>
                </c:pt>
                <c:pt idx="72">
                  <c:v>0.12394818523780123</c:v>
                </c:pt>
                <c:pt idx="73">
                  <c:v>0.12745044893011834</c:v>
                </c:pt>
                <c:pt idx="74">
                  <c:v>0.13100300392329964</c:v>
                </c:pt>
                <c:pt idx="75">
                  <c:v>0.13460593348166802</c:v>
                </c:pt>
                <c:pt idx="76">
                  <c:v>0.13825932212151543</c:v>
                </c:pt>
                <c:pt idx="77">
                  <c:v>0.14196325561612774</c:v>
                </c:pt>
                <c:pt idx="78">
                  <c:v>0.1457178210008899</c:v>
                </c:pt>
                <c:pt idx="79">
                  <c:v>0.14952310657847298</c:v>
                </c:pt>
                <c:pt idx="80">
                  <c:v>0.15337920192410284</c:v>
                </c:pt>
                <c:pt idx="81">
                  <c:v>0.1572861978909123</c:v>
                </c:pt>
                <c:pt idx="82">
                  <c:v>0.16124418661537535</c:v>
                </c:pt>
                <c:pt idx="83">
                  <c:v>0.16525326152282657</c:v>
                </c:pt>
                <c:pt idx="84">
                  <c:v>0.16931351733306421</c:v>
                </c:pt>
                <c:pt idx="85">
                  <c:v>0.17342505006603848</c:v>
                </c:pt>
                <c:pt idx="86">
                  <c:v>0.17758795704762645</c:v>
                </c:pt>
                <c:pt idx="87">
                  <c:v>0.18180233691549197</c:v>
                </c:pt>
                <c:pt idx="88">
                  <c:v>0.18606828962503449</c:v>
                </c:pt>
                <c:pt idx="89">
                  <c:v>0.19038591645542391</c:v>
                </c:pt>
                <c:pt idx="90">
                  <c:v>0.19475532001572554</c:v>
                </c:pt>
                <c:pt idx="91">
                  <c:v>0.199176604251113</c:v>
                </c:pt>
                <c:pt idx="92">
                  <c:v>0.20364987444917196</c:v>
                </c:pt>
                <c:pt idx="93">
                  <c:v>0.20817523724629394</c:v>
                </c:pt>
                <c:pt idx="94">
                  <c:v>0.21275280063416185</c:v>
                </c:pt>
                <c:pt idx="95">
                  <c:v>0.21738267396632746</c:v>
                </c:pt>
                <c:pt idx="96">
                  <c:v>0.22206496796488187</c:v>
                </c:pt>
                <c:pt idx="97">
                  <c:v>0.22679979472721984</c:v>
                </c:pt>
                <c:pt idx="98">
                  <c:v>0.23158726773289809</c:v>
                </c:pt>
                <c:pt idx="99">
                  <c:v>0.23642750185058947</c:v>
                </c:pt>
                <c:pt idx="100">
                  <c:v>0.2413206133451328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5A8-42F2-9E8C-4AC28D4F7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72224"/>
        <c:axId val="158374144"/>
      </c:scatterChart>
      <c:valAx>
        <c:axId val="158372224"/>
        <c:scaling>
          <c:orientation val="minMax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7898089171975511"/>
              <c:y val="0.925404072474819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374144"/>
        <c:crosses val="autoZero"/>
        <c:crossBetween val="midCat"/>
      </c:valAx>
      <c:valAx>
        <c:axId val="158374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Power Disipation (W)</a:t>
                </a:r>
              </a:p>
            </c:rich>
          </c:tx>
          <c:layout>
            <c:manualLayout>
              <c:xMode val="edge"/>
              <c:yMode val="edge"/>
              <c:x val="1.9108297737292643E-2"/>
              <c:y val="0.3461025738718144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372224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2383745388469802"/>
          <c:y val="1.0080645161290322E-2"/>
          <c:w val="0.35068494759833341"/>
          <c:h val="0.1290324697316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600"/>
              <a:t> Overall Efficiency</a:t>
            </a:r>
          </a:p>
        </c:rich>
      </c:tx>
      <c:layout>
        <c:manualLayout>
          <c:xMode val="edge"/>
          <c:yMode val="edge"/>
          <c:x val="0.41192468827576156"/>
          <c:y val="3.02419354838718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74102129638858"/>
          <c:y val="0.15927435034411094"/>
          <c:w val="0.85384629851107507"/>
          <c:h val="0.72983942815910108"/>
        </c:manualLayout>
      </c:layout>
      <c:scatterChart>
        <c:scatterStyle val="lineMarker"/>
        <c:varyColors val="0"/>
        <c:ser>
          <c:idx val="0"/>
          <c:order val="0"/>
          <c:tx>
            <c:v>Efficiency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'Efficiency vs Load Calculations'!$K$9:$K$109</c:f>
              <c:numCache>
                <c:formatCode>0.000</c:formatCode>
                <c:ptCount val="101"/>
                <c:pt idx="0" formatCode="General">
                  <c:v>0</c:v>
                </c:pt>
                <c:pt idx="1">
                  <c:v>0.04</c:v>
                </c:pt>
                <c:pt idx="2">
                  <c:v>0.08</c:v>
                </c:pt>
                <c:pt idx="3">
                  <c:v>0.12</c:v>
                </c:pt>
                <c:pt idx="4">
                  <c:v>0.16</c:v>
                </c:pt>
                <c:pt idx="5">
                  <c:v>0.2</c:v>
                </c:pt>
                <c:pt idx="6">
                  <c:v>0.24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0.36</c:v>
                </c:pt>
                <c:pt idx="10">
                  <c:v>0.4</c:v>
                </c:pt>
                <c:pt idx="11">
                  <c:v>0.44</c:v>
                </c:pt>
                <c:pt idx="12">
                  <c:v>0.48</c:v>
                </c:pt>
                <c:pt idx="13">
                  <c:v>0.52</c:v>
                </c:pt>
                <c:pt idx="14">
                  <c:v>0.56000000000000005</c:v>
                </c:pt>
                <c:pt idx="15">
                  <c:v>0.6</c:v>
                </c:pt>
                <c:pt idx="16">
                  <c:v>0.64</c:v>
                </c:pt>
                <c:pt idx="17">
                  <c:v>0.68</c:v>
                </c:pt>
                <c:pt idx="18">
                  <c:v>0.72</c:v>
                </c:pt>
                <c:pt idx="19">
                  <c:v>0.76</c:v>
                </c:pt>
                <c:pt idx="20">
                  <c:v>0.8</c:v>
                </c:pt>
                <c:pt idx="21">
                  <c:v>0.84</c:v>
                </c:pt>
                <c:pt idx="22">
                  <c:v>0.88</c:v>
                </c:pt>
                <c:pt idx="23">
                  <c:v>0.92</c:v>
                </c:pt>
                <c:pt idx="24">
                  <c:v>0.96</c:v>
                </c:pt>
                <c:pt idx="25">
                  <c:v>1</c:v>
                </c:pt>
                <c:pt idx="26">
                  <c:v>1.04</c:v>
                </c:pt>
                <c:pt idx="27">
                  <c:v>1.08</c:v>
                </c:pt>
                <c:pt idx="28">
                  <c:v>1.1200000000000001</c:v>
                </c:pt>
                <c:pt idx="29">
                  <c:v>1.1599999999999999</c:v>
                </c:pt>
                <c:pt idx="30">
                  <c:v>1.2</c:v>
                </c:pt>
                <c:pt idx="31">
                  <c:v>1.24</c:v>
                </c:pt>
                <c:pt idx="32">
                  <c:v>1.28</c:v>
                </c:pt>
                <c:pt idx="33">
                  <c:v>1.32</c:v>
                </c:pt>
                <c:pt idx="34">
                  <c:v>1.36</c:v>
                </c:pt>
                <c:pt idx="35">
                  <c:v>1.4</c:v>
                </c:pt>
                <c:pt idx="36">
                  <c:v>1.44</c:v>
                </c:pt>
                <c:pt idx="37">
                  <c:v>1.48</c:v>
                </c:pt>
                <c:pt idx="38">
                  <c:v>1.52</c:v>
                </c:pt>
                <c:pt idx="39">
                  <c:v>1.56</c:v>
                </c:pt>
                <c:pt idx="40">
                  <c:v>1.6</c:v>
                </c:pt>
                <c:pt idx="41">
                  <c:v>1.64</c:v>
                </c:pt>
                <c:pt idx="42">
                  <c:v>1.68</c:v>
                </c:pt>
                <c:pt idx="43">
                  <c:v>1.72</c:v>
                </c:pt>
                <c:pt idx="44">
                  <c:v>1.76</c:v>
                </c:pt>
                <c:pt idx="45">
                  <c:v>1.8</c:v>
                </c:pt>
                <c:pt idx="46">
                  <c:v>1.84</c:v>
                </c:pt>
                <c:pt idx="47">
                  <c:v>1.88</c:v>
                </c:pt>
                <c:pt idx="48">
                  <c:v>1.92</c:v>
                </c:pt>
                <c:pt idx="49">
                  <c:v>1.96</c:v>
                </c:pt>
                <c:pt idx="50">
                  <c:v>2</c:v>
                </c:pt>
                <c:pt idx="51">
                  <c:v>2.04</c:v>
                </c:pt>
                <c:pt idx="52">
                  <c:v>2.08</c:v>
                </c:pt>
                <c:pt idx="53">
                  <c:v>2.12</c:v>
                </c:pt>
                <c:pt idx="54">
                  <c:v>2.16</c:v>
                </c:pt>
                <c:pt idx="55">
                  <c:v>2.2000000000000002</c:v>
                </c:pt>
                <c:pt idx="56">
                  <c:v>2.2400000000000002</c:v>
                </c:pt>
                <c:pt idx="57">
                  <c:v>2.2799999999999998</c:v>
                </c:pt>
                <c:pt idx="58">
                  <c:v>2.3199999999999998</c:v>
                </c:pt>
                <c:pt idx="59">
                  <c:v>2.36</c:v>
                </c:pt>
                <c:pt idx="60">
                  <c:v>2.4</c:v>
                </c:pt>
                <c:pt idx="61">
                  <c:v>2.44</c:v>
                </c:pt>
                <c:pt idx="62">
                  <c:v>2.48</c:v>
                </c:pt>
                <c:pt idx="63">
                  <c:v>2.52</c:v>
                </c:pt>
                <c:pt idx="64">
                  <c:v>2.56</c:v>
                </c:pt>
                <c:pt idx="65">
                  <c:v>2.6</c:v>
                </c:pt>
                <c:pt idx="66">
                  <c:v>2.64</c:v>
                </c:pt>
                <c:pt idx="67">
                  <c:v>2.68</c:v>
                </c:pt>
                <c:pt idx="68">
                  <c:v>2.72</c:v>
                </c:pt>
                <c:pt idx="69">
                  <c:v>2.76</c:v>
                </c:pt>
                <c:pt idx="70">
                  <c:v>2.8</c:v>
                </c:pt>
                <c:pt idx="71">
                  <c:v>2.84</c:v>
                </c:pt>
                <c:pt idx="72">
                  <c:v>2.88</c:v>
                </c:pt>
                <c:pt idx="73">
                  <c:v>2.92</c:v>
                </c:pt>
                <c:pt idx="74">
                  <c:v>2.96</c:v>
                </c:pt>
                <c:pt idx="75">
                  <c:v>3</c:v>
                </c:pt>
                <c:pt idx="76">
                  <c:v>3.04</c:v>
                </c:pt>
                <c:pt idx="77">
                  <c:v>3.08</c:v>
                </c:pt>
                <c:pt idx="78">
                  <c:v>3.12</c:v>
                </c:pt>
                <c:pt idx="79">
                  <c:v>3.16</c:v>
                </c:pt>
                <c:pt idx="80">
                  <c:v>3.2</c:v>
                </c:pt>
                <c:pt idx="81">
                  <c:v>3.24</c:v>
                </c:pt>
                <c:pt idx="82">
                  <c:v>3.28</c:v>
                </c:pt>
                <c:pt idx="83">
                  <c:v>3.32</c:v>
                </c:pt>
                <c:pt idx="84">
                  <c:v>3.36</c:v>
                </c:pt>
                <c:pt idx="85">
                  <c:v>3.4</c:v>
                </c:pt>
                <c:pt idx="86">
                  <c:v>3.44</c:v>
                </c:pt>
                <c:pt idx="87">
                  <c:v>3.48</c:v>
                </c:pt>
                <c:pt idx="88">
                  <c:v>3.52</c:v>
                </c:pt>
                <c:pt idx="89">
                  <c:v>3.56</c:v>
                </c:pt>
                <c:pt idx="90">
                  <c:v>3.6</c:v>
                </c:pt>
                <c:pt idx="91">
                  <c:v>3.64</c:v>
                </c:pt>
                <c:pt idx="92">
                  <c:v>3.68</c:v>
                </c:pt>
                <c:pt idx="93">
                  <c:v>3.72</c:v>
                </c:pt>
                <c:pt idx="94">
                  <c:v>3.76</c:v>
                </c:pt>
                <c:pt idx="95">
                  <c:v>3.8</c:v>
                </c:pt>
                <c:pt idx="96">
                  <c:v>3.84</c:v>
                </c:pt>
                <c:pt idx="97">
                  <c:v>3.88</c:v>
                </c:pt>
                <c:pt idx="98">
                  <c:v>3.92</c:v>
                </c:pt>
                <c:pt idx="99">
                  <c:v>3.96</c:v>
                </c:pt>
                <c:pt idx="100">
                  <c:v>4</c:v>
                </c:pt>
              </c:numCache>
            </c:numRef>
          </c:xVal>
          <c:yVal>
            <c:numRef>
              <c:f>'Efficiency vs Load Calculations'!$BD$9:$BD$109</c:f>
              <c:numCache>
                <c:formatCode>0.0%</c:formatCode>
                <c:ptCount val="101"/>
                <c:pt idx="0">
                  <c:v>0</c:v>
                </c:pt>
                <c:pt idx="1">
                  <c:v>0.43018730340626371</c:v>
                </c:pt>
                <c:pt idx="2">
                  <c:v>0.60029798166163406</c:v>
                </c:pt>
                <c:pt idx="3">
                  <c:v>0.69139399029344328</c:v>
                </c:pt>
                <c:pt idx="4">
                  <c:v>0.74812321702489926</c:v>
                </c:pt>
                <c:pt idx="5">
                  <c:v>0.78682696233042415</c:v>
                </c:pt>
                <c:pt idx="6">
                  <c:v>0.81490364311595342</c:v>
                </c:pt>
                <c:pt idx="7">
                  <c:v>0.83619011539754695</c:v>
                </c:pt>
                <c:pt idx="8">
                  <c:v>0.85287460224574319</c:v>
                </c:pt>
                <c:pt idx="9">
                  <c:v>0.86629628782902968</c:v>
                </c:pt>
                <c:pt idx="10">
                  <c:v>0.87732069315130834</c:v>
                </c:pt>
                <c:pt idx="11">
                  <c:v>0.88653207834212056</c:v>
                </c:pt>
                <c:pt idx="12">
                  <c:v>0.89433910683734619</c:v>
                </c:pt>
                <c:pt idx="13">
                  <c:v>0.90103620340375457</c:v>
                </c:pt>
                <c:pt idx="14">
                  <c:v>0.90684086463301539</c:v>
                </c:pt>
                <c:pt idx="15">
                  <c:v>0.91191724324804502</c:v>
                </c:pt>
                <c:pt idx="16">
                  <c:v>0.9163915572225676</c:v>
                </c:pt>
                <c:pt idx="17">
                  <c:v>0.92036244926537802</c:v>
                </c:pt>
                <c:pt idx="18">
                  <c:v>0.92390812727183802</c:v>
                </c:pt>
                <c:pt idx="19">
                  <c:v>0.92709139525177087</c:v>
                </c:pt>
                <c:pt idx="20">
                  <c:v>0.92996326770552207</c:v>
                </c:pt>
                <c:pt idx="21">
                  <c:v>0.93256561192259768</c:v>
                </c:pt>
                <c:pt idx="22">
                  <c:v>0.93493311012819902</c:v>
                </c:pt>
                <c:pt idx="23">
                  <c:v>0.93709473733219584</c:v>
                </c:pt>
                <c:pt idx="24">
                  <c:v>0.93907488882727008</c:v>
                </c:pt>
                <c:pt idx="25">
                  <c:v>0.94089425055293707</c:v>
                </c:pt>
                <c:pt idx="26">
                  <c:v>0.94257047823509088</c:v>
                </c:pt>
                <c:pt idx="27">
                  <c:v>0.9441187325850614</c:v>
                </c:pt>
                <c:pt idx="28">
                  <c:v>0.94555210493591879</c:v>
                </c:pt>
                <c:pt idx="29">
                  <c:v>0.94688195861987934</c:v>
                </c:pt>
                <c:pt idx="30">
                  <c:v>0.94811820492512366</c:v>
                </c:pt>
                <c:pt idx="31">
                  <c:v>0.94926952780583651</c:v>
                </c:pt>
                <c:pt idx="32">
                  <c:v>0.95034356811508791</c:v>
                </c:pt>
                <c:pt idx="33">
                  <c:v>0.95134707561899234</c:v>
                </c:pt>
                <c:pt idx="34">
                  <c:v>0.95228603517946209</c:v>
                </c:pt>
                <c:pt idx="35">
                  <c:v>0.95316577208555886</c:v>
                </c:pt>
                <c:pt idx="36">
                  <c:v>0.953991040445611</c:v>
                </c:pt>
                <c:pt idx="37">
                  <c:v>0.95476609773529686</c:v>
                </c:pt>
                <c:pt idx="38">
                  <c:v>0.95549476796697785</c:v>
                </c:pt>
                <c:pt idx="39">
                  <c:v>0.95618049545628592</c:v>
                </c:pt>
                <c:pt idx="40">
                  <c:v>0.95682639077929965</c:v>
                </c:pt>
                <c:pt idx="41">
                  <c:v>0.95743527021236352</c:v>
                </c:pt>
                <c:pt idx="42">
                  <c:v>0.95800968970794087</c:v>
                </c:pt>
                <c:pt idx="43">
                  <c:v>0.95855197426970395</c:v>
                </c:pt>
                <c:pt idx="44">
                  <c:v>0.95906424343765018</c:v>
                </c:pt>
                <c:pt idx="45">
                  <c:v>0.95954843347124441</c:v>
                </c:pt>
                <c:pt idx="46">
                  <c:v>0.96000631671915693</c:v>
                </c:pt>
                <c:pt idx="47">
                  <c:v>0.9604395185832596</c:v>
                </c:pt>
                <c:pt idx="48">
                  <c:v>0.96084953241840199</c:v>
                </c:pt>
                <c:pt idx="49">
                  <c:v>0.96123773265518164</c:v>
                </c:pt>
                <c:pt idx="50">
                  <c:v>0.96160538638814241</c:v>
                </c:pt>
                <c:pt idx="51">
                  <c:v>0.96195366363475532</c:v>
                </c:pt>
                <c:pt idx="52">
                  <c:v>0.96228364643972231</c:v>
                </c:pt>
                <c:pt idx="53">
                  <c:v>0.96259633697342895</c:v>
                </c:pt>
                <c:pt idx="54">
                  <c:v>0.96289266475184954</c:v>
                </c:pt>
                <c:pt idx="55">
                  <c:v>0.96317349308711875</c:v>
                </c:pt>
                <c:pt idx="56">
                  <c:v>0.9634396248627396</c:v>
                </c:pt>
                <c:pt idx="57">
                  <c:v>0.96369180771450569</c:v>
                </c:pt>
                <c:pt idx="58">
                  <c:v>0.96393073868727686</c:v>
                </c:pt>
                <c:pt idx="59">
                  <c:v>0.96415706842844662</c:v>
                </c:pt>
                <c:pt idx="60">
                  <c:v>0.96437140497099838</c:v>
                </c:pt>
                <c:pt idx="61">
                  <c:v>0.96457431715225816</c:v>
                </c:pt>
                <c:pt idx="62">
                  <c:v>0.96476633770862352</c:v>
                </c:pt>
                <c:pt idx="63">
                  <c:v>0.96494796608153677</c:v>
                </c:pt>
                <c:pt idx="64">
                  <c:v>0.96511967096565654</c:v>
                </c:pt>
                <c:pt idx="65">
                  <c:v>0.96528189262643582</c:v>
                </c:pt>
                <c:pt idx="66">
                  <c:v>0.96543504501109378</c:v>
                </c:pt>
                <c:pt idx="67">
                  <c:v>0.96557951767414907</c:v>
                </c:pt>
                <c:pt idx="68">
                  <c:v>0.96571567753624576</c:v>
                </c:pt>
                <c:pt idx="69">
                  <c:v>0.96584387049286602</c:v>
                </c:pt>
                <c:pt idx="70">
                  <c:v>0.96596442288766993</c:v>
                </c:pt>
                <c:pt idx="71">
                  <c:v>0.96607764286356124</c:v>
                </c:pt>
                <c:pt idx="72">
                  <c:v>0.9661838216031593</c:v>
                </c:pt>
                <c:pt idx="73">
                  <c:v>0.96628323446909292</c:v>
                </c:pt>
                <c:pt idx="74">
                  <c:v>0.96637614205342748</c:v>
                </c:pt>
                <c:pt idx="75">
                  <c:v>0.96646279114456013</c:v>
                </c:pt>
                <c:pt idx="76">
                  <c:v>0.9665434156190581</c:v>
                </c:pt>
                <c:pt idx="77">
                  <c:v>0.96661823726514517</c:v>
                </c:pt>
                <c:pt idx="78">
                  <c:v>0.96668746654387372</c:v>
                </c:pt>
                <c:pt idx="79">
                  <c:v>0.96675130329340919</c:v>
                </c:pt>
                <c:pt idx="80">
                  <c:v>0.96680993738132814</c:v>
                </c:pt>
                <c:pt idx="81">
                  <c:v>0.96686354930934737</c:v>
                </c:pt>
                <c:pt idx="82">
                  <c:v>0.96691231077448425</c:v>
                </c:pt>
                <c:pt idx="83">
                  <c:v>0.9669563851902625</c:v>
                </c:pt>
                <c:pt idx="84">
                  <c:v>0.96699592817124302</c:v>
                </c:pt>
                <c:pt idx="85">
                  <c:v>0.96703108798385529</c:v>
                </c:pt>
                <c:pt idx="86">
                  <c:v>0.96706200596622816</c:v>
                </c:pt>
                <c:pt idx="87">
                  <c:v>0.96708881691947857</c:v>
                </c:pt>
                <c:pt idx="88">
                  <c:v>0.96711164947269712</c:v>
                </c:pt>
                <c:pt idx="89">
                  <c:v>0.96713062642366376</c:v>
                </c:pt>
                <c:pt idx="90">
                  <c:v>0.9671458650571606</c:v>
                </c:pt>
                <c:pt idx="91">
                  <c:v>0.96715747744257541</c:v>
                </c:pt>
                <c:pt idx="92">
                  <c:v>0.96716557071235043</c:v>
                </c:pt>
                <c:pt idx="93">
                  <c:v>0.96717024732270007</c:v>
                </c:pt>
                <c:pt idx="94">
                  <c:v>0.9671716052978967</c:v>
                </c:pt>
                <c:pt idx="95">
                  <c:v>0.96716973845931997</c:v>
                </c:pt>
                <c:pt idx="96">
                  <c:v>0.96716473664036606</c:v>
                </c:pt>
                <c:pt idx="97">
                  <c:v>0.96715668588822257</c:v>
                </c:pt>
                <c:pt idx="98">
                  <c:v>0.96714566865343299</c:v>
                </c:pt>
                <c:pt idx="99">
                  <c:v>0.96713176396810752</c:v>
                </c:pt>
                <c:pt idx="100">
                  <c:v>0.96711504761355849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E0-45DB-9682-28670646EC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390912"/>
        <c:axId val="158892800"/>
      </c:scatterChart>
      <c:valAx>
        <c:axId val="15839091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 sz="1100"/>
                  <a:t>Input</a:t>
                </a:r>
                <a:r>
                  <a:rPr lang="en-US" sz="1100" baseline="0"/>
                  <a:t> Voltage (V)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4576315442322012"/>
              <c:y val="0.943549233765134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892800"/>
        <c:crosses val="autoZero"/>
        <c:crossBetween val="midCat"/>
      </c:valAx>
      <c:valAx>
        <c:axId val="158892800"/>
        <c:scaling>
          <c:orientation val="minMax"/>
          <c:max val="1"/>
          <c:min val="0.70000000000000007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Efficiency (%)</a:t>
                </a:r>
              </a:p>
            </c:rich>
          </c:tx>
          <c:layout>
            <c:manualLayout>
              <c:xMode val="edge"/>
              <c:yMode val="edge"/>
              <c:x val="6.7750677506776052E-3"/>
              <c:y val="0.4274197781728969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8390912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636970175475957"/>
          <c:y val="3.6290322580645726E-2"/>
          <c:w val="0.11788632112042907"/>
          <c:h val="4.23387096774193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LM5175 Bode Plot</a:t>
            </a:r>
          </a:p>
        </c:rich>
      </c:tx>
      <c:layout>
        <c:manualLayout>
          <c:xMode val="edge"/>
          <c:yMode val="edge"/>
          <c:x val="0.40864917395529671"/>
          <c:y val="2.13776503743483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49854227405264"/>
          <c:y val="9.5803642121931945E-2"/>
          <c:w val="0.80272108843537593"/>
          <c:h val="0.7173404994392298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'Stability Calculations'!$Q$12</c:f>
              <c:strCache>
                <c:ptCount val="1"/>
                <c:pt idx="0">
                  <c:v>Gain (dB)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Calculations'!$Q$13:$Q$613</c:f>
              <c:numCache>
                <c:formatCode>0.00</c:formatCode>
                <c:ptCount val="601"/>
                <c:pt idx="0">
                  <c:v>75.615110933607554</c:v>
                </c:pt>
                <c:pt idx="1">
                  <c:v>74.873714197301965</c:v>
                </c:pt>
                <c:pt idx="2">
                  <c:v>74.123123746713475</c:v>
                </c:pt>
                <c:pt idx="3">
                  <c:v>73.364692989812269</c:v>
                </c:pt>
                <c:pt idx="4">
                  <c:v>72.600099584422864</c:v>
                </c:pt>
                <c:pt idx="5">
                  <c:v>71.829082015147378</c:v>
                </c:pt>
                <c:pt idx="6">
                  <c:v>71.053599755277148</c:v>
                </c:pt>
                <c:pt idx="7">
                  <c:v>70.273885265805319</c:v>
                </c:pt>
                <c:pt idx="8">
                  <c:v>69.491138700548646</c:v>
                </c:pt>
                <c:pt idx="9">
                  <c:v>68.705302488514633</c:v>
                </c:pt>
                <c:pt idx="10">
                  <c:v>67.917279370198443</c:v>
                </c:pt>
                <c:pt idx="11">
                  <c:v>67.127338379257253</c:v>
                </c:pt>
                <c:pt idx="12">
                  <c:v>66.335380300056087</c:v>
                </c:pt>
                <c:pt idx="13">
                  <c:v>65.542434325944456</c:v>
                </c:pt>
                <c:pt idx="14">
                  <c:v>64.74809276059527</c:v>
                </c:pt>
                <c:pt idx="15">
                  <c:v>63.952848877998619</c:v>
                </c:pt>
                <c:pt idx="16">
                  <c:v>63.156795841778496</c:v>
                </c:pt>
                <c:pt idx="17">
                  <c:v>62.360178011988872</c:v>
                </c:pt>
                <c:pt idx="18">
                  <c:v>61.562873011600978</c:v>
                </c:pt>
                <c:pt idx="19">
                  <c:v>60.76518537678696</c:v>
                </c:pt>
                <c:pt idx="20">
                  <c:v>59.967030690766592</c:v>
                </c:pt>
                <c:pt idx="21">
                  <c:v>59.16863316037233</c:v>
                </c:pt>
                <c:pt idx="22">
                  <c:v>58.369872610046386</c:v>
                </c:pt>
                <c:pt idx="23">
                  <c:v>57.570987844259498</c:v>
                </c:pt>
                <c:pt idx="24">
                  <c:v>56.771809011136433</c:v>
                </c:pt>
                <c:pt idx="25">
                  <c:v>55.972486782942362</c:v>
                </c:pt>
                <c:pt idx="26">
                  <c:v>55.172856428840937</c:v>
                </c:pt>
                <c:pt idx="27">
                  <c:v>54.373189390530911</c:v>
                </c:pt>
                <c:pt idx="28">
                  <c:v>53.573467508461512</c:v>
                </c:pt>
                <c:pt idx="29">
                  <c:v>52.774197118969603</c:v>
                </c:pt>
                <c:pt idx="30">
                  <c:v>51.974033046092444</c:v>
                </c:pt>
                <c:pt idx="31">
                  <c:v>51.174096949753149</c:v>
                </c:pt>
                <c:pt idx="32">
                  <c:v>50.373847227259752</c:v>
                </c:pt>
                <c:pt idx="33">
                  <c:v>49.573852537200686</c:v>
                </c:pt>
                <c:pt idx="34">
                  <c:v>48.773491715997878</c:v>
                </c:pt>
                <c:pt idx="35">
                  <c:v>47.973208108021367</c:v>
                </c:pt>
                <c:pt idx="36">
                  <c:v>47.172868978315279</c:v>
                </c:pt>
                <c:pt idx="37">
                  <c:v>46.372029344098422</c:v>
                </c:pt>
                <c:pt idx="38">
                  <c:v>45.571433659801343</c:v>
                </c:pt>
                <c:pt idx="39">
                  <c:v>44.770413673236916</c:v>
                </c:pt>
                <c:pt idx="40">
                  <c:v>43.969242845390468</c:v>
                </c:pt>
                <c:pt idx="41">
                  <c:v>43.16781545050452</c:v>
                </c:pt>
                <c:pt idx="42">
                  <c:v>42.366196320999023</c:v>
                </c:pt>
                <c:pt idx="43">
                  <c:v>41.564093745051565</c:v>
                </c:pt>
                <c:pt idx="44">
                  <c:v>40.761652606791316</c:v>
                </c:pt>
                <c:pt idx="45">
                  <c:v>39.958628314707909</c:v>
                </c:pt>
                <c:pt idx="46">
                  <c:v>39.155083549501398</c:v>
                </c:pt>
                <c:pt idx="47">
                  <c:v>38.350726065428653</c:v>
                </c:pt>
                <c:pt idx="48">
                  <c:v>37.545611456465068</c:v>
                </c:pt>
                <c:pt idx="49">
                  <c:v>36.73936447039717</c:v>
                </c:pt>
                <c:pt idx="50">
                  <c:v>35.931907887958154</c:v>
                </c:pt>
                <c:pt idx="51">
                  <c:v>35.122814521985113</c:v>
                </c:pt>
                <c:pt idx="52">
                  <c:v>34.312060342411193</c:v>
                </c:pt>
                <c:pt idx="53">
                  <c:v>33.499283813353429</c:v>
                </c:pt>
                <c:pt idx="54">
                  <c:v>32.684606232533291</c:v>
                </c:pt>
                <c:pt idx="55">
                  <c:v>31.86619935224703</c:v>
                </c:pt>
                <c:pt idx="56">
                  <c:v>31.044684679932114</c:v>
                </c:pt>
                <c:pt idx="57">
                  <c:v>30.218909595599179</c:v>
                </c:pt>
                <c:pt idx="58">
                  <c:v>29.388787133237507</c:v>
                </c:pt>
                <c:pt idx="59">
                  <c:v>28.552918716769881</c:v>
                </c:pt>
                <c:pt idx="60">
                  <c:v>27.710935006778467</c:v>
                </c:pt>
                <c:pt idx="61">
                  <c:v>26.861800007809457</c:v>
                </c:pt>
                <c:pt idx="62">
                  <c:v>26.004087456575569</c:v>
                </c:pt>
                <c:pt idx="63">
                  <c:v>25.137623864543631</c:v>
                </c:pt>
                <c:pt idx="64">
                  <c:v>24.260736905425205</c:v>
                </c:pt>
                <c:pt idx="65">
                  <c:v>23.372846848739055</c:v>
                </c:pt>
                <c:pt idx="66">
                  <c:v>22.473108546601605</c:v>
                </c:pt>
                <c:pt idx="67">
                  <c:v>21.561097669211676</c:v>
                </c:pt>
                <c:pt idx="68">
                  <c:v>20.636302539199896</c:v>
                </c:pt>
                <c:pt idx="69">
                  <c:v>19.699119434038156</c:v>
                </c:pt>
                <c:pt idx="70">
                  <c:v>18.749979863054904</c:v>
                </c:pt>
                <c:pt idx="71">
                  <c:v>17.790213417105726</c:v>
                </c:pt>
                <c:pt idx="72">
                  <c:v>16.821278860692129</c:v>
                </c:pt>
                <c:pt idx="73">
                  <c:v>15.845569946038808</c:v>
                </c:pt>
                <c:pt idx="74">
                  <c:v>14.865394361830205</c:v>
                </c:pt>
                <c:pt idx="75">
                  <c:v>13.883727191801841</c:v>
                </c:pt>
                <c:pt idx="76">
                  <c:v>12.903266717391071</c:v>
                </c:pt>
                <c:pt idx="77">
                  <c:v>11.927176773366313</c:v>
                </c:pt>
                <c:pt idx="78">
                  <c:v>10.958025531763626</c:v>
                </c:pt>
                <c:pt idx="79">
                  <c:v>9.9986300504502559</c:v>
                </c:pt>
                <c:pt idx="80">
                  <c:v>9.0491235060558513</c:v>
                </c:pt>
                <c:pt idx="81">
                  <c:v>8.1120769736253333</c:v>
                </c:pt>
                <c:pt idx="82">
                  <c:v>7.1875773436984876</c:v>
                </c:pt>
                <c:pt idx="83">
                  <c:v>6.2765407891067593</c:v>
                </c:pt>
                <c:pt idx="84">
                  <c:v>5.3781334086700516</c:v>
                </c:pt>
                <c:pt idx="85">
                  <c:v>4.4924322652243216</c:v>
                </c:pt>
                <c:pt idx="86">
                  <c:v>3.6186556331089728</c:v>
                </c:pt>
                <c:pt idx="87">
                  <c:v>2.755574515752266</c:v>
                </c:pt>
                <c:pt idx="88">
                  <c:v>1.903195413541515</c:v>
                </c:pt>
                <c:pt idx="89">
                  <c:v>1.0600243804706257</c:v>
                </c:pt>
                <c:pt idx="90">
                  <c:v>0.22563695578232054</c:v>
                </c:pt>
                <c:pt idx="91">
                  <c:v>-0.6006942356012015</c:v>
                </c:pt>
                <c:pt idx="92">
                  <c:v>-1.4193955749913294</c:v>
                </c:pt>
                <c:pt idx="93">
                  <c:v>-2.2311147721967619</c:v>
                </c:pt>
                <c:pt idx="94">
                  <c:v>-2.4328848024802161</c:v>
                </c:pt>
                <c:pt idx="95">
                  <c:v>-2.5342338947326102</c:v>
                </c:pt>
                <c:pt idx="96">
                  <c:v>-2.6343175669074599</c:v>
                </c:pt>
                <c:pt idx="97">
                  <c:v>-2.7354429256018173</c:v>
                </c:pt>
                <c:pt idx="98">
                  <c:v>-2.8353060453992809</c:v>
                </c:pt>
                <c:pt idx="99">
                  <c:v>-2.9362339664409594</c:v>
                </c:pt>
                <c:pt idx="100">
                  <c:v>-3.0359020462117678</c:v>
                </c:pt>
                <c:pt idx="101">
                  <c:v>-3.1365802149015742</c:v>
                </c:pt>
                <c:pt idx="102">
                  <c:v>-3.2360021031398807</c:v>
                </c:pt>
                <c:pt idx="103">
                  <c:v>-3.3365275514822019</c:v>
                </c:pt>
                <c:pt idx="104">
                  <c:v>-3.4357977343347357</c:v>
                </c:pt>
                <c:pt idx="105">
                  <c:v>-3.5361145710585702</c:v>
                </c:pt>
                <c:pt idx="106">
                  <c:v>-3.6351784010365664</c:v>
                </c:pt>
                <c:pt idx="107">
                  <c:v>-3.735234610805322</c:v>
                </c:pt>
                <c:pt idx="108">
                  <c:v>-3.8340412196858886</c:v>
                </c:pt>
                <c:pt idx="109">
                  <c:v>-3.9338559789782273</c:v>
                </c:pt>
                <c:pt idx="110">
                  <c:v>-4.0324239211840034</c:v>
                </c:pt>
                <c:pt idx="111">
                  <c:v>-4.1320790216173418</c:v>
                </c:pt>
                <c:pt idx="112">
                  <c:v>-4.2304879066736181</c:v>
                </c:pt>
                <c:pt idx="113">
                  <c:v>-4.3299271814566769</c:v>
                </c:pt>
                <c:pt idx="114">
                  <c:v>-4.4281220838136672</c:v>
                </c:pt>
                <c:pt idx="115">
                  <c:v>-4.527355812389942</c:v>
                </c:pt>
                <c:pt idx="116">
                  <c:v>-4.6253466005302215</c:v>
                </c:pt>
                <c:pt idx="117">
                  <c:v>-4.7243824722601548</c:v>
                </c:pt>
                <c:pt idx="118">
                  <c:v>-4.8221764859885088</c:v>
                </c:pt>
                <c:pt idx="119">
                  <c:v>-4.9209602648211517</c:v>
                </c:pt>
                <c:pt idx="120">
                  <c:v>-5.0185044617635342</c:v>
                </c:pt>
                <c:pt idx="121">
                  <c:v>-5.1170436765382368</c:v>
                </c:pt>
                <c:pt idx="122">
                  <c:v>-5.214345240678206</c:v>
                </c:pt>
                <c:pt idx="123">
                  <c:v>-5.312701752933596</c:v>
                </c:pt>
                <c:pt idx="124">
                  <c:v>-5.4098208399720873</c:v>
                </c:pt>
                <c:pt idx="125">
                  <c:v>-5.5079384116296728</c:v>
                </c:pt>
                <c:pt idx="126">
                  <c:v>-5.6048200269508701</c:v>
                </c:pt>
                <c:pt idx="127">
                  <c:v>-5.7027000195012221</c:v>
                </c:pt>
                <c:pt idx="128">
                  <c:v>-5.7993453306276788</c:v>
                </c:pt>
                <c:pt idx="129">
                  <c:v>-5.8969873339090562</c:v>
                </c:pt>
                <c:pt idx="130">
                  <c:v>-5.9933957811335334</c:v>
                </c:pt>
                <c:pt idx="131">
                  <c:v>-6.0907977609278863</c:v>
                </c:pt>
                <c:pt idx="132">
                  <c:v>-6.1390347560778142</c:v>
                </c:pt>
                <c:pt idx="133">
                  <c:v>-6.1869672019192326</c:v>
                </c:pt>
                <c:pt idx="134">
                  <c:v>-6.2357272545188369</c:v>
                </c:pt>
                <c:pt idx="135">
                  <c:v>-6.2841754790796625</c:v>
                </c:pt>
                <c:pt idx="136">
                  <c:v>-6.3323155075169089</c:v>
                </c:pt>
                <c:pt idx="137">
                  <c:v>-6.3801509080588303</c:v>
                </c:pt>
                <c:pt idx="138">
                  <c:v>-6.4287609275538724</c:v>
                </c:pt>
                <c:pt idx="139">
                  <c:v>-6.4770596811704415</c:v>
                </c:pt>
                <c:pt idx="140">
                  <c:v>-6.5250507887409608</c:v>
                </c:pt>
                <c:pt idx="141">
                  <c:v>-6.5727378068170692</c:v>
                </c:pt>
                <c:pt idx="142">
                  <c:v>-6.6212443040223681</c:v>
                </c:pt>
                <c:pt idx="143">
                  <c:v>-6.6694394648135704</c:v>
                </c:pt>
                <c:pt idx="144">
                  <c:v>-6.7173269083718452</c:v>
                </c:pt>
                <c:pt idx="145">
                  <c:v>-6.764910190741924</c:v>
                </c:pt>
                <c:pt idx="146">
                  <c:v>-6.8132845310725525</c:v>
                </c:pt>
                <c:pt idx="147">
                  <c:v>-6.8613477913725642</c:v>
                </c:pt>
                <c:pt idx="148">
                  <c:v>-6.9091035849438924</c:v>
                </c:pt>
                <c:pt idx="149">
                  <c:v>-6.9565554622217896</c:v>
                </c:pt>
                <c:pt idx="150">
                  <c:v>-7.0047935932113168</c:v>
                </c:pt>
                <c:pt idx="151">
                  <c:v>-7.0527209152995525</c:v>
                </c:pt>
                <c:pt idx="152">
                  <c:v>-7.1003410361507822</c:v>
                </c:pt>
                <c:pt idx="153">
                  <c:v>-7.1476575008304923</c:v>
                </c:pt>
                <c:pt idx="154">
                  <c:v>-7.1957769914957312</c:v>
                </c:pt>
                <c:pt idx="155">
                  <c:v>-7.2435856820113385</c:v>
                </c:pt>
                <c:pt idx="156">
                  <c:v>-7.2910871794935606</c:v>
                </c:pt>
                <c:pt idx="157">
                  <c:v>-7.3382850286142132</c:v>
                </c:pt>
                <c:pt idx="158">
                  <c:v>-7.3862793131953106</c:v>
                </c:pt>
                <c:pt idx="159">
                  <c:v>-7.4339628546040561</c:v>
                </c:pt>
                <c:pt idx="160">
                  <c:v>-7.4813392591458481</c:v>
                </c:pt>
                <c:pt idx="161">
                  <c:v>-7.528412070845909</c:v>
                </c:pt>
                <c:pt idx="162">
                  <c:v>-7.5762533751898529</c:v>
                </c:pt>
                <c:pt idx="163">
                  <c:v>-7.6237843181185525</c:v>
                </c:pt>
                <c:pt idx="164">
                  <c:v>-7.6710085001069857</c:v>
                </c:pt>
                <c:pt idx="165">
                  <c:v>-7.7179294596327299</c:v>
                </c:pt>
                <c:pt idx="166">
                  <c:v>-7.7656531897874492</c:v>
                </c:pt>
                <c:pt idx="167">
                  <c:v>-7.813066450276466</c:v>
                </c:pt>
                <c:pt idx="168">
                  <c:v>-7.8601728449082211</c:v>
                </c:pt>
                <c:pt idx="169">
                  <c:v>-7.9069759155698724</c:v>
                </c:pt>
                <c:pt idx="170">
                  <c:v>-7.9544738061711939</c:v>
                </c:pt>
                <c:pt idx="171">
                  <c:v>-8.0016624939088423</c:v>
                </c:pt>
                <c:pt idx="172">
                  <c:v>-8.0485455627676217</c:v>
                </c:pt>
                <c:pt idx="173">
                  <c:v>-8.0951265354176609</c:v>
                </c:pt>
                <c:pt idx="174">
                  <c:v>-8.1425718269403085</c:v>
                </c:pt>
                <c:pt idx="175">
                  <c:v>-8.1897069053544431</c:v>
                </c:pt>
                <c:pt idx="176">
                  <c:v>-8.2365353750799564</c:v>
                </c:pt>
                <c:pt idx="177">
                  <c:v>-8.2830607789146935</c:v>
                </c:pt>
                <c:pt idx="178">
                  <c:v>-8.3304195552268538</c:v>
                </c:pt>
                <c:pt idx="179">
                  <c:v>-8.3774675151460904</c:v>
                </c:pt>
                <c:pt idx="180">
                  <c:v>-8.4242082773035847</c:v>
                </c:pt>
                <c:pt idx="181">
                  <c:v>-8.470645398546047</c:v>
                </c:pt>
                <c:pt idx="182">
                  <c:v>-8.5177020771441079</c:v>
                </c:pt>
                <c:pt idx="183">
                  <c:v>-8.5644501326307125</c:v>
                </c:pt>
                <c:pt idx="184">
                  <c:v>-8.6108931500354888</c:v>
                </c:pt>
                <c:pt idx="185">
                  <c:v>-8.6570346535251712</c:v>
                </c:pt>
                <c:pt idx="186">
                  <c:v>-8.704132385007231</c:v>
                </c:pt>
                <c:pt idx="187">
                  <c:v>-8.7509191730197013</c:v>
                </c:pt>
                <c:pt idx="188">
                  <c:v>-8.7973986484502245</c:v>
                </c:pt>
                <c:pt idx="189">
                  <c:v>-8.8435743804496205</c:v>
                </c:pt>
                <c:pt idx="190">
                  <c:v>-8.8903224676207202</c:v>
                </c:pt>
                <c:pt idx="191">
                  <c:v>-8.9367624019871368</c:v>
                </c:pt>
                <c:pt idx="192">
                  <c:v>-8.982897772145396</c:v>
                </c:pt>
                <c:pt idx="193">
                  <c:v>-9.0287321060700094</c:v>
                </c:pt>
                <c:pt idx="194">
                  <c:v>-9.0754587484733378</c:v>
                </c:pt>
                <c:pt idx="195">
                  <c:v>-9.1218757012475749</c:v>
                </c:pt>
                <c:pt idx="196">
                  <c:v>-9.1679865871551538</c:v>
                </c:pt>
                <c:pt idx="197">
                  <c:v>-9.213794967729342</c:v>
                </c:pt>
                <c:pt idx="198">
                  <c:v>-9.2602975810059114</c:v>
                </c:pt>
                <c:pt idx="199">
                  <c:v>-9.3064916258034422</c:v>
                </c:pt>
                <c:pt idx="200">
                  <c:v>-9.3523807136550943</c:v>
                </c:pt>
                <c:pt idx="201">
                  <c:v>-9.3979683952758357</c:v>
                </c:pt>
                <c:pt idx="202">
                  <c:v>-9.444225422034588</c:v>
                </c:pt>
                <c:pt idx="203">
                  <c:v>-9.4901752871053304</c:v>
                </c:pt>
                <c:pt idx="204">
                  <c:v>-9.5358215867942651</c:v>
                </c:pt>
                <c:pt idx="205">
                  <c:v>-9.5811678570845409</c:v>
                </c:pt>
                <c:pt idx="206">
                  <c:v>-9.6273165015736115</c:v>
                </c:pt>
                <c:pt idx="207">
                  <c:v>-9.6731575752187453</c:v>
                </c:pt>
                <c:pt idx="208">
                  <c:v>-9.718694691994914</c:v>
                </c:pt>
                <c:pt idx="209">
                  <c:v>-9.7639314053106556</c:v>
                </c:pt>
                <c:pt idx="210">
                  <c:v>-9.8100941034161391</c:v>
                </c:pt>
                <c:pt idx="211">
                  <c:v>-9.8559471819640301</c:v>
                </c:pt>
                <c:pt idx="212">
                  <c:v>-9.9014943027991418</c:v>
                </c:pt>
                <c:pt idx="213">
                  <c:v>-9.9467390662791573</c:v>
                </c:pt>
                <c:pt idx="214">
                  <c:v>-9.9925779314814438</c:v>
                </c:pt>
                <c:pt idx="215">
                  <c:v>-10.038109641016186</c:v>
                </c:pt>
                <c:pt idx="216">
                  <c:v>-10.083337826125319</c:v>
                </c:pt>
                <c:pt idx="217">
                  <c:v>-10.12826605738546</c:v>
                </c:pt>
                <c:pt idx="218">
                  <c:v>-10.173912079581662</c:v>
                </c:pt>
                <c:pt idx="219">
                  <c:v>-10.219251680603922</c:v>
                </c:pt>
                <c:pt idx="220">
                  <c:v>-10.264288492777231</c:v>
                </c:pt>
                <c:pt idx="221">
                  <c:v>-10.309026087867942</c:v>
                </c:pt>
                <c:pt idx="222">
                  <c:v>-10.354455378332057</c:v>
                </c:pt>
                <c:pt idx="223">
                  <c:v>-10.399579323107947</c:v>
                </c:pt>
                <c:pt idx="224">
                  <c:v>-10.444401550722644</c:v>
                </c:pt>
                <c:pt idx="225">
                  <c:v>-10.488925629349108</c:v>
                </c:pt>
                <c:pt idx="226">
                  <c:v>-10.534253626321952</c:v>
                </c:pt>
                <c:pt idx="227">
                  <c:v>-10.579275829414996</c:v>
                </c:pt>
                <c:pt idx="228">
                  <c:v>-10.623995891719497</c:v>
                </c:pt>
                <c:pt idx="229">
                  <c:v>-10.668417405538346</c:v>
                </c:pt>
                <c:pt idx="230">
                  <c:v>-10.758503278235104</c:v>
                </c:pt>
                <c:pt idx="231">
                  <c:v>-10.803091180090416</c:v>
                </c:pt>
                <c:pt idx="232">
                  <c:v>-10.847380559500667</c:v>
                </c:pt>
                <c:pt idx="233">
                  <c:v>-10.892415788978786</c:v>
                </c:pt>
                <c:pt idx="234">
                  <c:v>-10.93714562128387</c:v>
                </c:pt>
                <c:pt idx="235">
                  <c:v>-10.98157373966345</c:v>
                </c:pt>
                <c:pt idx="236">
                  <c:v>-11.025703766087538</c:v>
                </c:pt>
                <c:pt idx="237">
                  <c:v>-11.07042565439891</c:v>
                </c:pt>
                <c:pt idx="238">
                  <c:v>-11.114844659896448</c:v>
                </c:pt>
                <c:pt idx="239">
                  <c:v>-11.158964441005866</c:v>
                </c:pt>
                <c:pt idx="240">
                  <c:v>-11.20278859548748</c:v>
                </c:pt>
                <c:pt idx="241">
                  <c:v>-11.247429898946724</c:v>
                </c:pt>
                <c:pt idx="242">
                  <c:v>-11.291767740178912</c:v>
                </c:pt>
                <c:pt idx="243">
                  <c:v>-11.335805809947681</c:v>
                </c:pt>
                <c:pt idx="244">
                  <c:v>-11.379547737682367</c:v>
                </c:pt>
                <c:pt idx="245">
                  <c:v>-11.423956672702083</c:v>
                </c:pt>
                <c:pt idx="246">
                  <c:v>-11.468063672763758</c:v>
                </c:pt>
                <c:pt idx="247">
                  <c:v>-11.511872424006416</c:v>
                </c:pt>
                <c:pt idx="248">
                  <c:v>-11.55538655136094</c:v>
                </c:pt>
                <c:pt idx="249">
                  <c:v>-11.599660234691791</c:v>
                </c:pt>
                <c:pt idx="250">
                  <c:v>-11.643632256477215</c:v>
                </c:pt>
                <c:pt idx="251">
                  <c:v>-11.687306322343405</c:v>
                </c:pt>
                <c:pt idx="252">
                  <c:v>-11.730686076278783</c:v>
                </c:pt>
                <c:pt idx="253">
                  <c:v>-11.774683923206545</c:v>
                </c:pt>
                <c:pt idx="254">
                  <c:v>-11.818382358168025</c:v>
                </c:pt>
                <c:pt idx="255">
                  <c:v>-11.861785071122789</c:v>
                </c:pt>
                <c:pt idx="256">
                  <c:v>-11.904895690715009</c:v>
                </c:pt>
                <c:pt idx="257">
                  <c:v>-11.948823363747573</c:v>
                </c:pt>
                <c:pt idx="258">
                  <c:v>-11.992451157828423</c:v>
                </c:pt>
                <c:pt idx="259">
                  <c:v>-12.035782798527864</c:v>
                </c:pt>
                <c:pt idx="260">
                  <c:v>-12.078821949261593</c:v>
                </c:pt>
                <c:pt idx="261">
                  <c:v>-12.122540480000266</c:v>
                </c:pt>
                <c:pt idx="262">
                  <c:v>-12.165960632237729</c:v>
                </c:pt>
                <c:pt idx="263">
                  <c:v>-12.209086131883055</c:v>
                </c:pt>
                <c:pt idx="264">
                  <c:v>-12.251920642603158</c:v>
                </c:pt>
                <c:pt idx="265">
                  <c:v>-12.295410021932982</c:v>
                </c:pt>
                <c:pt idx="266">
                  <c:v>-12.338602884265789</c:v>
                </c:pt>
                <c:pt idx="267">
                  <c:v>-12.381502950002565</c:v>
                </c:pt>
                <c:pt idx="268">
                  <c:v>-12.424113877314182</c:v>
                </c:pt>
                <c:pt idx="269">
                  <c:v>-12.467458113593974</c:v>
                </c:pt>
                <c:pt idx="270">
                  <c:v>-12.510506647189088</c:v>
                </c:pt>
                <c:pt idx="271">
                  <c:v>-12.55326321355723</c:v>
                </c:pt>
                <c:pt idx="272">
                  <c:v>-12.59573148544791</c:v>
                </c:pt>
                <c:pt idx="273">
                  <c:v>-12.638906562964582</c:v>
                </c:pt>
                <c:pt idx="274">
                  <c:v>-12.681787178218002</c:v>
                </c:pt>
                <c:pt idx="275">
                  <c:v>-12.72437707461479</c:v>
                </c:pt>
                <c:pt idx="276">
                  <c:v>-12.76667993249864</c:v>
                </c:pt>
                <c:pt idx="277">
                  <c:v>-12.809567767189652</c:v>
                </c:pt>
                <c:pt idx="278">
                  <c:v>-12.852164088764457</c:v>
                </c:pt>
                <c:pt idx="279">
                  <c:v>-12.894472616698184</c:v>
                </c:pt>
                <c:pt idx="280">
                  <c:v>-12.936497007728224</c:v>
                </c:pt>
                <c:pt idx="281">
                  <c:v>-12.979367746883064</c:v>
                </c:pt>
                <c:pt idx="282">
                  <c:v>-13.021946369244082</c:v>
                </c:pt>
                <c:pt idx="283">
                  <c:v>-13.064236638949057</c:v>
                </c:pt>
                <c:pt idx="284">
                  <c:v>-13.106242256144171</c:v>
                </c:pt>
                <c:pt idx="285">
                  <c:v>-13.148789370302556</c:v>
                </c:pt>
                <c:pt idx="286">
                  <c:v>-13.19104803430923</c:v>
                </c:pt>
                <c:pt idx="287">
                  <c:v>-13.233021975391704</c:v>
                </c:pt>
                <c:pt idx="288">
                  <c:v>-13.274714857334729</c:v>
                </c:pt>
                <c:pt idx="289">
                  <c:v>-13.317197721652491</c:v>
                </c:pt>
                <c:pt idx="290">
                  <c:v>-13.359392413423894</c:v>
                </c:pt>
                <c:pt idx="291">
                  <c:v>-13.401302688803913</c:v>
                </c:pt>
                <c:pt idx="292">
                  <c:v>-13.442932239524231</c:v>
                </c:pt>
                <c:pt idx="293">
                  <c:v>-13.48523707105344</c:v>
                </c:pt>
                <c:pt idx="294">
                  <c:v>-13.527255670712734</c:v>
                </c:pt>
                <c:pt idx="295">
                  <c:v>-13.568991791649429</c:v>
                </c:pt>
                <c:pt idx="296">
                  <c:v>-13.610449122292245</c:v>
                </c:pt>
                <c:pt idx="297">
                  <c:v>-13.652558330436293</c:v>
                </c:pt>
                <c:pt idx="298">
                  <c:v>-13.694383611602705</c:v>
                </c:pt>
                <c:pt idx="299">
                  <c:v>-13.7359287087917</c:v>
                </c:pt>
                <c:pt idx="300">
                  <c:v>-13.777197300116047</c:v>
                </c:pt>
                <c:pt idx="301">
                  <c:v>-13.819095474412961</c:v>
                </c:pt>
                <c:pt idx="302">
                  <c:v>-13.860712361025486</c:v>
                </c:pt>
                <c:pt idx="303">
                  <c:v>-13.902051685981851</c:v>
                </c:pt>
                <c:pt idx="304">
                  <c:v>-13.943117110376267</c:v>
                </c:pt>
                <c:pt idx="305">
                  <c:v>-13.984950641803772</c:v>
                </c:pt>
                <c:pt idx="306">
                  <c:v>-14.026503698761692</c:v>
                </c:pt>
                <c:pt idx="307">
                  <c:v>-14.067780026317108</c:v>
                </c:pt>
                <c:pt idx="308">
                  <c:v>-14.108783303682099</c:v>
                </c:pt>
                <c:pt idx="309">
                  <c:v>-14.150372648756226</c:v>
                </c:pt>
                <c:pt idx="310">
                  <c:v>-14.191684863320592</c:v>
                </c:pt>
                <c:pt idx="311">
                  <c:v>-14.232723660612363</c:v>
                </c:pt>
                <c:pt idx="312">
                  <c:v>-14.273492688244522</c:v>
                </c:pt>
                <c:pt idx="313">
                  <c:v>-14.314980108249307</c:v>
                </c:pt>
                <c:pt idx="314">
                  <c:v>-14.356191982350957</c:v>
                </c:pt>
                <c:pt idx="315">
                  <c:v>-14.397132026524599</c:v>
                </c:pt>
                <c:pt idx="316">
                  <c:v>-14.437803890507038</c:v>
                </c:pt>
                <c:pt idx="317">
                  <c:v>-14.47917004118664</c:v>
                </c:pt>
                <c:pt idx="318">
                  <c:v>-14.520262624838857</c:v>
                </c:pt>
                <c:pt idx="319">
                  <c:v>-14.56108535157777</c:v>
                </c:pt>
                <c:pt idx="320">
                  <c:v>-14.601641864832612</c:v>
                </c:pt>
                <c:pt idx="321">
                  <c:v>-14.642869713122098</c:v>
                </c:pt>
                <c:pt idx="322">
                  <c:v>-14.683826332712302</c:v>
                </c:pt>
                <c:pt idx="323">
                  <c:v>-14.724515419643971</c:v>
                </c:pt>
                <c:pt idx="324">
                  <c:v>-14.764940602991658</c:v>
                </c:pt>
                <c:pt idx="325">
                  <c:v>-14.806015285561573</c:v>
                </c:pt>
                <c:pt idx="326">
                  <c:v>-14.846821402504816</c:v>
                </c:pt>
                <c:pt idx="327">
                  <c:v>-14.887362627998685</c:v>
                </c:pt>
                <c:pt idx="328">
                  <c:v>-14.927642569135084</c:v>
                </c:pt>
                <c:pt idx="329">
                  <c:v>-14.968619434539224</c:v>
                </c:pt>
                <c:pt idx="330">
                  <c:v>-15.009329804888583</c:v>
                </c:pt>
                <c:pt idx="331">
                  <c:v>-15.049777343306394</c:v>
                </c:pt>
                <c:pt idx="332">
                  <c:v>-15.089965645425057</c:v>
                </c:pt>
                <c:pt idx="333">
                  <c:v>-15.130762082522608</c:v>
                </c:pt>
                <c:pt idx="334">
                  <c:v>-15.17129528798943</c:v>
                </c:pt>
                <c:pt idx="335">
                  <c:v>-15.211568887883262</c:v>
                </c:pt>
                <c:pt idx="336">
                  <c:v>-15.251586440984973</c:v>
                </c:pt>
                <c:pt idx="337">
                  <c:v>-15.292322930916761</c:v>
                </c:pt>
                <c:pt idx="338">
                  <c:v>-15.332798021097942</c:v>
                </c:pt>
                <c:pt idx="339">
                  <c:v>-15.373015328358955</c:v>
                </c:pt>
                <c:pt idx="340">
                  <c:v>-15.412978401765692</c:v>
                </c:pt>
                <c:pt idx="341">
                  <c:v>-15.453637736884005</c:v>
                </c:pt>
                <c:pt idx="342">
                  <c:v>-15.494037847935827</c:v>
                </c:pt>
                <c:pt idx="343">
                  <c:v>-15.534182333733316</c:v>
                </c:pt>
                <c:pt idx="344">
                  <c:v>-15.574074725039061</c:v>
                </c:pt>
                <c:pt idx="345">
                  <c:v>-15.61458024738446</c:v>
                </c:pt>
                <c:pt idx="346">
                  <c:v>-15.654829803021846</c:v>
                </c:pt>
                <c:pt idx="347">
                  <c:v>-15.694826948374224</c:v>
                </c:pt>
                <c:pt idx="348">
                  <c:v>-15.734575172138189</c:v>
                </c:pt>
                <c:pt idx="349">
                  <c:v>-15.775038339424192</c:v>
                </c:pt>
                <c:pt idx="350">
                  <c:v>-15.815247494418028</c:v>
                </c:pt>
                <c:pt idx="351">
                  <c:v>-15.855206176179667</c:v>
                </c:pt>
                <c:pt idx="352">
                  <c:v>-15.894917855731794</c:v>
                </c:pt>
                <c:pt idx="353">
                  <c:v>-15.935322712411551</c:v>
                </c:pt>
                <c:pt idx="354">
                  <c:v>-15.975475816166425</c:v>
                </c:pt>
                <c:pt idx="355">
                  <c:v>-16.015380680262147</c:v>
                </c:pt>
                <c:pt idx="356">
                  <c:v>-16.055040749831473</c:v>
                </c:pt>
                <c:pt idx="357">
                  <c:v>-16.095316157659941</c:v>
                </c:pt>
                <c:pt idx="358">
                  <c:v>-16.135343041937141</c:v>
                </c:pt>
                <c:pt idx="359">
                  <c:v>-16.17512486768695</c:v>
                </c:pt>
                <c:pt idx="360">
                  <c:v>-16.214665032294821</c:v>
                </c:pt>
                <c:pt idx="361">
                  <c:v>-16.254914343148474</c:v>
                </c:pt>
                <c:pt idx="362">
                  <c:v>-16.294917166629965</c:v>
                </c:pt>
                <c:pt idx="363">
                  <c:v>-16.334676942116129</c:v>
                </c:pt>
                <c:pt idx="364">
                  <c:v>-16.374197041270055</c:v>
                </c:pt>
                <c:pt idx="365">
                  <c:v>-16.414351081595889</c:v>
                </c:pt>
                <c:pt idx="366">
                  <c:v>-16.454261589882908</c:v>
                </c:pt>
                <c:pt idx="367">
                  <c:v>-16.493931958396601</c:v>
                </c:pt>
                <c:pt idx="368">
                  <c:v>-16.533365512195616</c:v>
                </c:pt>
                <c:pt idx="369">
                  <c:v>-16.573521307658115</c:v>
                </c:pt>
                <c:pt idx="370">
                  <c:v>-16.613435418748118</c:v>
                </c:pt>
                <c:pt idx="371">
                  <c:v>-16.653111211364362</c:v>
                </c:pt>
                <c:pt idx="372">
                  <c:v>-16.692551984185272</c:v>
                </c:pt>
                <c:pt idx="373">
                  <c:v>-16.732642345364546</c:v>
                </c:pt>
                <c:pt idx="374">
                  <c:v>-16.772493737298117</c:v>
                </c:pt>
                <c:pt idx="375">
                  <c:v>-16.81210947915271</c:v>
                </c:pt>
                <c:pt idx="376">
                  <c:v>-16.851492823432128</c:v>
                </c:pt>
                <c:pt idx="377">
                  <c:v>-16.891608978359699</c:v>
                </c:pt>
                <c:pt idx="378">
                  <c:v>-16.931487846531798</c:v>
                </c:pt>
                <c:pt idx="379">
                  <c:v>-16.971132719532342</c:v>
                </c:pt>
                <c:pt idx="380">
                  <c:v>-17.010546822364162</c:v>
                </c:pt>
                <c:pt idx="381">
                  <c:v>-17.050574090097101</c:v>
                </c:pt>
                <c:pt idx="382">
                  <c:v>-17.090367146413328</c:v>
                </c:pt>
                <c:pt idx="383">
                  <c:v>-17.129929224243146</c:v>
                </c:pt>
                <c:pt idx="384">
                  <c:v>-17.169263490894654</c:v>
                </c:pt>
                <c:pt idx="385">
                  <c:v>-17.20933948033441</c:v>
                </c:pt>
                <c:pt idx="386">
                  <c:v>-17.249182757478234</c:v>
                </c:pt>
                <c:pt idx="387">
                  <c:v>-17.288796527010891</c:v>
                </c:pt>
                <c:pt idx="388">
                  <c:v>-17.328183928180096</c:v>
                </c:pt>
                <c:pt idx="389">
                  <c:v>-17.368245216459382</c:v>
                </c:pt>
                <c:pt idx="390">
                  <c:v>-17.408076058552354</c:v>
                </c:pt>
                <c:pt idx="391">
                  <c:v>-17.447679613038144</c:v>
                </c:pt>
                <c:pt idx="392">
                  <c:v>-17.487058973777433</c:v>
                </c:pt>
                <c:pt idx="393">
                  <c:v>-17.527094094788907</c:v>
                </c:pt>
                <c:pt idx="394">
                  <c:v>-17.566901180144111</c:v>
                </c:pt>
                <c:pt idx="395">
                  <c:v>-17.606483337499938</c:v>
                </c:pt>
                <c:pt idx="396">
                  <c:v>-17.645843610700293</c:v>
                </c:pt>
                <c:pt idx="397">
                  <c:v>-17.685932537253258</c:v>
                </c:pt>
                <c:pt idx="398">
                  <c:v>-17.725794941469832</c:v>
                </c:pt>
                <c:pt idx="399">
                  <c:v>-17.765433896603582</c:v>
                </c:pt>
                <c:pt idx="400">
                  <c:v>-17.804852412607289</c:v>
                </c:pt>
                <c:pt idx="401">
                  <c:v>-17.844935849175755</c:v>
                </c:pt>
                <c:pt idx="402">
                  <c:v>-17.88479495236264</c:v>
                </c:pt>
                <c:pt idx="403">
                  <c:v>-17.924432745717446</c:v>
                </c:pt>
                <c:pt idx="404">
                  <c:v>-17.963852190479791</c:v>
                </c:pt>
                <c:pt idx="405">
                  <c:v>-18.003962357156563</c:v>
                </c:pt>
                <c:pt idx="406">
                  <c:v>-18.043850015055646</c:v>
                </c:pt>
                <c:pt idx="407">
                  <c:v>-18.08351814401162</c:v>
                </c:pt>
                <c:pt idx="408">
                  <c:v>-18.122969662438557</c:v>
                </c:pt>
                <c:pt idx="409">
                  <c:v>-18.163136064507025</c:v>
                </c:pt>
                <c:pt idx="410">
                  <c:v>-18.203081452077679</c:v>
                </c:pt>
                <c:pt idx="411">
                  <c:v>-18.24280876666549</c:v>
                </c:pt>
                <c:pt idx="412">
                  <c:v>-18.282320889169938</c:v>
                </c:pt>
                <c:pt idx="413">
                  <c:v>-18.322529203556314</c:v>
                </c:pt>
                <c:pt idx="414">
                  <c:v>-18.362518147411954</c:v>
                </c:pt>
                <c:pt idx="415">
                  <c:v>-18.402290619947507</c:v>
                </c:pt>
                <c:pt idx="416">
                  <c:v>-18.441849460736343</c:v>
                </c:pt>
                <c:pt idx="417">
                  <c:v>-18.482126950088087</c:v>
                </c:pt>
                <c:pt idx="418">
                  <c:v>-18.522186404487389</c:v>
                </c:pt>
                <c:pt idx="419">
                  <c:v>-18.562030686154984</c:v>
                </c:pt>
                <c:pt idx="420">
                  <c:v>-18.601662598571302</c:v>
                </c:pt>
                <c:pt idx="421">
                  <c:v>-18.641955063080047</c:v>
                </c:pt>
                <c:pt idx="422">
                  <c:v>-18.682031395359743</c:v>
                </c:pt>
                <c:pt idx="423">
                  <c:v>-18.721894409032181</c:v>
                </c:pt>
                <c:pt idx="424">
                  <c:v>-18.761546860254434</c:v>
                </c:pt>
                <c:pt idx="425">
                  <c:v>-18.801959436964466</c:v>
                </c:pt>
                <c:pt idx="426">
                  <c:v>-18.842156641234801</c:v>
                </c:pt>
                <c:pt idx="427">
                  <c:v>-18.882141260043589</c:v>
                </c:pt>
                <c:pt idx="428">
                  <c:v>-18.921916023644872</c:v>
                </c:pt>
                <c:pt idx="429">
                  <c:v>-18.962393405702208</c:v>
                </c:pt>
                <c:pt idx="430">
                  <c:v>-19.002656750572978</c:v>
                </c:pt>
                <c:pt idx="431">
                  <c:v>-19.042708807329188</c:v>
                </c:pt>
                <c:pt idx="432">
                  <c:v>-19.08255226942358</c:v>
                </c:pt>
                <c:pt idx="433">
                  <c:v>-19.12308066307088</c:v>
                </c:pt>
                <c:pt idx="434">
                  <c:v>-19.163396479072855</c:v>
                </c:pt>
                <c:pt idx="435">
                  <c:v>-19.20350242644275</c:v>
                </c:pt>
                <c:pt idx="436">
                  <c:v>-19.243401159791077</c:v>
                </c:pt>
                <c:pt idx="437">
                  <c:v>-19.284040502754166</c:v>
                </c:pt>
                <c:pt idx="438">
                  <c:v>-19.324468082902825</c:v>
                </c:pt>
                <c:pt idx="439">
                  <c:v>-19.364686581888392</c:v>
                </c:pt>
                <c:pt idx="440">
                  <c:v>-19.404698627888088</c:v>
                </c:pt>
                <c:pt idx="441">
                  <c:v>-19.44543264726849</c:v>
                </c:pt>
                <c:pt idx="442">
                  <c:v>-19.485955876418885</c:v>
                </c:pt>
                <c:pt idx="443">
                  <c:v>-19.526270967218561</c:v>
                </c:pt>
                <c:pt idx="444">
                  <c:v>-19.56638051911289</c:v>
                </c:pt>
                <c:pt idx="445">
                  <c:v>-19.607194086777703</c:v>
                </c:pt>
                <c:pt idx="446">
                  <c:v>-19.647797980308013</c:v>
                </c:pt>
                <c:pt idx="447">
                  <c:v>-19.688194819956969</c:v>
                </c:pt>
                <c:pt idx="448">
                  <c:v>-19.728387174673163</c:v>
                </c:pt>
                <c:pt idx="449">
                  <c:v>-19.769334598242786</c:v>
                </c:pt>
                <c:pt idx="450">
                  <c:v>-19.810072899914807</c:v>
                </c:pt>
                <c:pt idx="451">
                  <c:v>-19.850604679860755</c:v>
                </c:pt>
                <c:pt idx="452">
                  <c:v>-19.890932487812766</c:v>
                </c:pt>
                <c:pt idx="453">
                  <c:v>-19.931963136341398</c:v>
                </c:pt>
                <c:pt idx="454">
                  <c:v>-19.972785728828935</c:v>
                </c:pt>
                <c:pt idx="455">
                  <c:v>-20.013402837005358</c:v>
                </c:pt>
                <c:pt idx="456">
                  <c:v>-20.053816983271453</c:v>
                </c:pt>
                <c:pt idx="457">
                  <c:v>-20.094982560600435</c:v>
                </c:pt>
                <c:pt idx="458">
                  <c:v>-20.135940625709566</c:v>
                </c:pt>
                <c:pt idx="459">
                  <c:v>-20.176693732901096</c:v>
                </c:pt>
                <c:pt idx="460">
                  <c:v>-20.217244388000005</c:v>
                </c:pt>
                <c:pt idx="461">
                  <c:v>-20.25852808429773</c:v>
                </c:pt>
                <c:pt idx="462">
                  <c:v>-20.299604991190719</c:v>
                </c:pt>
                <c:pt idx="463">
                  <c:v>-20.340477643735547</c:v>
                </c:pt>
                <c:pt idx="464">
                  <c:v>-20.381148529426397</c:v>
                </c:pt>
                <c:pt idx="465">
                  <c:v>-20.4225662705514</c:v>
                </c:pt>
                <c:pt idx="466">
                  <c:v>-20.463777801083541</c:v>
                </c:pt>
                <c:pt idx="467">
                  <c:v>-20.504785641082446</c:v>
                </c:pt>
                <c:pt idx="468">
                  <c:v>-20.545592263863885</c:v>
                </c:pt>
                <c:pt idx="469">
                  <c:v>-20.587127738209539</c:v>
                </c:pt>
                <c:pt idx="470">
                  <c:v>-20.628457764447528</c:v>
                </c:pt>
                <c:pt idx="471">
                  <c:v>-20.669584845995455</c:v>
                </c:pt>
                <c:pt idx="472">
                  <c:v>-20.710511440388188</c:v>
                </c:pt>
                <c:pt idx="473">
                  <c:v>-20.752210179961374</c:v>
                </c:pt>
                <c:pt idx="474">
                  <c:v>-20.793703814543932</c:v>
                </c:pt>
                <c:pt idx="475">
                  <c:v>-20.834994840334456</c:v>
                </c:pt>
                <c:pt idx="476">
                  <c:v>-20.876085708276296</c:v>
                </c:pt>
                <c:pt idx="477">
                  <c:v>-20.917930259766251</c:v>
                </c:pt>
                <c:pt idx="478">
                  <c:v>-20.95957026076394</c:v>
                </c:pt>
                <c:pt idx="479">
                  <c:v>-21.001008198230309</c:v>
                </c:pt>
                <c:pt idx="480">
                  <c:v>-21.042246514537478</c:v>
                </c:pt>
                <c:pt idx="481">
                  <c:v>-21.084220738014842</c:v>
                </c:pt>
                <c:pt idx="482">
                  <c:v>-21.125991167462004</c:v>
                </c:pt>
                <c:pt idx="483">
                  <c:v>-21.167560278795566</c:v>
                </c:pt>
                <c:pt idx="484">
                  <c:v>-21.208930504033798</c:v>
                </c:pt>
                <c:pt idx="485">
                  <c:v>-21.251048134355898</c:v>
                </c:pt>
                <c:pt idx="486">
                  <c:v>-21.292962645379241</c:v>
                </c:pt>
                <c:pt idx="487">
                  <c:v>-21.334676505325163</c:v>
                </c:pt>
                <c:pt idx="488">
                  <c:v>-21.376192139102702</c:v>
                </c:pt>
                <c:pt idx="489">
                  <c:v>-21.418494034355998</c:v>
                </c:pt>
                <c:pt idx="490">
                  <c:v>-21.460593154991709</c:v>
                </c:pt>
                <c:pt idx="491">
                  <c:v>-21.502491969382199</c:v>
                </c:pt>
                <c:pt idx="492">
                  <c:v>-21.544192902960859</c:v>
                </c:pt>
                <c:pt idx="493">
                  <c:v>-21.586661915008193</c:v>
                </c:pt>
                <c:pt idx="494">
                  <c:v>-21.62892873448007</c:v>
                </c:pt>
                <c:pt idx="495">
                  <c:v>-21.670995827391781</c:v>
                </c:pt>
                <c:pt idx="496">
                  <c:v>-21.712865617216334</c:v>
                </c:pt>
                <c:pt idx="497">
                  <c:v>-21.75551302253951</c:v>
                </c:pt>
                <c:pt idx="498">
                  <c:v>-21.797958790015862</c:v>
                </c:pt>
                <c:pt idx="499">
                  <c:v>-21.84020538554438</c:v>
                </c:pt>
                <c:pt idx="500">
                  <c:v>-21.882255232786672</c:v>
                </c:pt>
                <c:pt idx="501">
                  <c:v>-21.925091668230515</c:v>
                </c:pt>
                <c:pt idx="502">
                  <c:v>-21.967727009012265</c:v>
                </c:pt>
                <c:pt idx="503">
                  <c:v>-22.01016372278875</c:v>
                </c:pt>
                <c:pt idx="504">
                  <c:v>-22.052404235196811</c:v>
                </c:pt>
                <c:pt idx="505">
                  <c:v>-22.095413765765798</c:v>
                </c:pt>
                <c:pt idx="506">
                  <c:v>-22.138222989294555</c:v>
                </c:pt>
                <c:pt idx="507">
                  <c:v>-22.180834372256161</c:v>
                </c:pt>
                <c:pt idx="508">
                  <c:v>-22.223250339338676</c:v>
                </c:pt>
                <c:pt idx="509">
                  <c:v>-22.266444014425957</c:v>
                </c:pt>
                <c:pt idx="510">
                  <c:v>-22.30943816764843</c:v>
                </c:pt>
                <c:pt idx="511">
                  <c:v>-22.352235265738486</c:v>
                </c:pt>
                <c:pt idx="512">
                  <c:v>-22.394837733793128</c:v>
                </c:pt>
                <c:pt idx="513">
                  <c:v>-22.438251219622948</c:v>
                </c:pt>
                <c:pt idx="514">
                  <c:v>-22.481465749979183</c:v>
                </c:pt>
                <c:pt idx="515">
                  <c:v>-22.52448379717627</c:v>
                </c:pt>
                <c:pt idx="516">
                  <c:v>-22.567307791868402</c:v>
                </c:pt>
                <c:pt idx="517">
                  <c:v>-22.610925302811697</c:v>
                </c:pt>
                <c:pt idx="518">
                  <c:v>-22.654344686575449</c:v>
                </c:pt>
                <c:pt idx="519">
                  <c:v>-22.69756841731029</c:v>
                </c:pt>
                <c:pt idx="520">
                  <c:v>-22.740598927508664</c:v>
                </c:pt>
                <c:pt idx="521">
                  <c:v>-22.784430378933362</c:v>
                </c:pt>
                <c:pt idx="522">
                  <c:v>-22.828064562023439</c:v>
                </c:pt>
                <c:pt idx="523">
                  <c:v>-22.871503953110658</c:v>
                </c:pt>
                <c:pt idx="524">
                  <c:v>-22.914750986804187</c:v>
                </c:pt>
                <c:pt idx="525">
                  <c:v>-22.958806037711717</c:v>
                </c:pt>
                <c:pt idx="526">
                  <c:v>-23.002664717905489</c:v>
                </c:pt>
                <c:pt idx="527">
                  <c:v>-23.046329505892039</c:v>
                </c:pt>
                <c:pt idx="528">
                  <c:v>-23.08980283833144</c:v>
                </c:pt>
                <c:pt idx="529">
                  <c:v>-23.134090948542148</c:v>
                </c:pt>
                <c:pt idx="530">
                  <c:v>-23.178183631185625</c:v>
                </c:pt>
                <c:pt idx="531">
                  <c:v>-23.222083366597019</c:v>
                </c:pt>
                <c:pt idx="532">
                  <c:v>-23.265792593089159</c:v>
                </c:pt>
                <c:pt idx="533">
                  <c:v>-23.310346013090573</c:v>
                </c:pt>
                <c:pt idx="534">
                  <c:v>-23.354704799948628</c:v>
                </c:pt>
                <c:pt idx="535">
                  <c:v>-23.398871438966967</c:v>
                </c:pt>
                <c:pt idx="536">
                  <c:v>-23.442848373120313</c:v>
                </c:pt>
                <c:pt idx="537">
                  <c:v>-23.487630039812007</c:v>
                </c:pt>
                <c:pt idx="538">
                  <c:v>-23.532218326468502</c:v>
                </c:pt>
                <c:pt idx="539">
                  <c:v>-23.576615714667469</c:v>
                </c:pt>
                <c:pt idx="540">
                  <c:v>-23.620824643489293</c:v>
                </c:pt>
                <c:pt idx="541">
                  <c:v>-23.665889204160329</c:v>
                </c:pt>
                <c:pt idx="542">
                  <c:v>-23.710761301708526</c:v>
                </c:pt>
                <c:pt idx="543">
                  <c:v>-23.755443420249144</c:v>
                </c:pt>
                <c:pt idx="544">
                  <c:v>-23.799938001031826</c:v>
                </c:pt>
                <c:pt idx="545">
                  <c:v>-23.845271657556779</c:v>
                </c:pt>
                <c:pt idx="546">
                  <c:v>-23.890414024339869</c:v>
                </c:pt>
                <c:pt idx="547">
                  <c:v>-23.935367582675248</c:v>
                </c:pt>
                <c:pt idx="548">
                  <c:v>-23.980134770690196</c:v>
                </c:pt>
                <c:pt idx="549">
                  <c:v>-24.025746652801487</c:v>
                </c:pt>
                <c:pt idx="550">
                  <c:v>-24.071168475522047</c:v>
                </c:pt>
                <c:pt idx="551">
                  <c:v>-24.116402715528103</c:v>
                </c:pt>
                <c:pt idx="552">
                  <c:v>-24.161451806016757</c:v>
                </c:pt>
                <c:pt idx="553">
                  <c:v>-24.207372130435722</c:v>
                </c:pt>
                <c:pt idx="554">
                  <c:v>-24.253103508263596</c:v>
                </c:pt>
                <c:pt idx="555">
                  <c:v>-24.298648412917419</c:v>
                </c:pt>
                <c:pt idx="556">
                  <c:v>-24.344009273940735</c:v>
                </c:pt>
                <c:pt idx="557">
                  <c:v>-24.436295314681459</c:v>
                </c:pt>
                <c:pt idx="558">
                  <c:v>-24.527840112610658</c:v>
                </c:pt>
                <c:pt idx="559">
                  <c:v>-24.620736347183801</c:v>
                </c:pt>
                <c:pt idx="560">
                  <c:v>-24.712896905728098</c:v>
                </c:pt>
                <c:pt idx="561">
                  <c:v>-24.806501943544085</c:v>
                </c:pt>
                <c:pt idx="562">
                  <c:v>-24.899375788523894</c:v>
                </c:pt>
                <c:pt idx="563">
                  <c:v>-24.993507543368771</c:v>
                </c:pt>
                <c:pt idx="564">
                  <c:v>-25.086915824867269</c:v>
                </c:pt>
                <c:pt idx="565">
                  <c:v>-25.181947596386941</c:v>
                </c:pt>
                <c:pt idx="566">
                  <c:v>-25.276258310307547</c:v>
                </c:pt>
                <c:pt idx="567">
                  <c:v>-25.372159945504173</c:v>
                </c:pt>
                <c:pt idx="568">
                  <c:v>-25.467343865139632</c:v>
                </c:pt>
                <c:pt idx="569">
                  <c:v>-25.563711510081085</c:v>
                </c:pt>
                <c:pt idx="570">
                  <c:v>-25.659371081807887</c:v>
                </c:pt>
                <c:pt idx="571">
                  <c:v>-25.756938446785465</c:v>
                </c:pt>
                <c:pt idx="572">
                  <c:v>-25.853796949300097</c:v>
                </c:pt>
                <c:pt idx="573">
                  <c:v>-25.951793707935312</c:v>
                </c:pt>
                <c:pt idx="574">
                  <c:v>-26.049092204537594</c:v>
                </c:pt>
                <c:pt idx="575">
                  <c:v>-26.148234533381469</c:v>
                </c:pt>
                <c:pt idx="576">
                  <c:v>-26.246679192218451</c:v>
                </c:pt>
                <c:pt idx="577">
                  <c:v>-26.656123600615011</c:v>
                </c:pt>
                <c:pt idx="578">
                  <c:v>-27.054598459517166</c:v>
                </c:pt>
                <c:pt idx="579">
                  <c:v>-27.89430563094443</c:v>
                </c:pt>
                <c:pt idx="580">
                  <c:v>-28.770866784147294</c:v>
                </c:pt>
                <c:pt idx="581">
                  <c:v>-29.68642063194072</c:v>
                </c:pt>
                <c:pt idx="582">
                  <c:v>-30.644439883638135</c:v>
                </c:pt>
                <c:pt idx="583">
                  <c:v>-31.646468262979109</c:v>
                </c:pt>
                <c:pt idx="584">
                  <c:v>-32.694779400507727</c:v>
                </c:pt>
                <c:pt idx="585">
                  <c:v>-33.789504143364567</c:v>
                </c:pt>
                <c:pt idx="586">
                  <c:v>-34.930691654478991</c:v>
                </c:pt>
                <c:pt idx="587">
                  <c:v>-36.118104508538671</c:v>
                </c:pt>
                <c:pt idx="588">
                  <c:v>-37.349021672574345</c:v>
                </c:pt>
                <c:pt idx="589">
                  <c:v>-38.622229825431369</c:v>
                </c:pt>
                <c:pt idx="590">
                  <c:v>-39.934594199447702</c:v>
                </c:pt>
                <c:pt idx="591">
                  <c:v>-41.283220263172737</c:v>
                </c:pt>
                <c:pt idx="592">
                  <c:v>-42.66471594271102</c:v>
                </c:pt>
                <c:pt idx="593">
                  <c:v>-44.076219133932312</c:v>
                </c:pt>
                <c:pt idx="594">
                  <c:v>-45.514127105140361</c:v>
                </c:pt>
                <c:pt idx="595">
                  <c:v>-46.975624796779094</c:v>
                </c:pt>
                <c:pt idx="596">
                  <c:v>-48.457500831087245</c:v>
                </c:pt>
                <c:pt idx="597">
                  <c:v>-49.957387470215309</c:v>
                </c:pt>
                <c:pt idx="598">
                  <c:v>-51.472479848131847</c:v>
                </c:pt>
                <c:pt idx="599">
                  <c:v>-53.000987344339336</c:v>
                </c:pt>
                <c:pt idx="600">
                  <c:v>-54.540751997107265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55-41F1-84E2-E768F8DC0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14272"/>
        <c:axId val="159016448"/>
      </c:scatterChart>
      <c:scatterChart>
        <c:scatterStyle val="lineMarker"/>
        <c:varyColors val="0"/>
        <c:ser>
          <c:idx val="1"/>
          <c:order val="1"/>
          <c:tx>
            <c:strRef>
              <c:f>'Stability Calculations'!$S$12</c:f>
              <c:strCache>
                <c:ptCount val="1"/>
                <c:pt idx="0">
                  <c:v>Phase (°)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'Stability Calculations'!$A$13:$A$613</c:f>
              <c:numCache>
                <c:formatCode>General</c:formatCode>
                <c:ptCount val="601"/>
                <c:pt idx="0">
                  <c:v>1</c:v>
                </c:pt>
                <c:pt idx="1">
                  <c:v>1.0965</c:v>
                </c:pt>
                <c:pt idx="2">
                  <c:v>1.2022999999999999</c:v>
                </c:pt>
                <c:pt idx="3">
                  <c:v>1.3183</c:v>
                </c:pt>
                <c:pt idx="4">
                  <c:v>1.4454</c:v>
                </c:pt>
                <c:pt idx="5">
                  <c:v>1.5849</c:v>
                </c:pt>
                <c:pt idx="6">
                  <c:v>1.7378</c:v>
                </c:pt>
                <c:pt idx="7">
                  <c:v>1.9055</c:v>
                </c:pt>
                <c:pt idx="8">
                  <c:v>2.0893000000000002</c:v>
                </c:pt>
                <c:pt idx="9">
                  <c:v>2.2909000000000002</c:v>
                </c:pt>
                <c:pt idx="10">
                  <c:v>2.5118999999999998</c:v>
                </c:pt>
                <c:pt idx="11">
                  <c:v>2.7542</c:v>
                </c:pt>
                <c:pt idx="12">
                  <c:v>3.02</c:v>
                </c:pt>
                <c:pt idx="13">
                  <c:v>3.3113000000000001</c:v>
                </c:pt>
                <c:pt idx="14">
                  <c:v>3.6307999999999998</c:v>
                </c:pt>
                <c:pt idx="15">
                  <c:v>3.9811000000000001</c:v>
                </c:pt>
                <c:pt idx="16">
                  <c:v>4.3651999999999997</c:v>
                </c:pt>
                <c:pt idx="17">
                  <c:v>4.7862999999999998</c:v>
                </c:pt>
                <c:pt idx="18">
                  <c:v>5.2481</c:v>
                </c:pt>
                <c:pt idx="19">
                  <c:v>5.7544000000000004</c:v>
                </c:pt>
                <c:pt idx="20">
                  <c:v>6.3095999999999997</c:v>
                </c:pt>
                <c:pt idx="21">
                  <c:v>6.9183000000000003</c:v>
                </c:pt>
                <c:pt idx="22">
                  <c:v>7.5857999999999999</c:v>
                </c:pt>
                <c:pt idx="23">
                  <c:v>8.3176000000000005</c:v>
                </c:pt>
                <c:pt idx="24">
                  <c:v>9.1201000000000008</c:v>
                </c:pt>
                <c:pt idx="25">
                  <c:v>10</c:v>
                </c:pt>
                <c:pt idx="26">
                  <c:v>10.965</c:v>
                </c:pt>
                <c:pt idx="27">
                  <c:v>12.023</c:v>
                </c:pt>
                <c:pt idx="28">
                  <c:v>13.183</c:v>
                </c:pt>
                <c:pt idx="29">
                  <c:v>14.454000000000001</c:v>
                </c:pt>
                <c:pt idx="30">
                  <c:v>15.849</c:v>
                </c:pt>
                <c:pt idx="31">
                  <c:v>17.378</c:v>
                </c:pt>
                <c:pt idx="32">
                  <c:v>19.055</c:v>
                </c:pt>
                <c:pt idx="33">
                  <c:v>20.893000000000001</c:v>
                </c:pt>
                <c:pt idx="34">
                  <c:v>22.909000000000002</c:v>
                </c:pt>
                <c:pt idx="35">
                  <c:v>25.119</c:v>
                </c:pt>
                <c:pt idx="36">
                  <c:v>27.542000000000002</c:v>
                </c:pt>
                <c:pt idx="37">
                  <c:v>30.2</c:v>
                </c:pt>
                <c:pt idx="38">
                  <c:v>33.113</c:v>
                </c:pt>
                <c:pt idx="39">
                  <c:v>36.308</c:v>
                </c:pt>
                <c:pt idx="40">
                  <c:v>39.811</c:v>
                </c:pt>
                <c:pt idx="41">
                  <c:v>43.652000000000001</c:v>
                </c:pt>
                <c:pt idx="42">
                  <c:v>47.863</c:v>
                </c:pt>
                <c:pt idx="43">
                  <c:v>52.481000000000002</c:v>
                </c:pt>
                <c:pt idx="44">
                  <c:v>57.544000000000004</c:v>
                </c:pt>
                <c:pt idx="45">
                  <c:v>63.095999999999997</c:v>
                </c:pt>
                <c:pt idx="46">
                  <c:v>69.183000000000007</c:v>
                </c:pt>
                <c:pt idx="47">
                  <c:v>75.858000000000004</c:v>
                </c:pt>
                <c:pt idx="48">
                  <c:v>83.176000000000002</c:v>
                </c:pt>
                <c:pt idx="49">
                  <c:v>91.201000000000008</c:v>
                </c:pt>
                <c:pt idx="50">
                  <c:v>100</c:v>
                </c:pt>
                <c:pt idx="51">
                  <c:v>109.65</c:v>
                </c:pt>
                <c:pt idx="52">
                  <c:v>120.23</c:v>
                </c:pt>
                <c:pt idx="53">
                  <c:v>131.83000000000001</c:v>
                </c:pt>
                <c:pt idx="54">
                  <c:v>144.54</c:v>
                </c:pt>
                <c:pt idx="55">
                  <c:v>158.49</c:v>
                </c:pt>
                <c:pt idx="56">
                  <c:v>173.78</c:v>
                </c:pt>
                <c:pt idx="57">
                  <c:v>190.55</c:v>
                </c:pt>
                <c:pt idx="58">
                  <c:v>208.93</c:v>
                </c:pt>
                <c:pt idx="59">
                  <c:v>229.09</c:v>
                </c:pt>
                <c:pt idx="60">
                  <c:v>251.19</c:v>
                </c:pt>
                <c:pt idx="61">
                  <c:v>275.42</c:v>
                </c:pt>
                <c:pt idx="62">
                  <c:v>302</c:v>
                </c:pt>
                <c:pt idx="63">
                  <c:v>331.13</c:v>
                </c:pt>
                <c:pt idx="64">
                  <c:v>363.08</c:v>
                </c:pt>
                <c:pt idx="65">
                  <c:v>398.11</c:v>
                </c:pt>
                <c:pt idx="66">
                  <c:v>436.52</c:v>
                </c:pt>
                <c:pt idx="67">
                  <c:v>478.63</c:v>
                </c:pt>
                <c:pt idx="68">
                  <c:v>524.80999999999995</c:v>
                </c:pt>
                <c:pt idx="69">
                  <c:v>575.44000000000005</c:v>
                </c:pt>
                <c:pt idx="70">
                  <c:v>630.96</c:v>
                </c:pt>
                <c:pt idx="71">
                  <c:v>691.83</c:v>
                </c:pt>
                <c:pt idx="72">
                  <c:v>758.58</c:v>
                </c:pt>
                <c:pt idx="73">
                  <c:v>831.76</c:v>
                </c:pt>
                <c:pt idx="74">
                  <c:v>912.01</c:v>
                </c:pt>
                <c:pt idx="75">
                  <c:v>1000</c:v>
                </c:pt>
                <c:pt idx="76">
                  <c:v>1096.5</c:v>
                </c:pt>
                <c:pt idx="77">
                  <c:v>1202.3</c:v>
                </c:pt>
                <c:pt idx="78">
                  <c:v>1318.3</c:v>
                </c:pt>
                <c:pt idx="79">
                  <c:v>1445.4</c:v>
                </c:pt>
                <c:pt idx="80">
                  <c:v>1584.9</c:v>
                </c:pt>
                <c:pt idx="81">
                  <c:v>1737.8</c:v>
                </c:pt>
                <c:pt idx="82">
                  <c:v>1905.5</c:v>
                </c:pt>
                <c:pt idx="83">
                  <c:v>2089.3000000000002</c:v>
                </c:pt>
                <c:pt idx="84">
                  <c:v>2290.9</c:v>
                </c:pt>
                <c:pt idx="85">
                  <c:v>2511.9</c:v>
                </c:pt>
                <c:pt idx="86">
                  <c:v>2754.2</c:v>
                </c:pt>
                <c:pt idx="87">
                  <c:v>3020</c:v>
                </c:pt>
                <c:pt idx="88">
                  <c:v>3311.3</c:v>
                </c:pt>
                <c:pt idx="89">
                  <c:v>3630.8</c:v>
                </c:pt>
                <c:pt idx="90">
                  <c:v>3981.1</c:v>
                </c:pt>
                <c:pt idx="91">
                  <c:v>4365.2</c:v>
                </c:pt>
                <c:pt idx="92">
                  <c:v>4786.3</c:v>
                </c:pt>
                <c:pt idx="93">
                  <c:v>5248.1</c:v>
                </c:pt>
                <c:pt idx="94">
                  <c:v>5370.3</c:v>
                </c:pt>
                <c:pt idx="95">
                  <c:v>5432.85</c:v>
                </c:pt>
                <c:pt idx="96">
                  <c:v>5495.4</c:v>
                </c:pt>
                <c:pt idx="97">
                  <c:v>5559.4</c:v>
                </c:pt>
                <c:pt idx="98">
                  <c:v>5623.4</c:v>
                </c:pt>
                <c:pt idx="99">
                  <c:v>5688.9</c:v>
                </c:pt>
                <c:pt idx="100">
                  <c:v>5754.4</c:v>
                </c:pt>
                <c:pt idx="101">
                  <c:v>5821.4</c:v>
                </c:pt>
                <c:pt idx="102">
                  <c:v>5888.4</c:v>
                </c:pt>
                <c:pt idx="103">
                  <c:v>5957</c:v>
                </c:pt>
                <c:pt idx="104">
                  <c:v>6025.6</c:v>
                </c:pt>
                <c:pt idx="105">
                  <c:v>6095.8</c:v>
                </c:pt>
                <c:pt idx="106">
                  <c:v>6166</c:v>
                </c:pt>
                <c:pt idx="107">
                  <c:v>6237.8</c:v>
                </c:pt>
                <c:pt idx="108">
                  <c:v>6309.6</c:v>
                </c:pt>
                <c:pt idx="109">
                  <c:v>6383.05</c:v>
                </c:pt>
                <c:pt idx="110">
                  <c:v>6456.5</c:v>
                </c:pt>
                <c:pt idx="111">
                  <c:v>6531.7</c:v>
                </c:pt>
                <c:pt idx="112">
                  <c:v>6606.9</c:v>
                </c:pt>
                <c:pt idx="113">
                  <c:v>6683.85</c:v>
                </c:pt>
                <c:pt idx="114">
                  <c:v>6760.8</c:v>
                </c:pt>
                <c:pt idx="115">
                  <c:v>6839.55</c:v>
                </c:pt>
                <c:pt idx="116">
                  <c:v>6918.3</c:v>
                </c:pt>
                <c:pt idx="117">
                  <c:v>6998.9</c:v>
                </c:pt>
                <c:pt idx="118">
                  <c:v>7079.5</c:v>
                </c:pt>
                <c:pt idx="119">
                  <c:v>7161.95</c:v>
                </c:pt>
                <c:pt idx="120">
                  <c:v>7244.4</c:v>
                </c:pt>
                <c:pt idx="121">
                  <c:v>7328.75</c:v>
                </c:pt>
                <c:pt idx="122">
                  <c:v>7413.1</c:v>
                </c:pt>
                <c:pt idx="123">
                  <c:v>7499.45</c:v>
                </c:pt>
                <c:pt idx="124">
                  <c:v>7585.8</c:v>
                </c:pt>
                <c:pt idx="125">
                  <c:v>7674.15</c:v>
                </c:pt>
                <c:pt idx="126">
                  <c:v>7762.5</c:v>
                </c:pt>
                <c:pt idx="127">
                  <c:v>7852.9</c:v>
                </c:pt>
                <c:pt idx="128">
                  <c:v>7943.3</c:v>
                </c:pt>
                <c:pt idx="129">
                  <c:v>8035.8</c:v>
                </c:pt>
                <c:pt idx="130">
                  <c:v>8128.3</c:v>
                </c:pt>
                <c:pt idx="131">
                  <c:v>8222.9500000000007</c:v>
                </c:pt>
                <c:pt idx="132">
                  <c:v>8270.2750000000015</c:v>
                </c:pt>
                <c:pt idx="133">
                  <c:v>8317.6</c:v>
                </c:pt>
                <c:pt idx="134">
                  <c:v>8366.0499999999993</c:v>
                </c:pt>
                <c:pt idx="135">
                  <c:v>8414.5</c:v>
                </c:pt>
                <c:pt idx="136">
                  <c:v>8462.9500000000007</c:v>
                </c:pt>
                <c:pt idx="137">
                  <c:v>8511.4</c:v>
                </c:pt>
                <c:pt idx="138">
                  <c:v>8560.9500000000007</c:v>
                </c:pt>
                <c:pt idx="139">
                  <c:v>8610.5</c:v>
                </c:pt>
                <c:pt idx="140">
                  <c:v>8660.0499999999993</c:v>
                </c:pt>
                <c:pt idx="141">
                  <c:v>8709.6</c:v>
                </c:pt>
                <c:pt idx="142">
                  <c:v>8760.3250000000007</c:v>
                </c:pt>
                <c:pt idx="143">
                  <c:v>8811.0499999999993</c:v>
                </c:pt>
                <c:pt idx="144">
                  <c:v>8861.7749999999996</c:v>
                </c:pt>
                <c:pt idx="145">
                  <c:v>8912.5</c:v>
                </c:pt>
                <c:pt idx="146">
                  <c:v>8964.4</c:v>
                </c:pt>
                <c:pt idx="147">
                  <c:v>9016.2999999999993</c:v>
                </c:pt>
                <c:pt idx="148">
                  <c:v>9068.2000000000007</c:v>
                </c:pt>
                <c:pt idx="149">
                  <c:v>9120.1</c:v>
                </c:pt>
                <c:pt idx="150">
                  <c:v>9173.2000000000007</c:v>
                </c:pt>
                <c:pt idx="151">
                  <c:v>9226.2999999999993</c:v>
                </c:pt>
                <c:pt idx="152">
                  <c:v>9279.4</c:v>
                </c:pt>
                <c:pt idx="153">
                  <c:v>9332.5</c:v>
                </c:pt>
                <c:pt idx="154">
                  <c:v>9386.85</c:v>
                </c:pt>
                <c:pt idx="155">
                  <c:v>9441.2000000000007</c:v>
                </c:pt>
                <c:pt idx="156">
                  <c:v>9495.5499999999993</c:v>
                </c:pt>
                <c:pt idx="157">
                  <c:v>9549.9</c:v>
                </c:pt>
                <c:pt idx="158">
                  <c:v>9605.5249999999996</c:v>
                </c:pt>
                <c:pt idx="159">
                  <c:v>9661.15</c:v>
                </c:pt>
                <c:pt idx="160">
                  <c:v>9716.7749999999996</c:v>
                </c:pt>
                <c:pt idx="161">
                  <c:v>9772.4</c:v>
                </c:pt>
                <c:pt idx="162">
                  <c:v>9829.2999999999993</c:v>
                </c:pt>
                <c:pt idx="163">
                  <c:v>9886.2000000000007</c:v>
                </c:pt>
                <c:pt idx="164">
                  <c:v>9943.1</c:v>
                </c:pt>
                <c:pt idx="165">
                  <c:v>10000</c:v>
                </c:pt>
                <c:pt idx="166">
                  <c:v>10058.25</c:v>
                </c:pt>
                <c:pt idx="167">
                  <c:v>10116.5</c:v>
                </c:pt>
                <c:pt idx="168">
                  <c:v>10174.75</c:v>
                </c:pt>
                <c:pt idx="169">
                  <c:v>10233</c:v>
                </c:pt>
                <c:pt idx="170">
                  <c:v>10292.5</c:v>
                </c:pt>
                <c:pt idx="171">
                  <c:v>10352</c:v>
                </c:pt>
                <c:pt idx="172">
                  <c:v>10411.5</c:v>
                </c:pt>
                <c:pt idx="173">
                  <c:v>10471</c:v>
                </c:pt>
                <c:pt idx="174">
                  <c:v>10532</c:v>
                </c:pt>
                <c:pt idx="175">
                  <c:v>10593</c:v>
                </c:pt>
                <c:pt idx="176">
                  <c:v>10654</c:v>
                </c:pt>
                <c:pt idx="177">
                  <c:v>10715</c:v>
                </c:pt>
                <c:pt idx="178">
                  <c:v>10777.5</c:v>
                </c:pt>
                <c:pt idx="179">
                  <c:v>10840</c:v>
                </c:pt>
                <c:pt idx="180">
                  <c:v>10902.5</c:v>
                </c:pt>
                <c:pt idx="181">
                  <c:v>10965</c:v>
                </c:pt>
                <c:pt idx="182">
                  <c:v>11028.75</c:v>
                </c:pt>
                <c:pt idx="183">
                  <c:v>11092.5</c:v>
                </c:pt>
                <c:pt idx="184">
                  <c:v>11156.25</c:v>
                </c:pt>
                <c:pt idx="185">
                  <c:v>11220</c:v>
                </c:pt>
                <c:pt idx="186">
                  <c:v>11285.5</c:v>
                </c:pt>
                <c:pt idx="187">
                  <c:v>11351</c:v>
                </c:pt>
                <c:pt idx="188">
                  <c:v>11416.5</c:v>
                </c:pt>
                <c:pt idx="189">
                  <c:v>11482</c:v>
                </c:pt>
                <c:pt idx="190">
                  <c:v>11548.75</c:v>
                </c:pt>
                <c:pt idx="191">
                  <c:v>11615.5</c:v>
                </c:pt>
                <c:pt idx="192">
                  <c:v>11682.25</c:v>
                </c:pt>
                <c:pt idx="193">
                  <c:v>11749</c:v>
                </c:pt>
                <c:pt idx="194">
                  <c:v>11817.5</c:v>
                </c:pt>
                <c:pt idx="195">
                  <c:v>11886</c:v>
                </c:pt>
                <c:pt idx="196">
                  <c:v>11954.5</c:v>
                </c:pt>
                <c:pt idx="197">
                  <c:v>12023</c:v>
                </c:pt>
                <c:pt idx="198">
                  <c:v>12093</c:v>
                </c:pt>
                <c:pt idx="199">
                  <c:v>12163</c:v>
                </c:pt>
                <c:pt idx="200">
                  <c:v>12233</c:v>
                </c:pt>
                <c:pt idx="201">
                  <c:v>12303</c:v>
                </c:pt>
                <c:pt idx="202">
                  <c:v>12374.5</c:v>
                </c:pt>
                <c:pt idx="203">
                  <c:v>12446</c:v>
                </c:pt>
                <c:pt idx="204">
                  <c:v>12517.5</c:v>
                </c:pt>
                <c:pt idx="205">
                  <c:v>12589</c:v>
                </c:pt>
                <c:pt idx="206">
                  <c:v>12662.25</c:v>
                </c:pt>
                <c:pt idx="207">
                  <c:v>12735.5</c:v>
                </c:pt>
                <c:pt idx="208">
                  <c:v>12808.75</c:v>
                </c:pt>
                <c:pt idx="209">
                  <c:v>12882</c:v>
                </c:pt>
                <c:pt idx="210">
                  <c:v>12957.25</c:v>
                </c:pt>
                <c:pt idx="211">
                  <c:v>13032.5</c:v>
                </c:pt>
                <c:pt idx="212">
                  <c:v>13107.75</c:v>
                </c:pt>
                <c:pt idx="213">
                  <c:v>13183</c:v>
                </c:pt>
                <c:pt idx="214">
                  <c:v>13259.75</c:v>
                </c:pt>
                <c:pt idx="215">
                  <c:v>13336.5</c:v>
                </c:pt>
                <c:pt idx="216">
                  <c:v>13413.25</c:v>
                </c:pt>
                <c:pt idx="217">
                  <c:v>13490</c:v>
                </c:pt>
                <c:pt idx="218">
                  <c:v>13568.5</c:v>
                </c:pt>
                <c:pt idx="219">
                  <c:v>13647</c:v>
                </c:pt>
                <c:pt idx="220">
                  <c:v>13725.5</c:v>
                </c:pt>
                <c:pt idx="221">
                  <c:v>13804</c:v>
                </c:pt>
                <c:pt idx="222">
                  <c:v>13884.25</c:v>
                </c:pt>
                <c:pt idx="223">
                  <c:v>13964.5</c:v>
                </c:pt>
                <c:pt idx="224">
                  <c:v>14044.75</c:v>
                </c:pt>
                <c:pt idx="225">
                  <c:v>14125</c:v>
                </c:pt>
                <c:pt idx="226">
                  <c:v>14207.25</c:v>
                </c:pt>
                <c:pt idx="227">
                  <c:v>14289.5</c:v>
                </c:pt>
                <c:pt idx="228">
                  <c:v>14371.75</c:v>
                </c:pt>
                <c:pt idx="229">
                  <c:v>14454</c:v>
                </c:pt>
                <c:pt idx="230">
                  <c:v>14622.5</c:v>
                </c:pt>
                <c:pt idx="231">
                  <c:v>14706.75</c:v>
                </c:pt>
                <c:pt idx="232">
                  <c:v>14791</c:v>
                </c:pt>
                <c:pt idx="233">
                  <c:v>14877.25</c:v>
                </c:pt>
                <c:pt idx="234">
                  <c:v>14963.5</c:v>
                </c:pt>
                <c:pt idx="235">
                  <c:v>15049.75</c:v>
                </c:pt>
                <c:pt idx="236">
                  <c:v>15136</c:v>
                </c:pt>
                <c:pt idx="237">
                  <c:v>15224</c:v>
                </c:pt>
                <c:pt idx="238">
                  <c:v>15312</c:v>
                </c:pt>
                <c:pt idx="239">
                  <c:v>15400</c:v>
                </c:pt>
                <c:pt idx="240">
                  <c:v>15488</c:v>
                </c:pt>
                <c:pt idx="241">
                  <c:v>15578.25</c:v>
                </c:pt>
                <c:pt idx="242">
                  <c:v>15668.5</c:v>
                </c:pt>
                <c:pt idx="243">
                  <c:v>15758.75</c:v>
                </c:pt>
                <c:pt idx="244">
                  <c:v>15849</c:v>
                </c:pt>
                <c:pt idx="245">
                  <c:v>15941.25</c:v>
                </c:pt>
                <c:pt idx="246">
                  <c:v>16033.5</c:v>
                </c:pt>
                <c:pt idx="247">
                  <c:v>16125.75</c:v>
                </c:pt>
                <c:pt idx="248">
                  <c:v>16218</c:v>
                </c:pt>
                <c:pt idx="249">
                  <c:v>16312.5</c:v>
                </c:pt>
                <c:pt idx="250">
                  <c:v>16407</c:v>
                </c:pt>
                <c:pt idx="251">
                  <c:v>16501.5</c:v>
                </c:pt>
                <c:pt idx="252">
                  <c:v>16596</c:v>
                </c:pt>
                <c:pt idx="253">
                  <c:v>16692.5</c:v>
                </c:pt>
                <c:pt idx="254">
                  <c:v>16789</c:v>
                </c:pt>
                <c:pt idx="255">
                  <c:v>16885.5</c:v>
                </c:pt>
                <c:pt idx="256">
                  <c:v>16982</c:v>
                </c:pt>
                <c:pt idx="257">
                  <c:v>17081</c:v>
                </c:pt>
                <c:pt idx="258">
                  <c:v>17180</c:v>
                </c:pt>
                <c:pt idx="259">
                  <c:v>17279</c:v>
                </c:pt>
                <c:pt idx="260">
                  <c:v>17378</c:v>
                </c:pt>
                <c:pt idx="261">
                  <c:v>17479.25</c:v>
                </c:pt>
                <c:pt idx="262">
                  <c:v>17580.5</c:v>
                </c:pt>
                <c:pt idx="263">
                  <c:v>17681.75</c:v>
                </c:pt>
                <c:pt idx="264">
                  <c:v>17783</c:v>
                </c:pt>
                <c:pt idx="265">
                  <c:v>17886.5</c:v>
                </c:pt>
                <c:pt idx="266">
                  <c:v>17990</c:v>
                </c:pt>
                <c:pt idx="267">
                  <c:v>18093.5</c:v>
                </c:pt>
                <c:pt idx="268">
                  <c:v>18197</c:v>
                </c:pt>
                <c:pt idx="269">
                  <c:v>18303</c:v>
                </c:pt>
                <c:pt idx="270">
                  <c:v>18409</c:v>
                </c:pt>
                <c:pt idx="271">
                  <c:v>18515</c:v>
                </c:pt>
                <c:pt idx="272">
                  <c:v>18621</c:v>
                </c:pt>
                <c:pt idx="273">
                  <c:v>18729.5</c:v>
                </c:pt>
                <c:pt idx="274">
                  <c:v>18838</c:v>
                </c:pt>
                <c:pt idx="275">
                  <c:v>18946.5</c:v>
                </c:pt>
                <c:pt idx="276">
                  <c:v>19055</c:v>
                </c:pt>
                <c:pt idx="277">
                  <c:v>19165.75</c:v>
                </c:pt>
                <c:pt idx="278">
                  <c:v>19276.5</c:v>
                </c:pt>
                <c:pt idx="279">
                  <c:v>19387.25</c:v>
                </c:pt>
                <c:pt idx="280">
                  <c:v>19498</c:v>
                </c:pt>
                <c:pt idx="281">
                  <c:v>19611.75</c:v>
                </c:pt>
                <c:pt idx="282">
                  <c:v>19725.5</c:v>
                </c:pt>
                <c:pt idx="283">
                  <c:v>19839.25</c:v>
                </c:pt>
                <c:pt idx="284">
                  <c:v>19953</c:v>
                </c:pt>
                <c:pt idx="285">
                  <c:v>20069</c:v>
                </c:pt>
                <c:pt idx="286">
                  <c:v>20185</c:v>
                </c:pt>
                <c:pt idx="287">
                  <c:v>20301</c:v>
                </c:pt>
                <c:pt idx="288">
                  <c:v>20417</c:v>
                </c:pt>
                <c:pt idx="289">
                  <c:v>20536</c:v>
                </c:pt>
                <c:pt idx="290">
                  <c:v>20655</c:v>
                </c:pt>
                <c:pt idx="291">
                  <c:v>20774</c:v>
                </c:pt>
                <c:pt idx="292">
                  <c:v>20893</c:v>
                </c:pt>
                <c:pt idx="293">
                  <c:v>21014.75</c:v>
                </c:pt>
                <c:pt idx="294">
                  <c:v>21136.5</c:v>
                </c:pt>
                <c:pt idx="295">
                  <c:v>21258.25</c:v>
                </c:pt>
                <c:pt idx="296">
                  <c:v>21380</c:v>
                </c:pt>
                <c:pt idx="297">
                  <c:v>21504.5</c:v>
                </c:pt>
                <c:pt idx="298">
                  <c:v>21629</c:v>
                </c:pt>
                <c:pt idx="299">
                  <c:v>21753.5</c:v>
                </c:pt>
                <c:pt idx="300">
                  <c:v>21878</c:v>
                </c:pt>
                <c:pt idx="301">
                  <c:v>22005.25</c:v>
                </c:pt>
                <c:pt idx="302">
                  <c:v>22132.5</c:v>
                </c:pt>
                <c:pt idx="303">
                  <c:v>22259.75</c:v>
                </c:pt>
                <c:pt idx="304">
                  <c:v>22387</c:v>
                </c:pt>
                <c:pt idx="305">
                  <c:v>22517.5</c:v>
                </c:pt>
                <c:pt idx="306">
                  <c:v>22648</c:v>
                </c:pt>
                <c:pt idx="307">
                  <c:v>22778.5</c:v>
                </c:pt>
                <c:pt idx="308">
                  <c:v>22909</c:v>
                </c:pt>
                <c:pt idx="309">
                  <c:v>23042.25</c:v>
                </c:pt>
                <c:pt idx="310">
                  <c:v>23175.5</c:v>
                </c:pt>
                <c:pt idx="311">
                  <c:v>23308.75</c:v>
                </c:pt>
                <c:pt idx="312">
                  <c:v>23442</c:v>
                </c:pt>
                <c:pt idx="313">
                  <c:v>23578.5</c:v>
                </c:pt>
                <c:pt idx="314">
                  <c:v>23715</c:v>
                </c:pt>
                <c:pt idx="315">
                  <c:v>23851.5</c:v>
                </c:pt>
                <c:pt idx="316">
                  <c:v>23988</c:v>
                </c:pt>
                <c:pt idx="317">
                  <c:v>24127.75</c:v>
                </c:pt>
                <c:pt idx="318">
                  <c:v>24267.5</c:v>
                </c:pt>
                <c:pt idx="319">
                  <c:v>24407.25</c:v>
                </c:pt>
                <c:pt idx="320">
                  <c:v>24547</c:v>
                </c:pt>
                <c:pt idx="321">
                  <c:v>24690</c:v>
                </c:pt>
                <c:pt idx="322">
                  <c:v>24833</c:v>
                </c:pt>
                <c:pt idx="323">
                  <c:v>24976</c:v>
                </c:pt>
                <c:pt idx="324">
                  <c:v>25119</c:v>
                </c:pt>
                <c:pt idx="325">
                  <c:v>25265.25</c:v>
                </c:pt>
                <c:pt idx="326">
                  <c:v>25411.5</c:v>
                </c:pt>
                <c:pt idx="327">
                  <c:v>25557.75</c:v>
                </c:pt>
                <c:pt idx="328">
                  <c:v>25704</c:v>
                </c:pt>
                <c:pt idx="329">
                  <c:v>25853.75</c:v>
                </c:pt>
                <c:pt idx="330">
                  <c:v>26003.5</c:v>
                </c:pt>
                <c:pt idx="331">
                  <c:v>26153.25</c:v>
                </c:pt>
                <c:pt idx="332">
                  <c:v>26303</c:v>
                </c:pt>
                <c:pt idx="333">
                  <c:v>26456</c:v>
                </c:pt>
                <c:pt idx="334">
                  <c:v>26609</c:v>
                </c:pt>
                <c:pt idx="335">
                  <c:v>26762</c:v>
                </c:pt>
                <c:pt idx="336">
                  <c:v>26915</c:v>
                </c:pt>
                <c:pt idx="337">
                  <c:v>27071.75</c:v>
                </c:pt>
                <c:pt idx="338">
                  <c:v>27228.5</c:v>
                </c:pt>
                <c:pt idx="339">
                  <c:v>27385.25</c:v>
                </c:pt>
                <c:pt idx="340">
                  <c:v>27542</c:v>
                </c:pt>
                <c:pt idx="341">
                  <c:v>27702.5</c:v>
                </c:pt>
                <c:pt idx="342">
                  <c:v>27863</c:v>
                </c:pt>
                <c:pt idx="343">
                  <c:v>28023.5</c:v>
                </c:pt>
                <c:pt idx="344">
                  <c:v>28184</c:v>
                </c:pt>
                <c:pt idx="345">
                  <c:v>28348</c:v>
                </c:pt>
                <c:pt idx="346">
                  <c:v>28512</c:v>
                </c:pt>
                <c:pt idx="347">
                  <c:v>28676</c:v>
                </c:pt>
                <c:pt idx="348">
                  <c:v>28840</c:v>
                </c:pt>
                <c:pt idx="349">
                  <c:v>29008</c:v>
                </c:pt>
                <c:pt idx="350">
                  <c:v>29176</c:v>
                </c:pt>
                <c:pt idx="351">
                  <c:v>29344</c:v>
                </c:pt>
                <c:pt idx="352">
                  <c:v>29512</c:v>
                </c:pt>
                <c:pt idx="353">
                  <c:v>29684</c:v>
                </c:pt>
                <c:pt idx="354">
                  <c:v>29856</c:v>
                </c:pt>
                <c:pt idx="355">
                  <c:v>30028</c:v>
                </c:pt>
                <c:pt idx="356">
                  <c:v>30200</c:v>
                </c:pt>
                <c:pt idx="357">
                  <c:v>30375.75</c:v>
                </c:pt>
                <c:pt idx="358">
                  <c:v>30551.5</c:v>
                </c:pt>
                <c:pt idx="359">
                  <c:v>30727.25</c:v>
                </c:pt>
                <c:pt idx="360">
                  <c:v>30903</c:v>
                </c:pt>
                <c:pt idx="361">
                  <c:v>31083</c:v>
                </c:pt>
                <c:pt idx="362">
                  <c:v>31263</c:v>
                </c:pt>
                <c:pt idx="363">
                  <c:v>31443</c:v>
                </c:pt>
                <c:pt idx="364">
                  <c:v>31623</c:v>
                </c:pt>
                <c:pt idx="365">
                  <c:v>31807</c:v>
                </c:pt>
                <c:pt idx="366">
                  <c:v>31991</c:v>
                </c:pt>
                <c:pt idx="367">
                  <c:v>32175</c:v>
                </c:pt>
                <c:pt idx="368">
                  <c:v>32359</c:v>
                </c:pt>
                <c:pt idx="369">
                  <c:v>32547.5</c:v>
                </c:pt>
                <c:pt idx="370">
                  <c:v>32736</c:v>
                </c:pt>
                <c:pt idx="371">
                  <c:v>32924.5</c:v>
                </c:pt>
                <c:pt idx="372">
                  <c:v>33113</c:v>
                </c:pt>
                <c:pt idx="373">
                  <c:v>33305.75</c:v>
                </c:pt>
                <c:pt idx="374">
                  <c:v>33498.5</c:v>
                </c:pt>
                <c:pt idx="375">
                  <c:v>33691.25</c:v>
                </c:pt>
                <c:pt idx="376">
                  <c:v>33884</c:v>
                </c:pt>
                <c:pt idx="377">
                  <c:v>34081.5</c:v>
                </c:pt>
                <c:pt idx="378">
                  <c:v>34279</c:v>
                </c:pt>
                <c:pt idx="379">
                  <c:v>34476.5</c:v>
                </c:pt>
                <c:pt idx="380">
                  <c:v>34674</c:v>
                </c:pt>
                <c:pt idx="381">
                  <c:v>34875.75</c:v>
                </c:pt>
                <c:pt idx="382">
                  <c:v>35077.5</c:v>
                </c:pt>
                <c:pt idx="383">
                  <c:v>35279.25</c:v>
                </c:pt>
                <c:pt idx="384">
                  <c:v>35481</c:v>
                </c:pt>
                <c:pt idx="385">
                  <c:v>35687.75</c:v>
                </c:pt>
                <c:pt idx="386">
                  <c:v>35894.5</c:v>
                </c:pt>
                <c:pt idx="387">
                  <c:v>36101.25</c:v>
                </c:pt>
                <c:pt idx="388">
                  <c:v>36308</c:v>
                </c:pt>
                <c:pt idx="389">
                  <c:v>36519.5</c:v>
                </c:pt>
                <c:pt idx="390">
                  <c:v>36731</c:v>
                </c:pt>
                <c:pt idx="391">
                  <c:v>36942.5</c:v>
                </c:pt>
                <c:pt idx="392">
                  <c:v>37154</c:v>
                </c:pt>
                <c:pt idx="393">
                  <c:v>37370.25</c:v>
                </c:pt>
                <c:pt idx="394">
                  <c:v>37586.5</c:v>
                </c:pt>
                <c:pt idx="395">
                  <c:v>37802.75</c:v>
                </c:pt>
                <c:pt idx="396">
                  <c:v>38019</c:v>
                </c:pt>
                <c:pt idx="397">
                  <c:v>38240.5</c:v>
                </c:pt>
                <c:pt idx="398">
                  <c:v>38462</c:v>
                </c:pt>
                <c:pt idx="399">
                  <c:v>38683.5</c:v>
                </c:pt>
                <c:pt idx="400">
                  <c:v>38905</c:v>
                </c:pt>
                <c:pt idx="401">
                  <c:v>39131.5</c:v>
                </c:pt>
                <c:pt idx="402">
                  <c:v>39358</c:v>
                </c:pt>
                <c:pt idx="403">
                  <c:v>39584.5</c:v>
                </c:pt>
                <c:pt idx="404">
                  <c:v>39811</c:v>
                </c:pt>
                <c:pt idx="405">
                  <c:v>40042.75</c:v>
                </c:pt>
                <c:pt idx="406">
                  <c:v>40274.5</c:v>
                </c:pt>
                <c:pt idx="407">
                  <c:v>40506.25</c:v>
                </c:pt>
                <c:pt idx="408">
                  <c:v>40738</c:v>
                </c:pt>
                <c:pt idx="409">
                  <c:v>40975.25</c:v>
                </c:pt>
                <c:pt idx="410">
                  <c:v>41212.5</c:v>
                </c:pt>
                <c:pt idx="411">
                  <c:v>41449.75</c:v>
                </c:pt>
                <c:pt idx="412">
                  <c:v>41687</c:v>
                </c:pt>
                <c:pt idx="413">
                  <c:v>41929.75</c:v>
                </c:pt>
                <c:pt idx="414">
                  <c:v>42172.5</c:v>
                </c:pt>
                <c:pt idx="415">
                  <c:v>42415.25</c:v>
                </c:pt>
                <c:pt idx="416">
                  <c:v>42658</c:v>
                </c:pt>
                <c:pt idx="417">
                  <c:v>42906.5</c:v>
                </c:pt>
                <c:pt idx="418">
                  <c:v>43155</c:v>
                </c:pt>
                <c:pt idx="419">
                  <c:v>43403.5</c:v>
                </c:pt>
                <c:pt idx="420">
                  <c:v>43652</c:v>
                </c:pt>
                <c:pt idx="421">
                  <c:v>43906</c:v>
                </c:pt>
                <c:pt idx="422">
                  <c:v>44160</c:v>
                </c:pt>
                <c:pt idx="423">
                  <c:v>44414</c:v>
                </c:pt>
                <c:pt idx="424">
                  <c:v>44668</c:v>
                </c:pt>
                <c:pt idx="425">
                  <c:v>44928.25</c:v>
                </c:pt>
                <c:pt idx="426">
                  <c:v>45188.5</c:v>
                </c:pt>
                <c:pt idx="427">
                  <c:v>45448.75</c:v>
                </c:pt>
                <c:pt idx="428">
                  <c:v>45709</c:v>
                </c:pt>
                <c:pt idx="429">
                  <c:v>45975.25</c:v>
                </c:pt>
                <c:pt idx="430">
                  <c:v>46241.5</c:v>
                </c:pt>
                <c:pt idx="431">
                  <c:v>46507.75</c:v>
                </c:pt>
                <c:pt idx="432">
                  <c:v>46774</c:v>
                </c:pt>
                <c:pt idx="433">
                  <c:v>47046.25</c:v>
                </c:pt>
                <c:pt idx="434">
                  <c:v>47318.5</c:v>
                </c:pt>
                <c:pt idx="435">
                  <c:v>47590.75</c:v>
                </c:pt>
                <c:pt idx="436">
                  <c:v>47863</c:v>
                </c:pt>
                <c:pt idx="437">
                  <c:v>48141.75</c:v>
                </c:pt>
                <c:pt idx="438">
                  <c:v>48420.5</c:v>
                </c:pt>
                <c:pt idx="439">
                  <c:v>48699.25</c:v>
                </c:pt>
                <c:pt idx="440">
                  <c:v>48978</c:v>
                </c:pt>
                <c:pt idx="441">
                  <c:v>49263.25</c:v>
                </c:pt>
                <c:pt idx="442">
                  <c:v>49548.5</c:v>
                </c:pt>
                <c:pt idx="443">
                  <c:v>49833.75</c:v>
                </c:pt>
                <c:pt idx="444">
                  <c:v>50119</c:v>
                </c:pt>
                <c:pt idx="445">
                  <c:v>50410.75</c:v>
                </c:pt>
                <c:pt idx="446">
                  <c:v>50702.5</c:v>
                </c:pt>
                <c:pt idx="447">
                  <c:v>50994.25</c:v>
                </c:pt>
                <c:pt idx="448">
                  <c:v>51286</c:v>
                </c:pt>
                <c:pt idx="449">
                  <c:v>51584.75</c:v>
                </c:pt>
                <c:pt idx="450">
                  <c:v>51883.5</c:v>
                </c:pt>
                <c:pt idx="451">
                  <c:v>52182.25</c:v>
                </c:pt>
                <c:pt idx="452">
                  <c:v>52481</c:v>
                </c:pt>
                <c:pt idx="453">
                  <c:v>52786.5</c:v>
                </c:pt>
                <c:pt idx="454">
                  <c:v>53092</c:v>
                </c:pt>
                <c:pt idx="455">
                  <c:v>53397.5</c:v>
                </c:pt>
                <c:pt idx="456">
                  <c:v>53703</c:v>
                </c:pt>
                <c:pt idx="457">
                  <c:v>54015.75</c:v>
                </c:pt>
                <c:pt idx="458">
                  <c:v>54328.5</c:v>
                </c:pt>
                <c:pt idx="459">
                  <c:v>54641.25</c:v>
                </c:pt>
                <c:pt idx="460">
                  <c:v>54954</c:v>
                </c:pt>
                <c:pt idx="461">
                  <c:v>55274</c:v>
                </c:pt>
                <c:pt idx="462">
                  <c:v>55594</c:v>
                </c:pt>
                <c:pt idx="463">
                  <c:v>55914</c:v>
                </c:pt>
                <c:pt idx="464">
                  <c:v>56234</c:v>
                </c:pt>
                <c:pt idx="465">
                  <c:v>56561.5</c:v>
                </c:pt>
                <c:pt idx="466">
                  <c:v>56889</c:v>
                </c:pt>
                <c:pt idx="467">
                  <c:v>57216.5</c:v>
                </c:pt>
                <c:pt idx="468">
                  <c:v>57544</c:v>
                </c:pt>
                <c:pt idx="469">
                  <c:v>57879</c:v>
                </c:pt>
                <c:pt idx="470">
                  <c:v>58214</c:v>
                </c:pt>
                <c:pt idx="471">
                  <c:v>58549</c:v>
                </c:pt>
                <c:pt idx="472">
                  <c:v>58884</c:v>
                </c:pt>
                <c:pt idx="473">
                  <c:v>59227</c:v>
                </c:pt>
                <c:pt idx="474">
                  <c:v>59570</c:v>
                </c:pt>
                <c:pt idx="475">
                  <c:v>59913</c:v>
                </c:pt>
                <c:pt idx="476">
                  <c:v>60256</c:v>
                </c:pt>
                <c:pt idx="477">
                  <c:v>60607</c:v>
                </c:pt>
                <c:pt idx="478">
                  <c:v>60958</c:v>
                </c:pt>
                <c:pt idx="479">
                  <c:v>61309</c:v>
                </c:pt>
                <c:pt idx="480">
                  <c:v>61660</c:v>
                </c:pt>
                <c:pt idx="481">
                  <c:v>62019</c:v>
                </c:pt>
                <c:pt idx="482">
                  <c:v>62378</c:v>
                </c:pt>
                <c:pt idx="483">
                  <c:v>62737</c:v>
                </c:pt>
                <c:pt idx="484">
                  <c:v>63096</c:v>
                </c:pt>
                <c:pt idx="485">
                  <c:v>63463.25</c:v>
                </c:pt>
                <c:pt idx="486">
                  <c:v>63830.5</c:v>
                </c:pt>
                <c:pt idx="487">
                  <c:v>64197.75</c:v>
                </c:pt>
                <c:pt idx="488">
                  <c:v>64565</c:v>
                </c:pt>
                <c:pt idx="489">
                  <c:v>64941</c:v>
                </c:pt>
                <c:pt idx="490">
                  <c:v>65317</c:v>
                </c:pt>
                <c:pt idx="491">
                  <c:v>65693</c:v>
                </c:pt>
                <c:pt idx="492">
                  <c:v>66069</c:v>
                </c:pt>
                <c:pt idx="493">
                  <c:v>66453.75</c:v>
                </c:pt>
                <c:pt idx="494">
                  <c:v>66838.5</c:v>
                </c:pt>
                <c:pt idx="495">
                  <c:v>67223.25</c:v>
                </c:pt>
                <c:pt idx="496">
                  <c:v>67608</c:v>
                </c:pt>
                <c:pt idx="497">
                  <c:v>68001.75</c:v>
                </c:pt>
                <c:pt idx="498">
                  <c:v>68395.5</c:v>
                </c:pt>
                <c:pt idx="499">
                  <c:v>68789.25</c:v>
                </c:pt>
                <c:pt idx="500">
                  <c:v>69183</c:v>
                </c:pt>
                <c:pt idx="501">
                  <c:v>69586</c:v>
                </c:pt>
                <c:pt idx="502">
                  <c:v>69989</c:v>
                </c:pt>
                <c:pt idx="503">
                  <c:v>70392</c:v>
                </c:pt>
                <c:pt idx="504">
                  <c:v>70795</c:v>
                </c:pt>
                <c:pt idx="505">
                  <c:v>71207.25</c:v>
                </c:pt>
                <c:pt idx="506">
                  <c:v>71619.5</c:v>
                </c:pt>
                <c:pt idx="507">
                  <c:v>72031.75</c:v>
                </c:pt>
                <c:pt idx="508">
                  <c:v>72444</c:v>
                </c:pt>
                <c:pt idx="509">
                  <c:v>72865.75</c:v>
                </c:pt>
                <c:pt idx="510">
                  <c:v>73287.5</c:v>
                </c:pt>
                <c:pt idx="511">
                  <c:v>73709.25</c:v>
                </c:pt>
                <c:pt idx="512">
                  <c:v>74131</c:v>
                </c:pt>
                <c:pt idx="513">
                  <c:v>74562.75</c:v>
                </c:pt>
                <c:pt idx="514">
                  <c:v>74994.5</c:v>
                </c:pt>
                <c:pt idx="515">
                  <c:v>75426.25</c:v>
                </c:pt>
                <c:pt idx="516">
                  <c:v>75858</c:v>
                </c:pt>
                <c:pt idx="517">
                  <c:v>76299.75</c:v>
                </c:pt>
                <c:pt idx="518">
                  <c:v>76741.5</c:v>
                </c:pt>
                <c:pt idx="519">
                  <c:v>77183.25</c:v>
                </c:pt>
                <c:pt idx="520">
                  <c:v>77625</c:v>
                </c:pt>
                <c:pt idx="521">
                  <c:v>78077</c:v>
                </c:pt>
                <c:pt idx="522">
                  <c:v>78529</c:v>
                </c:pt>
                <c:pt idx="523">
                  <c:v>78981</c:v>
                </c:pt>
                <c:pt idx="524">
                  <c:v>79433</c:v>
                </c:pt>
                <c:pt idx="525">
                  <c:v>79895.5</c:v>
                </c:pt>
                <c:pt idx="526">
                  <c:v>80358</c:v>
                </c:pt>
                <c:pt idx="527">
                  <c:v>80820.5</c:v>
                </c:pt>
                <c:pt idx="528">
                  <c:v>81283</c:v>
                </c:pt>
                <c:pt idx="529">
                  <c:v>81756.25</c:v>
                </c:pt>
                <c:pt idx="530">
                  <c:v>82229.5</c:v>
                </c:pt>
                <c:pt idx="531">
                  <c:v>82702.75</c:v>
                </c:pt>
                <c:pt idx="532">
                  <c:v>83176</c:v>
                </c:pt>
                <c:pt idx="533">
                  <c:v>83660.5</c:v>
                </c:pt>
                <c:pt idx="534">
                  <c:v>84145</c:v>
                </c:pt>
                <c:pt idx="535">
                  <c:v>84629.5</c:v>
                </c:pt>
                <c:pt idx="536">
                  <c:v>85114</c:v>
                </c:pt>
                <c:pt idx="537">
                  <c:v>85609.5</c:v>
                </c:pt>
                <c:pt idx="538">
                  <c:v>86105</c:v>
                </c:pt>
                <c:pt idx="539">
                  <c:v>86600.5</c:v>
                </c:pt>
                <c:pt idx="540">
                  <c:v>87096</c:v>
                </c:pt>
                <c:pt idx="541">
                  <c:v>87603.25</c:v>
                </c:pt>
                <c:pt idx="542">
                  <c:v>88110.5</c:v>
                </c:pt>
                <c:pt idx="543">
                  <c:v>88617.75</c:v>
                </c:pt>
                <c:pt idx="544">
                  <c:v>89125</c:v>
                </c:pt>
                <c:pt idx="545">
                  <c:v>89644</c:v>
                </c:pt>
                <c:pt idx="546">
                  <c:v>90163</c:v>
                </c:pt>
                <c:pt idx="547">
                  <c:v>90682</c:v>
                </c:pt>
                <c:pt idx="548">
                  <c:v>91201</c:v>
                </c:pt>
                <c:pt idx="549">
                  <c:v>91732</c:v>
                </c:pt>
                <c:pt idx="550">
                  <c:v>92263</c:v>
                </c:pt>
                <c:pt idx="551">
                  <c:v>92794</c:v>
                </c:pt>
                <c:pt idx="552">
                  <c:v>93325</c:v>
                </c:pt>
                <c:pt idx="553">
                  <c:v>93868.5</c:v>
                </c:pt>
                <c:pt idx="554">
                  <c:v>94412</c:v>
                </c:pt>
                <c:pt idx="555">
                  <c:v>94955.5</c:v>
                </c:pt>
                <c:pt idx="556">
                  <c:v>95499</c:v>
                </c:pt>
                <c:pt idx="557">
                  <c:v>96611.5</c:v>
                </c:pt>
                <c:pt idx="558">
                  <c:v>97724</c:v>
                </c:pt>
                <c:pt idx="559">
                  <c:v>98862</c:v>
                </c:pt>
                <c:pt idx="560">
                  <c:v>100000</c:v>
                </c:pt>
                <c:pt idx="561">
                  <c:v>101165</c:v>
                </c:pt>
                <c:pt idx="562">
                  <c:v>102330</c:v>
                </c:pt>
                <c:pt idx="563">
                  <c:v>103520</c:v>
                </c:pt>
                <c:pt idx="564">
                  <c:v>104710</c:v>
                </c:pt>
                <c:pt idx="565">
                  <c:v>105930</c:v>
                </c:pt>
                <c:pt idx="566">
                  <c:v>107150</c:v>
                </c:pt>
                <c:pt idx="567">
                  <c:v>108400</c:v>
                </c:pt>
                <c:pt idx="568">
                  <c:v>109650</c:v>
                </c:pt>
                <c:pt idx="569">
                  <c:v>110925</c:v>
                </c:pt>
                <c:pt idx="570">
                  <c:v>112200</c:v>
                </c:pt>
                <c:pt idx="571">
                  <c:v>113510</c:v>
                </c:pt>
                <c:pt idx="572">
                  <c:v>114820</c:v>
                </c:pt>
                <c:pt idx="573">
                  <c:v>116155</c:v>
                </c:pt>
                <c:pt idx="574">
                  <c:v>117490</c:v>
                </c:pt>
                <c:pt idx="575">
                  <c:v>118860</c:v>
                </c:pt>
                <c:pt idx="576">
                  <c:v>120230</c:v>
                </c:pt>
                <c:pt idx="577">
                  <c:v>126030</c:v>
                </c:pt>
                <c:pt idx="578">
                  <c:v>131830</c:v>
                </c:pt>
                <c:pt idx="579">
                  <c:v>144540</c:v>
                </c:pt>
                <c:pt idx="580">
                  <c:v>158490</c:v>
                </c:pt>
                <c:pt idx="581">
                  <c:v>173780</c:v>
                </c:pt>
                <c:pt idx="582">
                  <c:v>190550</c:v>
                </c:pt>
                <c:pt idx="583">
                  <c:v>208930</c:v>
                </c:pt>
                <c:pt idx="584">
                  <c:v>229090</c:v>
                </c:pt>
                <c:pt idx="585">
                  <c:v>251190</c:v>
                </c:pt>
                <c:pt idx="586">
                  <c:v>275420</c:v>
                </c:pt>
                <c:pt idx="587">
                  <c:v>302000</c:v>
                </c:pt>
                <c:pt idx="588">
                  <c:v>331130</c:v>
                </c:pt>
                <c:pt idx="589">
                  <c:v>363080</c:v>
                </c:pt>
                <c:pt idx="590">
                  <c:v>398110</c:v>
                </c:pt>
                <c:pt idx="591">
                  <c:v>436520</c:v>
                </c:pt>
                <c:pt idx="592">
                  <c:v>478630</c:v>
                </c:pt>
                <c:pt idx="593">
                  <c:v>524810</c:v>
                </c:pt>
                <c:pt idx="594">
                  <c:v>575440</c:v>
                </c:pt>
                <c:pt idx="595">
                  <c:v>630960</c:v>
                </c:pt>
                <c:pt idx="596">
                  <c:v>691830</c:v>
                </c:pt>
                <c:pt idx="597">
                  <c:v>758580</c:v>
                </c:pt>
                <c:pt idx="598">
                  <c:v>831760</c:v>
                </c:pt>
                <c:pt idx="599">
                  <c:v>912010</c:v>
                </c:pt>
                <c:pt idx="600">
                  <c:v>1000000</c:v>
                </c:pt>
              </c:numCache>
            </c:numRef>
          </c:xVal>
          <c:yVal>
            <c:numRef>
              <c:f>'Stability Calculations'!$R$13:$R$613</c:f>
              <c:numCache>
                <c:formatCode>0.00</c:formatCode>
                <c:ptCount val="601"/>
                <c:pt idx="0">
                  <c:v>-73.610393476542058</c:v>
                </c:pt>
                <c:pt idx="1">
                  <c:v>-74.989666947669434</c:v>
                </c:pt>
                <c:pt idx="2">
                  <c:v>-76.263655860047237</c:v>
                </c:pt>
                <c:pt idx="3">
                  <c:v>-77.43821998227628</c:v>
                </c:pt>
                <c:pt idx="4">
                  <c:v>-78.518765005423717</c:v>
                </c:pt>
                <c:pt idx="5">
                  <c:v>-79.513182554317581</c:v>
                </c:pt>
                <c:pt idx="6">
                  <c:v>-80.426059476801143</c:v>
                </c:pt>
                <c:pt idx="7">
                  <c:v>-81.263939399533896</c:v>
                </c:pt>
                <c:pt idx="8">
                  <c:v>-82.031932180346161</c:v>
                </c:pt>
                <c:pt idx="9">
                  <c:v>-82.736069591102748</c:v>
                </c:pt>
                <c:pt idx="10">
                  <c:v>-83.381082671267947</c:v>
                </c:pt>
                <c:pt idx="11">
                  <c:v>-83.971929383324181</c:v>
                </c:pt>
                <c:pt idx="12">
                  <c:v>-84.513423738002004</c:v>
                </c:pt>
                <c:pt idx="13">
                  <c:v>-85.009272032912477</c:v>
                </c:pt>
                <c:pt idx="14">
                  <c:v>-85.463810687269259</c:v>
                </c:pt>
                <c:pt idx="15">
                  <c:v>-85.880493289246985</c:v>
                </c:pt>
                <c:pt idx="16">
                  <c:v>-86.262730563404688</c:v>
                </c:pt>
                <c:pt idx="17">
                  <c:v>-86.613593878715136</c:v>
                </c:pt>
                <c:pt idx="18">
                  <c:v>-86.936067701722706</c:v>
                </c:pt>
                <c:pt idx="19">
                  <c:v>-87.232728092639476</c:v>
                </c:pt>
                <c:pt idx="20">
                  <c:v>-87.506098572577116</c:v>
                </c:pt>
                <c:pt idx="21">
                  <c:v>-87.75840264559433</c:v>
                </c:pt>
                <c:pt idx="22">
                  <c:v>-87.991804709418489</c:v>
                </c:pt>
                <c:pt idx="23">
                  <c:v>-88.20820483477398</c:v>
                </c:pt>
                <c:pt idx="24">
                  <c:v>-88.409477439909182</c:v>
                </c:pt>
                <c:pt idx="25">
                  <c:v>-88.597283925901962</c:v>
                </c:pt>
                <c:pt idx="26">
                  <c:v>-88.773248689903369</c:v>
                </c:pt>
                <c:pt idx="27">
                  <c:v>-88.93879960325981</c:v>
                </c:pt>
                <c:pt idx="28">
                  <c:v>-89.095344684380123</c:v>
                </c:pt>
                <c:pt idx="29">
                  <c:v>-89.244118650703271</c:v>
                </c:pt>
                <c:pt idx="30">
                  <c:v>-89.386628373699153</c:v>
                </c:pt>
                <c:pt idx="31">
                  <c:v>-89.523873460408453</c:v>
                </c:pt>
                <c:pt idx="32">
                  <c:v>-89.657108751814889</c:v>
                </c:pt>
                <c:pt idx="33">
                  <c:v>-89.787365435246414</c:v>
                </c:pt>
                <c:pt idx="34">
                  <c:v>-89.915844297016761</c:v>
                </c:pt>
                <c:pt idx="35">
                  <c:v>-90.043555539549587</c:v>
                </c:pt>
                <c:pt idx="36">
                  <c:v>-90.171593470338266</c:v>
                </c:pt>
                <c:pt idx="37">
                  <c:v>-90.30110268081269</c:v>
                </c:pt>
                <c:pt idx="38">
                  <c:v>-90.433043135822473</c:v>
                </c:pt>
                <c:pt idx="39">
                  <c:v>-90.568620716607469</c:v>
                </c:pt>
                <c:pt idx="40">
                  <c:v>-90.70891010675463</c:v>
                </c:pt>
                <c:pt idx="41">
                  <c:v>-90.855079785469343</c:v>
                </c:pt>
                <c:pt idx="42">
                  <c:v>-91.008304514143973</c:v>
                </c:pt>
                <c:pt idx="43">
                  <c:v>-91.16987210974672</c:v>
                </c:pt>
                <c:pt idx="44">
                  <c:v>-91.341035090552879</c:v>
                </c:pt>
                <c:pt idx="45">
                  <c:v>-91.523180551834031</c:v>
                </c:pt>
                <c:pt idx="46">
                  <c:v>-91.71768579811723</c:v>
                </c:pt>
                <c:pt idx="47">
                  <c:v>-91.926071287019084</c:v>
                </c:pt>
                <c:pt idx="48">
                  <c:v>-92.149827371657537</c:v>
                </c:pt>
                <c:pt idx="49">
                  <c:v>-92.390613920979533</c:v>
                </c:pt>
                <c:pt idx="50">
                  <c:v>-92.650052161065986</c:v>
                </c:pt>
                <c:pt idx="51">
                  <c:v>-92.929903894409478</c:v>
                </c:pt>
                <c:pt idx="52">
                  <c:v>-93.231798275788648</c:v>
                </c:pt>
                <c:pt idx="53">
                  <c:v>-93.557445006516687</c:v>
                </c:pt>
                <c:pt idx="54">
                  <c:v>-93.90826319656324</c:v>
                </c:pt>
                <c:pt idx="55">
                  <c:v>-94.286398333816408</c:v>
                </c:pt>
                <c:pt idx="56">
                  <c:v>-94.692701673486624</c:v>
                </c:pt>
                <c:pt idx="57">
                  <c:v>-95.128518419173872</c:v>
                </c:pt>
                <c:pt idx="58">
                  <c:v>-95.59420316125167</c:v>
                </c:pt>
                <c:pt idx="59">
                  <c:v>-96.090233122995784</c:v>
                </c:pt>
                <c:pt idx="60">
                  <c:v>-96.615731996400257</c:v>
                </c:pt>
                <c:pt idx="61">
                  <c:v>-97.169240287686961</c:v>
                </c:pt>
                <c:pt idx="62">
                  <c:v>-97.748400134828756</c:v>
                </c:pt>
                <c:pt idx="63">
                  <c:v>-98.348618772810354</c:v>
                </c:pt>
                <c:pt idx="64">
                  <c:v>-98.964751210914713</c:v>
                </c:pt>
                <c:pt idx="65">
                  <c:v>-99.589197303089847</c:v>
                </c:pt>
                <c:pt idx="66">
                  <c:v>-100.21279765485535</c:v>
                </c:pt>
                <c:pt idx="67">
                  <c:v>-100.82445168944172</c:v>
                </c:pt>
                <c:pt idx="68">
                  <c:v>-101.4117163567077</c:v>
                </c:pt>
                <c:pt idx="69">
                  <c:v>-101.9606069694774</c:v>
                </c:pt>
                <c:pt idx="70">
                  <c:v>-102.45681426222646</c:v>
                </c:pt>
                <c:pt idx="71">
                  <c:v>-102.88603827992613</c:v>
                </c:pt>
                <c:pt idx="72">
                  <c:v>-103.23533660299395</c:v>
                </c:pt>
                <c:pt idx="73">
                  <c:v>-103.49375813827308</c:v>
                </c:pt>
                <c:pt idx="74">
                  <c:v>-103.65358496010387</c:v>
                </c:pt>
                <c:pt idx="75">
                  <c:v>-103.71079258572449</c:v>
                </c:pt>
                <c:pt idx="76">
                  <c:v>-103.66558328832035</c:v>
                </c:pt>
                <c:pt idx="77">
                  <c:v>-103.52240233488459</c:v>
                </c:pt>
                <c:pt idx="78">
                  <c:v>-103.28959001387621</c:v>
                </c:pt>
                <c:pt idx="79">
                  <c:v>-102.97889425443739</c:v>
                </c:pt>
                <c:pt idx="80">
                  <c:v>-102.60357218424309</c:v>
                </c:pt>
                <c:pt idx="81">
                  <c:v>-102.17922740028919</c:v>
                </c:pt>
                <c:pt idx="82">
                  <c:v>-101.72109771367356</c:v>
                </c:pt>
                <c:pt idx="83">
                  <c:v>-101.24457992935338</c:v>
                </c:pt>
                <c:pt idx="84">
                  <c:v>-100.76331180819125</c:v>
                </c:pt>
                <c:pt idx="85">
                  <c:v>-100.29009158578577</c:v>
                </c:pt>
                <c:pt idx="86">
                  <c:v>-99.835698784544675</c:v>
                </c:pt>
                <c:pt idx="87">
                  <c:v>-99.40906561147888</c:v>
                </c:pt>
                <c:pt idx="88">
                  <c:v>-99.018168274462667</c:v>
                </c:pt>
                <c:pt idx="89">
                  <c:v>-98.668862076218161</c:v>
                </c:pt>
                <c:pt idx="90">
                  <c:v>-98.366330628671392</c:v>
                </c:pt>
                <c:pt idx="91">
                  <c:v>-98.114713450980304</c:v>
                </c:pt>
                <c:pt idx="92">
                  <c:v>-97.91762038760281</c:v>
                </c:pt>
                <c:pt idx="93">
                  <c:v>-97.778274492245657</c:v>
                </c:pt>
                <c:pt idx="94">
                  <c:v>-97.752853225866517</c:v>
                </c:pt>
                <c:pt idx="95">
                  <c:v>-97.741520705066819</c:v>
                </c:pt>
                <c:pt idx="96">
                  <c:v>-97.731285142246904</c:v>
                </c:pt>
                <c:pt idx="97">
                  <c:v>-97.721917169633755</c:v>
                </c:pt>
                <c:pt idx="98">
                  <c:v>-97.713636775741591</c:v>
                </c:pt>
                <c:pt idx="99">
                  <c:v>-97.706258127809036</c:v>
                </c:pt>
                <c:pt idx="100">
                  <c:v>-97.699958283203046</c:v>
                </c:pt>
                <c:pt idx="101">
                  <c:v>-97.694600298453125</c:v>
                </c:pt>
                <c:pt idx="102">
                  <c:v>-97.690311335095757</c:v>
                </c:pt>
                <c:pt idx="103">
                  <c:v>-97.686997825081278</c:v>
                </c:pt>
                <c:pt idx="104">
                  <c:v>-97.684745757893978</c:v>
                </c:pt>
                <c:pt idx="105">
                  <c:v>-97.683510576851546</c:v>
                </c:pt>
                <c:pt idx="106">
                  <c:v>-97.683328292085747</c:v>
                </c:pt>
                <c:pt idx="107">
                  <c:v>-97.684201920462698</c:v>
                </c:pt>
                <c:pt idx="108">
                  <c:v>-97.686119088267617</c:v>
                </c:pt>
                <c:pt idx="109">
                  <c:v>-97.689131381224058</c:v>
                </c:pt>
                <c:pt idx="110">
                  <c:v>-97.693178585596002</c:v>
                </c:pt>
                <c:pt idx="111">
                  <c:v>-97.698366034871142</c:v>
                </c:pt>
                <c:pt idx="112">
                  <c:v>-97.704581821664675</c:v>
                </c:pt>
                <c:pt idx="113">
                  <c:v>-97.711978756655796</c:v>
                </c:pt>
                <c:pt idx="114">
                  <c:v>-97.720396718598906</c:v>
                </c:pt>
                <c:pt idx="115">
                  <c:v>-97.730041096306891</c:v>
                </c:pt>
                <c:pt idx="116">
                  <c:v>-97.740699869461608</c:v>
                </c:pt>
                <c:pt idx="117">
                  <c:v>-97.752632220815215</c:v>
                </c:pt>
                <c:pt idx="118">
                  <c:v>-97.765573007206356</c:v>
                </c:pt>
                <c:pt idx="119">
                  <c:v>-97.779827424184802</c:v>
                </c:pt>
                <c:pt idx="120">
                  <c:v>-97.79508378327013</c:v>
                </c:pt>
                <c:pt idx="121">
                  <c:v>-97.811702178234043</c:v>
                </c:pt>
                <c:pt idx="122">
                  <c:v>-97.829316786795772</c:v>
                </c:pt>
                <c:pt idx="123">
                  <c:v>-97.848355009855638</c:v>
                </c:pt>
                <c:pt idx="124">
                  <c:v>-97.868385612168993</c:v>
                </c:pt>
                <c:pt idx="125">
                  <c:v>-97.889881734766973</c:v>
                </c:pt>
                <c:pt idx="126">
                  <c:v>-97.91236596780638</c:v>
                </c:pt>
                <c:pt idx="127">
                  <c:v>-97.93636957180432</c:v>
                </c:pt>
                <c:pt idx="128">
                  <c:v>-97.961357780757709</c:v>
                </c:pt>
                <c:pt idx="129">
                  <c:v>-97.987920985192432</c:v>
                </c:pt>
                <c:pt idx="130">
                  <c:v>-98.015466055976503</c:v>
                </c:pt>
                <c:pt idx="131">
                  <c:v>-98.044643504159964</c:v>
                </c:pt>
                <c:pt idx="132">
                  <c:v>-98.059601139464817</c:v>
                </c:pt>
                <c:pt idx="133">
                  <c:v>-98.07480085236098</c:v>
                </c:pt>
                <c:pt idx="134">
                  <c:v>-98.090609723743327</c:v>
                </c:pt>
                <c:pt idx="135">
                  <c:v>-98.106666403350459</c:v>
                </c:pt>
                <c:pt idx="136">
                  <c:v>-98.122967995241595</c:v>
                </c:pt>
                <c:pt idx="137">
                  <c:v>-98.139511666097079</c:v>
                </c:pt>
                <c:pt idx="138">
                  <c:v>-98.156678438132957</c:v>
                </c:pt>
                <c:pt idx="139">
                  <c:v>-98.174092605341428</c:v>
                </c:pt>
                <c:pt idx="140">
                  <c:v>-98.191751329506474</c:v>
                </c:pt>
                <c:pt idx="141">
                  <c:v>-98.20965183384989</c:v>
                </c:pt>
                <c:pt idx="142">
                  <c:v>-98.228224432410485</c:v>
                </c:pt>
                <c:pt idx="143">
                  <c:v>-98.247044715082794</c:v>
                </c:pt>
                <c:pt idx="144">
                  <c:v>-98.266109892260161</c:v>
                </c:pt>
                <c:pt idx="145">
                  <c:v>-98.285417234797009</c:v>
                </c:pt>
                <c:pt idx="146">
                  <c:v>-98.305419674770619</c:v>
                </c:pt>
                <c:pt idx="147">
                  <c:v>-98.32567003566885</c:v>
                </c:pt>
                <c:pt idx="148">
                  <c:v>-98.346165580248638</c:v>
                </c:pt>
                <c:pt idx="149">
                  <c:v>-98.366903630583394</c:v>
                </c:pt>
                <c:pt idx="150">
                  <c:v>-98.388369422223619</c:v>
                </c:pt>
                <c:pt idx="151">
                  <c:v>-98.410083575390928</c:v>
                </c:pt>
                <c:pt idx="152">
                  <c:v>-98.432043404432449</c:v>
                </c:pt>
                <c:pt idx="153">
                  <c:v>-98.454246281825618</c:v>
                </c:pt>
                <c:pt idx="154">
                  <c:v>-98.477220840690123</c:v>
                </c:pt>
                <c:pt idx="155">
                  <c:v>-98.500444635060347</c:v>
                </c:pt>
                <c:pt idx="156">
                  <c:v>-98.523915026330982</c:v>
                </c:pt>
                <c:pt idx="157">
                  <c:v>-98.54762943290288</c:v>
                </c:pt>
                <c:pt idx="158">
                  <c:v>-98.57215019031085</c:v>
                </c:pt>
                <c:pt idx="159">
                  <c:v>-98.596921250434022</c:v>
                </c:pt>
                <c:pt idx="160">
                  <c:v>-98.621940020976695</c:v>
                </c:pt>
                <c:pt idx="161">
                  <c:v>-98.647203965473167</c:v>
                </c:pt>
                <c:pt idx="162">
                  <c:v>-98.673298074073728</c:v>
                </c:pt>
                <c:pt idx="163">
                  <c:v>-98.699643528042571</c:v>
                </c:pt>
                <c:pt idx="164">
                  <c:v>-98.726237783735428</c:v>
                </c:pt>
                <c:pt idx="165">
                  <c:v>-98.753078352016956</c:v>
                </c:pt>
                <c:pt idx="166">
                  <c:v>-98.780808339867633</c:v>
                </c:pt>
                <c:pt idx="167">
                  <c:v>-98.808791356120537</c:v>
                </c:pt>
                <c:pt idx="168">
                  <c:v>-98.837024897823696</c:v>
                </c:pt>
                <c:pt idx="169">
                  <c:v>-98.865506515356671</c:v>
                </c:pt>
                <c:pt idx="170">
                  <c:v>-98.894852951647422</c:v>
                </c:pt>
                <c:pt idx="171">
                  <c:v>-98.924453222084139</c:v>
                </c:pt>
                <c:pt idx="172">
                  <c:v>-98.954304878555845</c:v>
                </c:pt>
                <c:pt idx="173">
                  <c:v>-98.984405524618623</c:v>
                </c:pt>
                <c:pt idx="174">
                  <c:v>-99.015521038904907</c:v>
                </c:pt>
                <c:pt idx="175">
                  <c:v>-99.04689331422442</c:v>
                </c:pt>
                <c:pt idx="176">
                  <c:v>-99.078519927778927</c:v>
                </c:pt>
                <c:pt idx="177">
                  <c:v>-99.110398507507924</c:v>
                </c:pt>
                <c:pt idx="178">
                  <c:v>-99.143319894307737</c:v>
                </c:pt>
                <c:pt idx="179">
                  <c:v>-99.176500906842364</c:v>
                </c:pt>
                <c:pt idx="180">
                  <c:v>-99.20993914991746</c:v>
                </c:pt>
                <c:pt idx="181">
                  <c:v>-99.243632277977113</c:v>
                </c:pt>
                <c:pt idx="182">
                  <c:v>-99.278259468814468</c:v>
                </c:pt>
                <c:pt idx="183">
                  <c:v>-99.313147064069881</c:v>
                </c:pt>
                <c:pt idx="184">
                  <c:v>-99.34829272496097</c:v>
                </c:pt>
                <c:pt idx="185">
                  <c:v>-99.383694160353386</c:v>
                </c:pt>
                <c:pt idx="186">
                  <c:v>-99.420331443366322</c:v>
                </c:pt>
                <c:pt idx="187">
                  <c:v>-99.457233980943556</c:v>
                </c:pt>
                <c:pt idx="188">
                  <c:v>-99.494399435996996</c:v>
                </c:pt>
                <c:pt idx="189">
                  <c:v>-99.531825518467343</c:v>
                </c:pt>
                <c:pt idx="190">
                  <c:v>-99.570231651166992</c:v>
                </c:pt>
                <c:pt idx="191">
                  <c:v>-99.608903794888349</c:v>
                </c:pt>
                <c:pt idx="192">
                  <c:v>-99.647839667756728</c:v>
                </c:pt>
                <c:pt idx="193">
                  <c:v>-99.687037032765986</c:v>
                </c:pt>
                <c:pt idx="194">
                  <c:v>-99.727531609308784</c:v>
                </c:pt>
                <c:pt idx="195">
                  <c:v>-99.768296934712566</c:v>
                </c:pt>
                <c:pt idx="196">
                  <c:v>-99.809330729944008</c:v>
                </c:pt>
                <c:pt idx="197">
                  <c:v>-99.850630759935925</c:v>
                </c:pt>
                <c:pt idx="198">
                  <c:v>-99.893107932391132</c:v>
                </c:pt>
                <c:pt idx="199">
                  <c:v>-99.935858542730031</c:v>
                </c:pt>
                <c:pt idx="200">
                  <c:v>-99.978880339511875</c:v>
                </c:pt>
                <c:pt idx="201">
                  <c:v>-100.02217111359758</c:v>
                </c:pt>
                <c:pt idx="202">
                  <c:v>-100.06666497778724</c:v>
                </c:pt>
                <c:pt idx="203">
                  <c:v>-100.11143494072371</c:v>
                </c:pt>
                <c:pt idx="204">
                  <c:v>-100.15647877654342</c:v>
                </c:pt>
                <c:pt idx="205">
                  <c:v>-100.20179429996392</c:v>
                </c:pt>
                <c:pt idx="206">
                  <c:v>-100.24849844480444</c:v>
                </c:pt>
                <c:pt idx="207">
                  <c:v>-100.29548322127934</c:v>
                </c:pt>
                <c:pt idx="208">
                  <c:v>-100.34274640404071</c:v>
                </c:pt>
                <c:pt idx="209">
                  <c:v>-100.39028580708769</c:v>
                </c:pt>
                <c:pt idx="210">
                  <c:v>-100.43940859358248</c:v>
                </c:pt>
                <c:pt idx="211">
                  <c:v>-100.48881833524523</c:v>
                </c:pt>
                <c:pt idx="212">
                  <c:v>-100.5385127837296</c:v>
                </c:pt>
                <c:pt idx="213">
                  <c:v>-100.58848972920096</c:v>
                </c:pt>
                <c:pt idx="214">
                  <c:v>-100.6397516400925</c:v>
                </c:pt>
                <c:pt idx="215">
                  <c:v>-100.69130289623982</c:v>
                </c:pt>
                <c:pt idx="216">
                  <c:v>-100.74314126902401</c:v>
                </c:pt>
                <c:pt idx="217">
                  <c:v>-100.7952645664035</c:v>
                </c:pt>
                <c:pt idx="218">
                  <c:v>-100.84886883880299</c:v>
                </c:pt>
                <c:pt idx="219">
                  <c:v>-100.90276665078208</c:v>
                </c:pt>
                <c:pt idx="220">
                  <c:v>-100.95695576813992</c:v>
                </c:pt>
                <c:pt idx="221">
                  <c:v>-101.01143399177606</c:v>
                </c:pt>
                <c:pt idx="222">
                  <c:v>-101.06742328927437</c:v>
                </c:pt>
                <c:pt idx="223">
                  <c:v>-101.12371018650433</c:v>
                </c:pt>
                <c:pt idx="224">
                  <c:v>-101.18029244048978</c:v>
                </c:pt>
                <c:pt idx="225">
                  <c:v>-101.23716784183888</c:v>
                </c:pt>
                <c:pt idx="226">
                  <c:v>-101.29576261833893</c:v>
                </c:pt>
                <c:pt idx="227">
                  <c:v>-101.35466073986922</c:v>
                </c:pt>
                <c:pt idx="228">
                  <c:v>-101.41385993047425</c:v>
                </c:pt>
                <c:pt idx="229">
                  <c:v>-101.47335794663481</c:v>
                </c:pt>
                <c:pt idx="230">
                  <c:v>-101.5961713717651</c:v>
                </c:pt>
                <c:pt idx="231">
                  <c:v>-101.65803907626467</c:v>
                </c:pt>
                <c:pt idx="232">
                  <c:v>-101.72021105704134</c:v>
                </c:pt>
                <c:pt idx="233">
                  <c:v>-101.78417177751106</c:v>
                </c:pt>
                <c:pt idx="234">
                  <c:v>-101.84844665013541</c:v>
                </c:pt>
                <c:pt idx="235">
                  <c:v>-101.91303332274306</c:v>
                </c:pt>
                <c:pt idx="236">
                  <c:v>-101.97792947314547</c:v>
                </c:pt>
                <c:pt idx="237">
                  <c:v>-102.04445893812468</c:v>
                </c:pt>
                <c:pt idx="238">
                  <c:v>-102.11130577417021</c:v>
                </c:pt>
                <c:pt idx="239">
                  <c:v>-102.17846760510432</c:v>
                </c:pt>
                <c:pt idx="240">
                  <c:v>-102.24594208315698</c:v>
                </c:pt>
                <c:pt idx="241">
                  <c:v>-102.31546407056969</c:v>
                </c:pt>
                <c:pt idx="242">
                  <c:v>-102.38530998294702</c:v>
                </c:pt>
                <c:pt idx="243">
                  <c:v>-102.45547737488239</c:v>
                </c:pt>
                <c:pt idx="244">
                  <c:v>-102.52596382846163</c:v>
                </c:pt>
                <c:pt idx="245">
                  <c:v>-102.59833956512557</c:v>
                </c:pt>
                <c:pt idx="246">
                  <c:v>-102.67104363690612</c:v>
                </c:pt>
                <c:pt idx="247">
                  <c:v>-102.74407354489816</c:v>
                </c:pt>
                <c:pt idx="248">
                  <c:v>-102.81742681647955</c:v>
                </c:pt>
                <c:pt idx="249">
                  <c:v>-102.8929019244746</c:v>
                </c:pt>
                <c:pt idx="250">
                  <c:v>-102.96871119047348</c:v>
                </c:pt>
                <c:pt idx="251">
                  <c:v>-103.04485203683994</c:v>
                </c:pt>
                <c:pt idx="252">
                  <c:v>-103.12132191133179</c:v>
                </c:pt>
                <c:pt idx="253">
                  <c:v>-103.19974711628417</c:v>
                </c:pt>
                <c:pt idx="254">
                  <c:v>-103.27851012222862</c:v>
                </c:pt>
                <c:pt idx="255">
                  <c:v>-103.35760828830544</c:v>
                </c:pt>
                <c:pt idx="256">
                  <c:v>-103.4370389979496</c:v>
                </c:pt>
                <c:pt idx="257">
                  <c:v>-103.51887035806972</c:v>
                </c:pt>
                <c:pt idx="258">
                  <c:v>-103.60104621131703</c:v>
                </c:pt>
                <c:pt idx="259">
                  <c:v>-103.68356380734203</c:v>
                </c:pt>
                <c:pt idx="260">
                  <c:v>-103.76642041956001</c:v>
                </c:pt>
                <c:pt idx="261">
                  <c:v>-103.85150798027421</c:v>
                </c:pt>
                <c:pt idx="262">
                  <c:v>-103.93694444651258</c:v>
                </c:pt>
                <c:pt idx="263">
                  <c:v>-104.02272697414953</c:v>
                </c:pt>
                <c:pt idx="264">
                  <c:v>-104.10885274212539</c:v>
                </c:pt>
                <c:pt idx="265">
                  <c:v>-104.1972442685588</c:v>
                </c:pt>
                <c:pt idx="266">
                  <c:v>-104.28598856973498</c:v>
                </c:pt>
                <c:pt idx="267">
                  <c:v>-104.37508270287758</c:v>
                </c:pt>
                <c:pt idx="268">
                  <c:v>-104.46452374768816</c:v>
                </c:pt>
                <c:pt idx="269">
                  <c:v>-104.55648175800215</c:v>
                </c:pt>
                <c:pt idx="270">
                  <c:v>-104.64879751093657</c:v>
                </c:pt>
                <c:pt idx="271">
                  <c:v>-104.74146793888237</c:v>
                </c:pt>
                <c:pt idx="272">
                  <c:v>-104.83448999645762</c:v>
                </c:pt>
                <c:pt idx="273">
                  <c:v>-104.93006698162696</c:v>
                </c:pt>
                <c:pt idx="274">
                  <c:v>-105.02600599058327</c:v>
                </c:pt>
                <c:pt idx="275">
                  <c:v>-105.12230382616417</c:v>
                </c:pt>
                <c:pt idx="276">
                  <c:v>-105.21895731331493</c:v>
                </c:pt>
                <c:pt idx="277">
                  <c:v>-105.31797865179864</c:v>
                </c:pt>
                <c:pt idx="278">
                  <c:v>-105.41736392875548</c:v>
                </c:pt>
                <c:pt idx="279">
                  <c:v>-105.51710983556357</c:v>
                </c:pt>
                <c:pt idx="280">
                  <c:v>-105.61721308554607</c:v>
                </c:pt>
                <c:pt idx="281">
                  <c:v>-105.72039650024985</c:v>
                </c:pt>
                <c:pt idx="282">
                  <c:v>-105.82394992075903</c:v>
                </c:pt>
                <c:pt idx="283">
                  <c:v>-105.92786985540501</c:v>
                </c:pt>
                <c:pt idx="284">
                  <c:v>-106.03215283506606</c:v>
                </c:pt>
                <c:pt idx="285">
                  <c:v>-106.13886886945916</c:v>
                </c:pt>
                <c:pt idx="286">
                  <c:v>-106.24595523619369</c:v>
                </c:pt>
                <c:pt idx="287">
                  <c:v>-106.35340832607397</c:v>
                </c:pt>
                <c:pt idx="288">
                  <c:v>-106.46122455264528</c:v>
                </c:pt>
                <c:pt idx="289">
                  <c:v>-106.5722027399347</c:v>
                </c:pt>
                <c:pt idx="290">
                  <c:v>-106.68355551533068</c:v>
                </c:pt>
                <c:pt idx="291">
                  <c:v>-106.79527907919781</c:v>
                </c:pt>
                <c:pt idx="292">
                  <c:v>-106.9073696556279</c:v>
                </c:pt>
                <c:pt idx="293">
                  <c:v>-107.02242647979143</c:v>
                </c:pt>
                <c:pt idx="294">
                  <c:v>-107.13785955377502</c:v>
                </c:pt>
                <c:pt idx="295">
                  <c:v>-107.2536649089319</c:v>
                </c:pt>
                <c:pt idx="296">
                  <c:v>-107.36983860134507</c:v>
                </c:pt>
                <c:pt idx="297">
                  <c:v>-107.48901316738656</c:v>
                </c:pt>
                <c:pt idx="298">
                  <c:v>-107.60856463472886</c:v>
                </c:pt>
                <c:pt idx="299">
                  <c:v>-107.72848886465559</c:v>
                </c:pt>
                <c:pt idx="300">
                  <c:v>-107.84878174440726</c:v>
                </c:pt>
                <c:pt idx="301">
                  <c:v>-107.97210839546482</c:v>
                </c:pt>
                <c:pt idx="302">
                  <c:v>-108.09581155611869</c:v>
                </c:pt>
                <c:pt idx="303">
                  <c:v>-108.21988691764211</c:v>
                </c:pt>
                <c:pt idx="304">
                  <c:v>-108.34433019872139</c:v>
                </c:pt>
                <c:pt idx="305">
                  <c:v>-108.47232947423974</c:v>
                </c:pt>
                <c:pt idx="306">
                  <c:v>-108.6007066698933</c:v>
                </c:pt>
                <c:pt idx="307">
                  <c:v>-108.72945725650251</c:v>
                </c:pt>
                <c:pt idx="308">
                  <c:v>-108.85857673443661</c:v>
                </c:pt>
                <c:pt idx="309">
                  <c:v>-108.99079310972044</c:v>
                </c:pt>
                <c:pt idx="310">
                  <c:v>-109.12338469936721</c:v>
                </c:pt>
                <c:pt idx="311">
                  <c:v>-109.25634680760579</c:v>
                </c:pt>
                <c:pt idx="312">
                  <c:v>-109.38967477014354</c:v>
                </c:pt>
                <c:pt idx="313">
                  <c:v>-109.52662913955881</c:v>
                </c:pt>
                <c:pt idx="314">
                  <c:v>-109.66395761958567</c:v>
                </c:pt>
                <c:pt idx="315">
                  <c:v>-109.80165529815852</c:v>
                </c:pt>
                <c:pt idx="316">
                  <c:v>-109.93971729733613</c:v>
                </c:pt>
                <c:pt idx="317">
                  <c:v>-110.08143886437212</c:v>
                </c:pt>
                <c:pt idx="318">
                  <c:v>-110.2235320685307</c:v>
                </c:pt>
                <c:pt idx="319">
                  <c:v>-110.36599178553183</c:v>
                </c:pt>
                <c:pt idx="320">
                  <c:v>-110.50881292812402</c:v>
                </c:pt>
                <c:pt idx="321">
                  <c:v>-110.65532435566656</c:v>
                </c:pt>
                <c:pt idx="322">
                  <c:v>-110.80220355595041</c:v>
                </c:pt>
                <c:pt idx="323">
                  <c:v>-110.94944519824193</c:v>
                </c:pt>
                <c:pt idx="324">
                  <c:v>-111.09704399198634</c:v>
                </c:pt>
                <c:pt idx="325">
                  <c:v>-111.24836125135431</c:v>
                </c:pt>
                <c:pt idx="326">
                  <c:v>-111.40004101574145</c:v>
                </c:pt>
                <c:pt idx="327">
                  <c:v>-111.55207775541234</c:v>
                </c:pt>
                <c:pt idx="328">
                  <c:v>-111.70446598418765</c:v>
                </c:pt>
                <c:pt idx="329">
                  <c:v>-111.86085963368436</c:v>
                </c:pt>
                <c:pt idx="330">
                  <c:v>-112.01761029504377</c:v>
                </c:pt>
                <c:pt idx="331">
                  <c:v>-112.17471222002754</c:v>
                </c:pt>
                <c:pt idx="332">
                  <c:v>-112.3321597078492</c:v>
                </c:pt>
                <c:pt idx="333">
                  <c:v>-112.49337526597429</c:v>
                </c:pt>
                <c:pt idx="334">
                  <c:v>-112.65493966912197</c:v>
                </c:pt>
                <c:pt idx="335">
                  <c:v>-112.81684698998853</c:v>
                </c:pt>
                <c:pt idx="336">
                  <c:v>-112.97909135249334</c:v>
                </c:pt>
                <c:pt idx="337">
                  <c:v>-113.14565573670585</c:v>
                </c:pt>
                <c:pt idx="338">
                  <c:v>-113.31256156447499</c:v>
                </c:pt>
                <c:pt idx="339">
                  <c:v>-113.47980268339803</c:v>
                </c:pt>
                <c:pt idx="340">
                  <c:v>-113.64737299691539</c:v>
                </c:pt>
                <c:pt idx="341">
                  <c:v>-113.81928696265848</c:v>
                </c:pt>
                <c:pt idx="342">
                  <c:v>-113.99153330463093</c:v>
                </c:pt>
                <c:pt idx="343">
                  <c:v>-114.16410565909429</c:v>
                </c:pt>
                <c:pt idx="344">
                  <c:v>-114.33699772295108</c:v>
                </c:pt>
                <c:pt idx="345">
                  <c:v>-114.51398376705235</c:v>
                </c:pt>
                <c:pt idx="346">
                  <c:v>-114.6912905035623</c:v>
                </c:pt>
                <c:pt idx="347">
                  <c:v>-114.86891140283279</c:v>
                </c:pt>
                <c:pt idx="348">
                  <c:v>-115.0468400003918</c:v>
                </c:pt>
                <c:pt idx="349">
                  <c:v>-115.22942067779081</c:v>
                </c:pt>
                <c:pt idx="350">
                  <c:v>-115.41231072197968</c:v>
                </c:pt>
                <c:pt idx="351">
                  <c:v>-115.59550339489671</c:v>
                </c:pt>
                <c:pt idx="352">
                  <c:v>-115.77899202907479</c:v>
                </c:pt>
                <c:pt idx="353">
                  <c:v>-115.96714916696946</c:v>
                </c:pt>
                <c:pt idx="354">
                  <c:v>-116.1556026087361</c:v>
                </c:pt>
                <c:pt idx="355">
                  <c:v>-116.34434542707771</c:v>
                </c:pt>
                <c:pt idx="356">
                  <c:v>-116.53337077078669</c:v>
                </c:pt>
                <c:pt idx="357">
                  <c:v>-116.72680208952001</c:v>
                </c:pt>
                <c:pt idx="358">
                  <c:v>-116.92051416622652</c:v>
                </c:pt>
                <c:pt idx="359">
                  <c:v>-117.11449993529779</c:v>
                </c:pt>
                <c:pt idx="360">
                  <c:v>-117.30875241226633</c:v>
                </c:pt>
                <c:pt idx="361">
                  <c:v>-117.50797156433444</c:v>
                </c:pt>
                <c:pt idx="362">
                  <c:v>-117.70745590827059</c:v>
                </c:pt>
                <c:pt idx="363">
                  <c:v>-117.9071982020276</c:v>
                </c:pt>
                <c:pt idx="364">
                  <c:v>-118.1071912906359</c:v>
                </c:pt>
                <c:pt idx="365">
                  <c:v>-118.3118805272521</c:v>
                </c:pt>
                <c:pt idx="366">
                  <c:v>-118.51681698574195</c:v>
                </c:pt>
                <c:pt idx="367">
                  <c:v>-118.72199330175191</c:v>
                </c:pt>
                <c:pt idx="368">
                  <c:v>-118.92740220337778</c:v>
                </c:pt>
                <c:pt idx="369">
                  <c:v>-119.13806837398819</c:v>
                </c:pt>
                <c:pt idx="370">
                  <c:v>-119.34896348971081</c:v>
                </c:pt>
                <c:pt idx="371">
                  <c:v>-119.56008002920957</c:v>
                </c:pt>
                <c:pt idx="372">
                  <c:v>-119.77141056984739</c:v>
                </c:pt>
                <c:pt idx="373">
                  <c:v>-119.9877195197044</c:v>
                </c:pt>
                <c:pt idx="374">
                  <c:v>-120.20423684450607</c:v>
                </c:pt>
                <c:pt idx="375">
                  <c:v>-120.42095492292479</c:v>
                </c:pt>
                <c:pt idx="376">
                  <c:v>-120.63786623788238</c:v>
                </c:pt>
                <c:pt idx="377">
                  <c:v>-120.86031565348128</c:v>
                </c:pt>
                <c:pt idx="378">
                  <c:v>-121.08295229968475</c:v>
                </c:pt>
                <c:pt idx="379">
                  <c:v>-121.30576842419788</c:v>
                </c:pt>
                <c:pt idx="380">
                  <c:v>-121.52875638538079</c:v>
                </c:pt>
                <c:pt idx="381">
                  <c:v>-121.75671241263829</c:v>
                </c:pt>
                <c:pt idx="382">
                  <c:v>-121.9848319803035</c:v>
                </c:pt>
                <c:pt idx="383">
                  <c:v>-122.21310729324033</c:v>
                </c:pt>
                <c:pt idx="384">
                  <c:v>-122.4415306719622</c:v>
                </c:pt>
                <c:pt idx="385">
                  <c:v>-122.6757608037957</c:v>
                </c:pt>
                <c:pt idx="386">
                  <c:v>-122.91013046894683</c:v>
                </c:pt>
                <c:pt idx="387">
                  <c:v>-123.14463177254902</c:v>
                </c:pt>
                <c:pt idx="388">
                  <c:v>-123.37925694175638</c:v>
                </c:pt>
                <c:pt idx="389">
                  <c:v>-123.61939272108306</c:v>
                </c:pt>
                <c:pt idx="390">
                  <c:v>-123.85964205273818</c:v>
                </c:pt>
                <c:pt idx="391">
                  <c:v>-124.09999700291922</c:v>
                </c:pt>
                <c:pt idx="392">
                  <c:v>-124.3404497652399</c:v>
                </c:pt>
                <c:pt idx="393">
                  <c:v>-124.58639589886475</c:v>
                </c:pt>
                <c:pt idx="394">
                  <c:v>-124.8324281831044</c:v>
                </c:pt>
                <c:pt idx="395">
                  <c:v>-125.07853867664438</c:v>
                </c:pt>
                <c:pt idx="396">
                  <c:v>-125.32471957052439</c:v>
                </c:pt>
                <c:pt idx="397">
                  <c:v>-125.57694207136774</c:v>
                </c:pt>
                <c:pt idx="398">
                  <c:v>-125.82922226611763</c:v>
                </c:pt>
                <c:pt idx="399">
                  <c:v>-126.08155218363881</c:v>
                </c:pt>
                <c:pt idx="400">
                  <c:v>-126.33392399081477</c:v>
                </c:pt>
                <c:pt idx="401">
                  <c:v>-126.59202797853077</c:v>
                </c:pt>
                <c:pt idx="402">
                  <c:v>-126.85015963550966</c:v>
                </c:pt>
                <c:pt idx="403">
                  <c:v>-127.10831102134631</c:v>
                </c:pt>
                <c:pt idx="404">
                  <c:v>-127.36647433814944</c:v>
                </c:pt>
                <c:pt idx="405">
                  <c:v>-127.63062593572526</c:v>
                </c:pt>
                <c:pt idx="406">
                  <c:v>-127.89477395529025</c:v>
                </c:pt>
                <c:pt idx="407">
                  <c:v>-128.15891049369083</c:v>
                </c:pt>
                <c:pt idx="408">
                  <c:v>-128.42302779481713</c:v>
                </c:pt>
                <c:pt idx="409">
                  <c:v>-128.69338537852738</c:v>
                </c:pt>
                <c:pt idx="410">
                  <c:v>-128.96370681324595</c:v>
                </c:pt>
                <c:pt idx="411">
                  <c:v>-129.23398424152927</c:v>
                </c:pt>
                <c:pt idx="412">
                  <c:v>-129.50420995750773</c:v>
                </c:pt>
                <c:pt idx="413">
                  <c:v>-129.78063872081387</c:v>
                </c:pt>
                <c:pt idx="414">
                  <c:v>-130.05699750018377</c:v>
                </c:pt>
                <c:pt idx="415">
                  <c:v>-130.33327851806106</c:v>
                </c:pt>
                <c:pt idx="416">
                  <c:v>-130.60947415231831</c:v>
                </c:pt>
                <c:pt idx="417">
                  <c:v>-130.89211577241045</c:v>
                </c:pt>
                <c:pt idx="418">
                  <c:v>-131.17465223951748</c:v>
                </c:pt>
                <c:pt idx="419">
                  <c:v>-131.45707586593394</c:v>
                </c:pt>
                <c:pt idx="420">
                  <c:v>-131.73937912317035</c:v>
                </c:pt>
                <c:pt idx="421">
                  <c:v>-132.02779847225187</c:v>
                </c:pt>
                <c:pt idx="422">
                  <c:v>-132.31607665690174</c:v>
                </c:pt>
                <c:pt idx="423">
                  <c:v>-132.60420613511249</c:v>
                </c:pt>
                <c:pt idx="424">
                  <c:v>-132.89217952650947</c:v>
                </c:pt>
                <c:pt idx="425">
                  <c:v>-133.18706943132005</c:v>
                </c:pt>
                <c:pt idx="426">
                  <c:v>-133.48178029409061</c:v>
                </c:pt>
                <c:pt idx="427">
                  <c:v>-133.77630468473774</c:v>
                </c:pt>
                <c:pt idx="428">
                  <c:v>-134.07063533837652</c:v>
                </c:pt>
                <c:pt idx="429">
                  <c:v>-134.37154381891722</c:v>
                </c:pt>
                <c:pt idx="430">
                  <c:v>-134.67223465948717</c:v>
                </c:pt>
                <c:pt idx="431">
                  <c:v>-134.97270059739316</c:v>
                </c:pt>
                <c:pt idx="432">
                  <c:v>-135.27293453727972</c:v>
                </c:pt>
                <c:pt idx="433">
                  <c:v>-135.57968719304392</c:v>
                </c:pt>
                <c:pt idx="434">
                  <c:v>-135.88618279335921</c:v>
                </c:pt>
                <c:pt idx="435">
                  <c:v>-136.19241427366688</c:v>
                </c:pt>
                <c:pt idx="436">
                  <c:v>-136.49837473810473</c:v>
                </c:pt>
                <c:pt idx="437">
                  <c:v>-136.81135221678153</c:v>
                </c:pt>
                <c:pt idx="438">
                  <c:v>-137.12403148036401</c:v>
                </c:pt>
                <c:pt idx="439">
                  <c:v>-137.43640565449155</c:v>
                </c:pt>
                <c:pt idx="440">
                  <c:v>-137.74846803529641</c:v>
                </c:pt>
                <c:pt idx="441">
                  <c:v>-138.06747760417963</c:v>
                </c:pt>
                <c:pt idx="442">
                  <c:v>-138.3861469965114</c:v>
                </c:pt>
                <c:pt idx="443">
                  <c:v>-138.70446955962055</c:v>
                </c:pt>
                <c:pt idx="444">
                  <c:v>-139.02243881230609</c:v>
                </c:pt>
                <c:pt idx="445">
                  <c:v>-139.34728158153351</c:v>
                </c:pt>
                <c:pt idx="446">
                  <c:v>-139.67174157384869</c:v>
                </c:pt>
                <c:pt idx="447">
                  <c:v>-139.99581238738116</c:v>
                </c:pt>
                <c:pt idx="448">
                  <c:v>-140.31948779190827</c:v>
                </c:pt>
                <c:pt idx="449">
                  <c:v>-140.65051310226025</c:v>
                </c:pt>
                <c:pt idx="450">
                  <c:v>-140.98111111453349</c:v>
                </c:pt>
                <c:pt idx="451">
                  <c:v>-141.31127567384934</c:v>
                </c:pt>
                <c:pt idx="452">
                  <c:v>-141.64100079752222</c:v>
                </c:pt>
                <c:pt idx="453">
                  <c:v>-141.97771527942388</c:v>
                </c:pt>
                <c:pt idx="454">
                  <c:v>-142.31395812466164</c:v>
                </c:pt>
                <c:pt idx="455">
                  <c:v>-142.64972346889707</c:v>
                </c:pt>
                <c:pt idx="456">
                  <c:v>-142.98500561915921</c:v>
                </c:pt>
                <c:pt idx="457">
                  <c:v>-143.32773824848988</c:v>
                </c:pt>
                <c:pt idx="458">
                  <c:v>-143.66995293633451</c:v>
                </c:pt>
                <c:pt idx="459">
                  <c:v>-144.01164410668159</c:v>
                </c:pt>
                <c:pt idx="460">
                  <c:v>-144.35280635440563</c:v>
                </c:pt>
                <c:pt idx="461">
                  <c:v>-144.70132431999818</c:v>
                </c:pt>
                <c:pt idx="462">
                  <c:v>-145.04927763805048</c:v>
                </c:pt>
                <c:pt idx="463">
                  <c:v>-145.39666104758697</c:v>
                </c:pt>
                <c:pt idx="464">
                  <c:v>-145.74346945725873</c:v>
                </c:pt>
                <c:pt idx="465">
                  <c:v>-146.09780567709296</c:v>
                </c:pt>
                <c:pt idx="466">
                  <c:v>-146.45152936368893</c:v>
                </c:pt>
                <c:pt idx="467">
                  <c:v>-146.80463558402542</c:v>
                </c:pt>
                <c:pt idx="468">
                  <c:v>-147.15711957322662</c:v>
                </c:pt>
                <c:pt idx="469">
                  <c:v>-147.51702715057689</c:v>
                </c:pt>
                <c:pt idx="470">
                  <c:v>-147.87627410632837</c:v>
                </c:pt>
                <c:pt idx="471">
                  <c:v>-148.23485585932042</c:v>
                </c:pt>
                <c:pt idx="472">
                  <c:v>-148.59276799433312</c:v>
                </c:pt>
                <c:pt idx="473">
                  <c:v>-148.9585290483293</c:v>
                </c:pt>
                <c:pt idx="474">
                  <c:v>-149.32357926756762</c:v>
                </c:pt>
                <c:pt idx="475">
                  <c:v>-149.68791442585729</c:v>
                </c:pt>
                <c:pt idx="476">
                  <c:v>-150.05153046102001</c:v>
                </c:pt>
                <c:pt idx="477">
                  <c:v>-150.42287878854475</c:v>
                </c:pt>
                <c:pt idx="478">
                  <c:v>-150.79346595710433</c:v>
                </c:pt>
                <c:pt idx="479">
                  <c:v>-151.16328811904876</c:v>
                </c:pt>
                <c:pt idx="480">
                  <c:v>-151.53234158810585</c:v>
                </c:pt>
                <c:pt idx="481">
                  <c:v>-151.90900768194354</c:v>
                </c:pt>
                <c:pt idx="482">
                  <c:v>-152.2848623412608</c:v>
                </c:pt>
                <c:pt idx="483">
                  <c:v>-152.65990211780431</c:v>
                </c:pt>
                <c:pt idx="484">
                  <c:v>-153.03412372141872</c:v>
                </c:pt>
                <c:pt idx="485">
                  <c:v>-153.41609526379492</c:v>
                </c:pt>
                <c:pt idx="486">
                  <c:v>-153.79720411968853</c:v>
                </c:pt>
                <c:pt idx="487">
                  <c:v>-154.17744725241596</c:v>
                </c:pt>
                <c:pt idx="488">
                  <c:v>-154.55682177994339</c:v>
                </c:pt>
                <c:pt idx="489">
                  <c:v>-154.94433243704376</c:v>
                </c:pt>
                <c:pt idx="490">
                  <c:v>-155.33092696963146</c:v>
                </c:pt>
                <c:pt idx="491">
                  <c:v>-155.71660276051648</c:v>
                </c:pt>
                <c:pt idx="492">
                  <c:v>-156.10135734393114</c:v>
                </c:pt>
                <c:pt idx="493">
                  <c:v>-156.49410962625328</c:v>
                </c:pt>
                <c:pt idx="494">
                  <c:v>-156.88589257003528</c:v>
                </c:pt>
                <c:pt idx="495">
                  <c:v>-157.27670399775349</c:v>
                </c:pt>
                <c:pt idx="496">
                  <c:v>-157.66654187947151</c:v>
                </c:pt>
                <c:pt idx="497">
                  <c:v>-158.06448883634368</c:v>
                </c:pt>
                <c:pt idx="498">
                  <c:v>-158.46141232167511</c:v>
                </c:pt>
                <c:pt idx="499">
                  <c:v>-158.85731061202074</c:v>
                </c:pt>
                <c:pt idx="500">
                  <c:v>-159.25218212749863</c:v>
                </c:pt>
                <c:pt idx="501">
                  <c:v>-159.65526524728472</c:v>
                </c:pt>
                <c:pt idx="502">
                  <c:v>-160.05726987686782</c:v>
                </c:pt>
                <c:pt idx="503">
                  <c:v>-160.45819476195075</c:v>
                </c:pt>
                <c:pt idx="504">
                  <c:v>-160.85803878758085</c:v>
                </c:pt>
                <c:pt idx="505">
                  <c:v>-161.26594099638595</c:v>
                </c:pt>
                <c:pt idx="506">
                  <c:v>-161.67271022671676</c:v>
                </c:pt>
                <c:pt idx="507">
                  <c:v>-162.07834571036892</c:v>
                </c:pt>
                <c:pt idx="508">
                  <c:v>-162.48284681374048</c:v>
                </c:pt>
                <c:pt idx="509">
                  <c:v>-162.89549493256118</c:v>
                </c:pt>
                <c:pt idx="510">
                  <c:v>-163.30695485861244</c:v>
                </c:pt>
                <c:pt idx="511">
                  <c:v>-163.71722632385166</c:v>
                </c:pt>
                <c:pt idx="512">
                  <c:v>-164.12630918993281</c:v>
                </c:pt>
                <c:pt idx="513">
                  <c:v>-164.54386048933509</c:v>
                </c:pt>
                <c:pt idx="514">
                  <c:v>-164.96016626152294</c:v>
                </c:pt>
                <c:pt idx="515">
                  <c:v>-165.37522675379509</c:v>
                </c:pt>
                <c:pt idx="516">
                  <c:v>-165.78904233835206</c:v>
                </c:pt>
                <c:pt idx="517">
                  <c:v>-166.21115455631261</c:v>
                </c:pt>
                <c:pt idx="518">
                  <c:v>-166.63196470195481</c:v>
                </c:pt>
                <c:pt idx="519">
                  <c:v>-167.05147355367862</c:v>
                </c:pt>
                <c:pt idx="520">
                  <c:v>-167.46968200949411</c:v>
                </c:pt>
                <c:pt idx="521">
                  <c:v>-167.89624927889474</c:v>
                </c:pt>
                <c:pt idx="522">
                  <c:v>-168.3214573740955</c:v>
                </c:pt>
                <c:pt idx="523">
                  <c:v>-168.74530762010204</c:v>
                </c:pt>
                <c:pt idx="524">
                  <c:v>-169.16780145604307</c:v>
                </c:pt>
                <c:pt idx="525">
                  <c:v>-169.59870743761405</c:v>
                </c:pt>
                <c:pt idx="526">
                  <c:v>-170.02819665566301</c:v>
                </c:pt>
                <c:pt idx="527">
                  <c:v>-170.45627099763652</c:v>
                </c:pt>
                <c:pt idx="528">
                  <c:v>-170.88293245940793</c:v>
                </c:pt>
                <c:pt idx="529">
                  <c:v>-171.31805058726738</c:v>
                </c:pt>
                <c:pt idx="530">
                  <c:v>-171.75169395091331</c:v>
                </c:pt>
                <c:pt idx="531">
                  <c:v>-172.18386501630275</c:v>
                </c:pt>
                <c:pt idx="532">
                  <c:v>-172.61456635190032</c:v>
                </c:pt>
                <c:pt idx="533">
                  <c:v>-173.05398646284164</c:v>
                </c:pt>
                <c:pt idx="534">
                  <c:v>-173.49187189819773</c:v>
                </c:pt>
                <c:pt idx="535">
                  <c:v>-173.92822572345443</c:v>
                </c:pt>
                <c:pt idx="536">
                  <c:v>-174.3630511006443</c:v>
                </c:pt>
                <c:pt idx="537">
                  <c:v>-174.80617117235775</c:v>
                </c:pt>
                <c:pt idx="538">
                  <c:v>-175.24769958769332</c:v>
                </c:pt>
                <c:pt idx="539">
                  <c:v>-175.68764001843326</c:v>
                </c:pt>
                <c:pt idx="540">
                  <c:v>-176.12599622629526</c:v>
                </c:pt>
                <c:pt idx="541">
                  <c:v>-176.57311035804645</c:v>
                </c:pt>
                <c:pt idx="542">
                  <c:v>-177.01857249254039</c:v>
                </c:pt>
                <c:pt idx="543">
                  <c:v>-177.46238693501508</c:v>
                </c:pt>
                <c:pt idx="544">
                  <c:v>-177.90455807412832</c:v>
                </c:pt>
                <c:pt idx="545">
                  <c:v>-178.35527553708496</c:v>
                </c:pt>
                <c:pt idx="546">
                  <c:v>-178.80428223087537</c:v>
                </c:pt>
                <c:pt idx="547">
                  <c:v>-179.25158310459</c:v>
                </c:pt>
                <c:pt idx="548">
                  <c:v>-179.69718318375661</c:v>
                </c:pt>
                <c:pt idx="549">
                  <c:v>-180.15133123643983</c:v>
                </c:pt>
                <c:pt idx="550">
                  <c:v>-180.60370980891469</c:v>
                </c:pt>
                <c:pt idx="551">
                  <c:v>-181.05432450960529</c:v>
                </c:pt>
                <c:pt idx="552">
                  <c:v>-181.5031810160929</c:v>
                </c:pt>
                <c:pt idx="553">
                  <c:v>-181.96078905484896</c:v>
                </c:pt>
                <c:pt idx="554">
                  <c:v>-182.41656739117016</c:v>
                </c:pt>
                <c:pt idx="555">
                  <c:v>-182.87052231651882</c:v>
                </c:pt>
                <c:pt idx="556">
                  <c:v>-183.322660184033</c:v>
                </c:pt>
                <c:pt idx="557">
                  <c:v>-184.24251010512921</c:v>
                </c:pt>
                <c:pt idx="558">
                  <c:v>-185.15482939612545</c:v>
                </c:pt>
                <c:pt idx="559">
                  <c:v>-186.08032770975723</c:v>
                </c:pt>
                <c:pt idx="560">
                  <c:v>-186.99806673985904</c:v>
                </c:pt>
                <c:pt idx="561">
                  <c:v>-187.92960710495382</c:v>
                </c:pt>
                <c:pt idx="562">
                  <c:v>-188.85314798399682</c:v>
                </c:pt>
                <c:pt idx="563">
                  <c:v>-189.78831910401712</c:v>
                </c:pt>
                <c:pt idx="564">
                  <c:v>-190.7152874451628</c:v>
                </c:pt>
                <c:pt idx="565">
                  <c:v>-191.65718593186031</c:v>
                </c:pt>
                <c:pt idx="566">
                  <c:v>-192.59061932511918</c:v>
                </c:pt>
                <c:pt idx="567">
                  <c:v>-193.53830945833406</c:v>
                </c:pt>
                <c:pt idx="568">
                  <c:v>-194.47728270150662</c:v>
                </c:pt>
                <c:pt idx="569">
                  <c:v>-195.42614456774047</c:v>
                </c:pt>
                <c:pt idx="570">
                  <c:v>-196.36611840640671</c:v>
                </c:pt>
                <c:pt idx="571">
                  <c:v>-197.32273418328921</c:v>
                </c:pt>
                <c:pt idx="572">
                  <c:v>-198.27016281843939</c:v>
                </c:pt>
                <c:pt idx="573">
                  <c:v>-199.22632269494432</c:v>
                </c:pt>
                <c:pt idx="574">
                  <c:v>-200.17314842678138</c:v>
                </c:pt>
                <c:pt idx="575">
                  <c:v>-201.13520191510784</c:v>
                </c:pt>
                <c:pt idx="576">
                  <c:v>-202.08764678838585</c:v>
                </c:pt>
                <c:pt idx="577">
                  <c:v>-206.01599805050867</c:v>
                </c:pt>
                <c:pt idx="578">
                  <c:v>-209.78241909934965</c:v>
                </c:pt>
                <c:pt idx="579">
                  <c:v>-217.50867968703096</c:v>
                </c:pt>
                <c:pt idx="580">
                  <c:v>-225.23139700680409</c:v>
                </c:pt>
                <c:pt idx="581">
                  <c:v>-232.8927004784569</c:v>
                </c:pt>
                <c:pt idx="582">
                  <c:v>-240.45268992844049</c:v>
                </c:pt>
                <c:pt idx="583">
                  <c:v>-247.8637279119246</c:v>
                </c:pt>
                <c:pt idx="584">
                  <c:v>-255.09275074858886</c:v>
                </c:pt>
                <c:pt idx="585">
                  <c:v>-262.10092562758547</c:v>
                </c:pt>
                <c:pt idx="586">
                  <c:v>-268.85921169076465</c:v>
                </c:pt>
                <c:pt idx="587">
                  <c:v>-275.34573940515662</c:v>
                </c:pt>
                <c:pt idx="588">
                  <c:v>-281.53409599090918</c:v>
                </c:pt>
                <c:pt idx="589">
                  <c:v>-287.41429469561359</c:v>
                </c:pt>
                <c:pt idx="590">
                  <c:v>-292.97409204674824</c:v>
                </c:pt>
                <c:pt idx="591">
                  <c:v>-298.20901137063248</c:v>
                </c:pt>
                <c:pt idx="592">
                  <c:v>-303.11796031466258</c:v>
                </c:pt>
                <c:pt idx="593">
                  <c:v>-307.70599616696342</c:v>
                </c:pt>
                <c:pt idx="594">
                  <c:v>-311.97897788512427</c:v>
                </c:pt>
                <c:pt idx="595">
                  <c:v>-315.94772981891731</c:v>
                </c:pt>
                <c:pt idx="596">
                  <c:v>-319.62363348023928</c:v>
                </c:pt>
                <c:pt idx="597">
                  <c:v>-323.02128479635189</c:v>
                </c:pt>
                <c:pt idx="598">
                  <c:v>-326.15474796900128</c:v>
                </c:pt>
                <c:pt idx="599">
                  <c:v>-329.04033875961403</c:v>
                </c:pt>
                <c:pt idx="600">
                  <c:v>-331.69331488225481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55-41F1-84E2-E768F8DC0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18368"/>
        <c:axId val="159237248"/>
      </c:scatterChart>
      <c:valAx>
        <c:axId val="159014272"/>
        <c:scaling>
          <c:logBase val="10"/>
          <c:orientation val="minMax"/>
          <c:max val="1000000"/>
          <c:min val="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Frequency (Hz)</a:t>
                </a:r>
              </a:p>
            </c:rich>
          </c:tx>
          <c:layout>
            <c:manualLayout>
              <c:xMode val="edge"/>
              <c:yMode val="edge"/>
              <c:x val="0.42857142857142855"/>
              <c:y val="0.883611403413284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016448"/>
        <c:crossesAt val="-40"/>
        <c:crossBetween val="midCat"/>
        <c:majorUnit val="10"/>
        <c:minorUnit val="10"/>
      </c:valAx>
      <c:valAx>
        <c:axId val="159016448"/>
        <c:scaling>
          <c:orientation val="minMax"/>
          <c:max val="80"/>
          <c:min val="-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Gain (dB)</a:t>
                </a:r>
              </a:p>
            </c:rich>
          </c:tx>
          <c:layout>
            <c:manualLayout>
              <c:xMode val="edge"/>
              <c:yMode val="edge"/>
              <c:x val="1.5549076773566581E-2"/>
              <c:y val="0.3927162330515138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014272"/>
        <c:crossesAt val="0.1"/>
        <c:crossBetween val="midCat"/>
        <c:majorUnit val="20"/>
        <c:minorUnit val="4"/>
      </c:valAx>
      <c:valAx>
        <c:axId val="159018368"/>
        <c:scaling>
          <c:logBase val="10"/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159237248"/>
        <c:crossesAt val="0"/>
        <c:crossBetween val="midCat"/>
      </c:valAx>
      <c:valAx>
        <c:axId val="159237248"/>
        <c:scaling>
          <c:orientation val="minMax"/>
          <c:max val="0"/>
          <c:min val="-270"/>
        </c:scaling>
        <c:delete val="0"/>
        <c:axPos val="r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Phase (°)</a:t>
                </a:r>
              </a:p>
            </c:rich>
          </c:tx>
          <c:layout>
            <c:manualLayout>
              <c:xMode val="edge"/>
              <c:yMode val="edge"/>
              <c:x val="0.96550048590864856"/>
              <c:y val="0.39825828223085169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zh-TW"/>
          </a:p>
        </c:txPr>
        <c:crossAx val="159018368"/>
        <c:crosses val="max"/>
        <c:crossBetween val="midCat"/>
        <c:majorUnit val="45"/>
        <c:minorUnit val="22.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zh-TW"/>
    </a:p>
  </c:txPr>
  <c:printSettings>
    <c:headerFooter alignWithMargins="0"/>
    <c:pageMargins b="1" l="0.75000000000000167" r="0.75000000000000167" t="1" header="0.5" footer="0.5"/>
    <c:pageSetup/>
  </c:printSettings>
</c:chartSpace>
</file>

<file path=xl/ctrlProps/ctrlProp1.xml><?xml version="1.0" encoding="utf-8"?>
<formControlPr xmlns="http://schemas.microsoft.com/office/spreadsheetml/2009/9/main" objectType="Drop" dropStyle="combo" dx="22" fmlaRange="$1:$1048576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$E$71" max="100" min="1" page="10" val="4"/>
</file>

<file path=xl/ctrlProps/ctrlProp5.xml><?xml version="1.0" encoding="utf-8"?>
<formControlPr xmlns="http://schemas.microsoft.com/office/spreadsheetml/2009/9/main" objectType="Spin" dx="16" fmlaLink="$E$7" max="58" page="10" val="12"/>
</file>

<file path=xl/ctrlProps/ctrlProp6.xml><?xml version="1.0" encoding="utf-8"?>
<formControlPr xmlns="http://schemas.microsoft.com/office/spreadsheetml/2009/9/main" objectType="Drop" dropLines="2" dropStyle="combo" dx="16" fmlaLink="'Variable Management'!$L$10" fmlaRange="'Variable Management'!$K$8:$K$9" noThreeD="1" sel="1" val="0"/>
</file>

<file path=xl/ctrlProps/ctrlProp7.xml><?xml version="1.0" encoding="utf-8"?>
<formControlPr xmlns="http://schemas.microsoft.com/office/spreadsheetml/2009/9/main" objectType="Drop" dropLines="2" dropStyle="combo" dx="16" fmlaLink="'Variable Management'!$O$10" fmlaRange="'Variable Management'!$M$8:$M$9" noThreeD="1" sel="1" val="0"/>
</file>

<file path=xl/ctrlProps/ctrlProp8.xml><?xml version="1.0" encoding="utf-8"?>
<formControlPr xmlns="http://schemas.microsoft.com/office/spreadsheetml/2009/9/main" objectType="Spin" dx="16" fmlaLink="$E$7" max="58" page="10" val="12"/>
</file>

<file path=xl/ctrlProps/ctrlProp9.xml><?xml version="1.0" encoding="utf-8"?>
<formControlPr xmlns="http://schemas.microsoft.com/office/spreadsheetml/2009/9/main" objectType="Spin" dx="16" fmlaLink="$E$7" max="58" page="10" val="1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6" Type="http://schemas.openxmlformats.org/officeDocument/2006/relationships/image" Target="../media/image5.emf"/><Relationship Id="rId5" Type="http://schemas.openxmlformats.org/officeDocument/2006/relationships/image" Target="../media/image4.jpg"/><Relationship Id="rId4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i.com/corp/docs/legal/copyright.shtml" TargetMode="External"/><Relationship Id="rId2" Type="http://schemas.openxmlformats.org/officeDocument/2006/relationships/image" Target="../media/image11.gif"/><Relationship Id="rId1" Type="http://schemas.openxmlformats.org/officeDocument/2006/relationships/hyperlink" Target="http://www.ti.com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g"/><Relationship Id="rId3" Type="http://schemas.openxmlformats.org/officeDocument/2006/relationships/image" Target="../media/image14.jpg"/><Relationship Id="rId7" Type="http://schemas.openxmlformats.org/officeDocument/2006/relationships/image" Target="../media/image18.jpg"/><Relationship Id="rId12" Type="http://schemas.openxmlformats.org/officeDocument/2006/relationships/image" Target="../media/image23.jpg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jpg"/><Relationship Id="rId11" Type="http://schemas.openxmlformats.org/officeDocument/2006/relationships/image" Target="../media/image22.jpg"/><Relationship Id="rId5" Type="http://schemas.openxmlformats.org/officeDocument/2006/relationships/image" Target="../media/image16.jpg"/><Relationship Id="rId10" Type="http://schemas.openxmlformats.org/officeDocument/2006/relationships/image" Target="../media/image21.jpg"/><Relationship Id="rId4" Type="http://schemas.openxmlformats.org/officeDocument/2006/relationships/image" Target="../media/image15.jpg"/><Relationship Id="rId9" Type="http://schemas.openxmlformats.org/officeDocument/2006/relationships/image" Target="../media/image20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29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77</xdr:row>
          <xdr:rowOff>76200</xdr:rowOff>
        </xdr:from>
        <xdr:to>
          <xdr:col>2</xdr:col>
          <xdr:colOff>895350</xdr:colOff>
          <xdr:row>79</xdr:row>
          <xdr:rowOff>133350</xdr:rowOff>
        </xdr:to>
        <xdr:sp macro="" textlink="">
          <xdr:nvSpPr>
            <xdr:cNvPr id="673260" name="Button 492" hidden="1">
              <a:extLst>
                <a:ext uri="{63B3BB69-23CF-44E3-9099-C40C66FF867C}">
                  <a14:compatExt spid="_x0000_s673260"/>
                </a:ext>
                <a:ext uri="{FF2B5EF4-FFF2-40B4-BE49-F238E27FC236}">
                  <a16:creationId xmlns:a16="http://schemas.microsoft.com/office/drawing/2014/main" id="{00000000-0008-0000-0000-0000EC45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TW" alt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VALUES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77</xdr:row>
          <xdr:rowOff>76200</xdr:rowOff>
        </xdr:from>
        <xdr:to>
          <xdr:col>2</xdr:col>
          <xdr:colOff>895350</xdr:colOff>
          <xdr:row>79</xdr:row>
          <xdr:rowOff>133350</xdr:rowOff>
        </xdr:to>
        <xdr:sp macro="" textlink="">
          <xdr:nvSpPr>
            <xdr:cNvPr id="673288" name="Button 520" hidden="1">
              <a:extLst>
                <a:ext uri="{63B3BB69-23CF-44E3-9099-C40C66FF867C}">
                  <a14:compatExt spid="_x0000_s673288"/>
                </a:ext>
                <a:ext uri="{FF2B5EF4-FFF2-40B4-BE49-F238E27FC236}">
                  <a16:creationId xmlns:a16="http://schemas.microsoft.com/office/drawing/2014/main" id="{00000000-0008-0000-0000-00000846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TW" alt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FIX</a:t>
              </a:r>
            </a:p>
            <a:p>
              <a:pPr algn="ctr" rtl="0">
                <a:defRPr sz="1000"/>
              </a:pPr>
              <a:r>
                <a:rPr lang="zh-TW" altLang="en-US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VALUES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11</xdr:row>
          <xdr:rowOff>66675</xdr:rowOff>
        </xdr:from>
        <xdr:to>
          <xdr:col>7</xdr:col>
          <xdr:colOff>95250</xdr:colOff>
          <xdr:row>13</xdr:row>
          <xdr:rowOff>47625</xdr:rowOff>
        </xdr:to>
        <xdr:sp macro="" textlink="">
          <xdr:nvSpPr>
            <xdr:cNvPr id="673660" name="Drop Down 892" hidden="1">
              <a:extLst>
                <a:ext uri="{63B3BB69-23CF-44E3-9099-C40C66FF867C}">
                  <a14:compatExt spid="_x0000_s673660"/>
                </a:ext>
                <a:ext uri="{FF2B5EF4-FFF2-40B4-BE49-F238E27FC236}">
                  <a16:creationId xmlns:a16="http://schemas.microsoft.com/office/drawing/2014/main" id="{00000000-0008-0000-0000-00007C47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16</xdr:col>
      <xdr:colOff>1360848</xdr:colOff>
      <xdr:row>0</xdr:row>
      <xdr:rowOff>108713</xdr:rowOff>
    </xdr:from>
    <xdr:to>
      <xdr:col>16</xdr:col>
      <xdr:colOff>2434625</xdr:colOff>
      <xdr:row>2</xdr:row>
      <xdr:rowOff>155459</xdr:rowOff>
    </xdr:to>
    <xdr:pic macro="[0]!OpenLM27403ProductFolder"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0098" y="108713"/>
          <a:ext cx="1056632" cy="832241"/>
        </a:xfrm>
        <a:prstGeom prst="rect">
          <a:avLst/>
        </a:prstGeom>
      </xdr:spPr>
    </xdr:pic>
    <xdr:clientData/>
  </xdr:twoCellAnchor>
  <xdr:twoCellAnchor editAs="absolute">
    <xdr:from>
      <xdr:col>6</xdr:col>
      <xdr:colOff>266700</xdr:colOff>
      <xdr:row>45</xdr:row>
      <xdr:rowOff>3811</xdr:rowOff>
    </xdr:from>
    <xdr:to>
      <xdr:col>16</xdr:col>
      <xdr:colOff>2358390</xdr:colOff>
      <xdr:row>73</xdr:row>
      <xdr:rowOff>189246</xdr:rowOff>
    </xdr:to>
    <xdr:graphicFrame macro="">
      <xdr:nvGraphicFramePr>
        <xdr:cNvPr id="65" name="Chart 1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190500</xdr:colOff>
          <xdr:row>84</xdr:row>
          <xdr:rowOff>3726</xdr:rowOff>
        </xdr:from>
        <xdr:to>
          <xdr:col>16</xdr:col>
          <xdr:colOff>2471906</xdr:colOff>
          <xdr:row>112</xdr:row>
          <xdr:rowOff>109734</xdr:rowOff>
        </xdr:to>
        <xdr:pic>
          <xdr:nvPicPr>
            <xdr:cNvPr id="72" name="Picture 8888"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ICTURE" spid="_x0000_s68610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505325" y="16139076"/>
              <a:ext cx="8453606" cy="5268558"/>
            </a:xfrm>
            <a:prstGeom prst="rect">
              <a:avLst/>
            </a:prstGeom>
            <a:noFill/>
            <a:ln w="15875">
              <a:noFill/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392728</xdr:colOff>
      <xdr:row>64</xdr:row>
      <xdr:rowOff>4766</xdr:rowOff>
    </xdr:from>
    <xdr:to>
      <xdr:col>10</xdr:col>
      <xdr:colOff>361950</xdr:colOff>
      <xdr:row>65</xdr:row>
      <xdr:rowOff>14928</xdr:rowOff>
    </xdr:to>
    <xdr:sp macro="" textlink="'Variable Management'!A453">
      <xdr:nvSpPr>
        <xdr:cNvPr id="2071" name="Text Box 23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 noTextEdit="1"/>
        </xdr:cNvSpPr>
      </xdr:nvSpPr>
      <xdr:spPr bwMode="auto">
        <a:xfrm>
          <a:off x="4700959" y="12057554"/>
          <a:ext cx="2196606" cy="200662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fld id="{10952A97-D9C5-44B7-89A3-65441574648A}" type="TxLink">
            <a:rPr lang="en-US" sz="1100" b="1" i="0" u="none" strike="noStrike" baseline="0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Crossover Frequency = 4 kHz</a:t>
          </a:fld>
          <a:endParaRPr lang="en-US" sz="1100" b="1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422779</xdr:colOff>
      <xdr:row>65</xdr:row>
      <xdr:rowOff>162115</xdr:rowOff>
    </xdr:from>
    <xdr:to>
      <xdr:col>9</xdr:col>
      <xdr:colOff>457199</xdr:colOff>
      <xdr:row>66</xdr:row>
      <xdr:rowOff>201318</xdr:rowOff>
    </xdr:to>
    <xdr:sp macro="" textlink="'Variable Management'!A454">
      <xdr:nvSpPr>
        <xdr:cNvPr id="2072" name="Text Box 24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 noTextEdit="1"/>
        </xdr:cNvSpPr>
      </xdr:nvSpPr>
      <xdr:spPr bwMode="auto">
        <a:xfrm>
          <a:off x="4731010" y="12405403"/>
          <a:ext cx="1433862" cy="207723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fld id="{95DD25AA-EC3B-4C80-B80E-8DC148525216}" type="TxLink">
            <a:rPr lang="en-US" sz="1100" b="1" i="0" u="none" strike="noStrike" baseline="0">
              <a:solidFill>
                <a:srgbClr val="002060"/>
              </a:solidFill>
              <a:latin typeface="Arial"/>
              <a:cs typeface="Arial"/>
            </a:rPr>
            <a:pPr algn="l" rtl="0">
              <a:defRPr sz="1000"/>
            </a:pPr>
            <a:t>Phase Margin = 82°</a:t>
          </a:fld>
          <a:endParaRPr lang="en-US" sz="1100" b="1" i="0" u="none" strike="noStrike" baseline="0">
            <a:solidFill>
              <a:srgbClr val="00206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70</xdr:row>
          <xdr:rowOff>0</xdr:rowOff>
        </xdr:from>
        <xdr:to>
          <xdr:col>5</xdr:col>
          <xdr:colOff>180975</xdr:colOff>
          <xdr:row>70</xdr:row>
          <xdr:rowOff>180975</xdr:rowOff>
        </xdr:to>
        <xdr:sp macro="" textlink="">
          <xdr:nvSpPr>
            <xdr:cNvPr id="672829" name="Spinner 61" hidden="1">
              <a:extLst>
                <a:ext uri="{63B3BB69-23CF-44E3-9099-C40C66FF867C}">
                  <a14:compatExt spid="_x0000_s672829"/>
                </a:ext>
                <a:ext uri="{FF2B5EF4-FFF2-40B4-BE49-F238E27FC236}">
                  <a16:creationId xmlns:a16="http://schemas.microsoft.com/office/drawing/2014/main" id="{00000000-0008-0000-0000-00003D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6</xdr:row>
          <xdr:rowOff>9525</xdr:rowOff>
        </xdr:from>
        <xdr:to>
          <xdr:col>5</xdr:col>
          <xdr:colOff>304800</xdr:colOff>
          <xdr:row>7</xdr:row>
          <xdr:rowOff>19050</xdr:rowOff>
        </xdr:to>
        <xdr:sp macro="" textlink="">
          <xdr:nvSpPr>
            <xdr:cNvPr id="672895" name="Spinner 127" hidden="1">
              <a:extLst>
                <a:ext uri="{63B3BB69-23CF-44E3-9099-C40C66FF867C}">
                  <a14:compatExt spid="_x0000_s672895"/>
                </a:ext>
                <a:ext uri="{FF2B5EF4-FFF2-40B4-BE49-F238E27FC236}">
                  <a16:creationId xmlns:a16="http://schemas.microsoft.com/office/drawing/2014/main" id="{00000000-0008-0000-0000-00007F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58613</xdr:colOff>
      <xdr:row>0</xdr:row>
      <xdr:rowOff>29308</xdr:rowOff>
    </xdr:from>
    <xdr:to>
      <xdr:col>3</xdr:col>
      <xdr:colOff>339529</xdr:colOff>
      <xdr:row>0</xdr:row>
      <xdr:rowOff>567964</xdr:rowOff>
    </xdr:to>
    <xdr:pic macro="[0]!OpenLM27403ProductFolder"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96" b="8304"/>
        <a:stretch/>
      </xdr:blipFill>
      <xdr:spPr>
        <a:xfrm>
          <a:off x="58613" y="29308"/>
          <a:ext cx="2283071" cy="538656"/>
        </a:xfrm>
        <a:prstGeom prst="rect">
          <a:avLst/>
        </a:prstGeom>
      </xdr:spPr>
    </xdr:pic>
    <xdr:clientData/>
  </xdr:twoCellAnchor>
  <xdr:twoCellAnchor editAs="oneCell">
    <xdr:from>
      <xdr:col>16</xdr:col>
      <xdr:colOff>1372551</xdr:colOff>
      <xdr:row>0</xdr:row>
      <xdr:rowOff>89535</xdr:rowOff>
    </xdr:from>
    <xdr:to>
      <xdr:col>16</xdr:col>
      <xdr:colOff>2435160</xdr:colOff>
      <xdr:row>2</xdr:row>
      <xdr:rowOff>149476</xdr:rowOff>
    </xdr:to>
    <xdr:pic macro="[0]!OpenLM27403ProductFolder"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71" y="89535"/>
          <a:ext cx="1060704" cy="8219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83</xdr:row>
          <xdr:rowOff>9525</xdr:rowOff>
        </xdr:from>
        <xdr:to>
          <xdr:col>9</xdr:col>
          <xdr:colOff>200025</xdr:colOff>
          <xdr:row>84</xdr:row>
          <xdr:rowOff>0</xdr:rowOff>
        </xdr:to>
        <xdr:sp macro="" textlink="">
          <xdr:nvSpPr>
            <xdr:cNvPr id="672924" name="Drop Down 156" hidden="1">
              <a:extLst>
                <a:ext uri="{63B3BB69-23CF-44E3-9099-C40C66FF867C}">
                  <a14:compatExt spid="_x0000_s672924"/>
                </a:ext>
                <a:ext uri="{FF2B5EF4-FFF2-40B4-BE49-F238E27FC236}">
                  <a16:creationId xmlns:a16="http://schemas.microsoft.com/office/drawing/2014/main" id="{00000000-0008-0000-0000-00009C44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942415</xdr:colOff>
      <xdr:row>88</xdr:row>
      <xdr:rowOff>24932</xdr:rowOff>
    </xdr:from>
    <xdr:to>
      <xdr:col>16</xdr:col>
      <xdr:colOff>1364358</xdr:colOff>
      <xdr:row>89</xdr:row>
      <xdr:rowOff>72557</xdr:rowOff>
    </xdr:to>
    <xdr:sp macro="" textlink="'Variable Management'!$B$457">
      <xdr:nvSpPr>
        <xdr:cNvPr id="73" name="Text Box 2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429440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F0AFB1C-0795-4024-9821-D34D86340D40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96.7%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12</xdr:col>
      <xdr:colOff>580465</xdr:colOff>
      <xdr:row>88</xdr:row>
      <xdr:rowOff>24932</xdr:rowOff>
    </xdr:from>
    <xdr:to>
      <xdr:col>13</xdr:col>
      <xdr:colOff>392808</xdr:colOff>
      <xdr:row>89</xdr:row>
      <xdr:rowOff>72557</xdr:rowOff>
    </xdr:to>
    <xdr:sp macro="" textlink="'Variable Management'!$B$458">
      <xdr:nvSpPr>
        <xdr:cNvPr id="74" name="Text Box 2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2415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7D4567B-D519-4FF8-A1F3-102CF08055A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96.2%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151840</xdr:colOff>
      <xdr:row>88</xdr:row>
      <xdr:rowOff>24932</xdr:rowOff>
    </xdr:from>
    <xdr:to>
      <xdr:col>8</xdr:col>
      <xdr:colOff>573783</xdr:colOff>
      <xdr:row>89</xdr:row>
      <xdr:rowOff>72557</xdr:rowOff>
    </xdr:to>
    <xdr:sp macro="" textlink="'Variable Management'!$B$456">
      <xdr:nvSpPr>
        <xdr:cNvPr id="89" name="Text Box 2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257240" y="16922282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432ED2DE-3BD0-4309-A8FE-05B28CC10D2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 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59</xdr:row>
          <xdr:rowOff>0</xdr:rowOff>
        </xdr:from>
        <xdr:to>
          <xdr:col>1</xdr:col>
          <xdr:colOff>476250</xdr:colOff>
          <xdr:row>60</xdr:row>
          <xdr:rowOff>28575</xdr:rowOff>
        </xdr:to>
        <xdr:sp macro="" textlink="">
          <xdr:nvSpPr>
            <xdr:cNvPr id="673029" name="Drop Down 261" hidden="1">
              <a:extLst>
                <a:ext uri="{63B3BB69-23CF-44E3-9099-C40C66FF867C}">
                  <a14:compatExt spid="_x0000_s673029"/>
                </a:ext>
                <a:ext uri="{FF2B5EF4-FFF2-40B4-BE49-F238E27FC236}">
                  <a16:creationId xmlns:a16="http://schemas.microsoft.com/office/drawing/2014/main" id="{00000000-0008-0000-0000-00000545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338350</xdr:colOff>
          <xdr:row>10</xdr:row>
          <xdr:rowOff>73254</xdr:rowOff>
        </xdr:from>
        <xdr:to>
          <xdr:col>16</xdr:col>
          <xdr:colOff>2403660</xdr:colOff>
          <xdr:row>37</xdr:row>
          <xdr:rowOff>34290</xdr:rowOff>
        </xdr:to>
        <xdr:pic>
          <xdr:nvPicPr>
            <xdr:cNvPr id="96" name="Picture 8888">
              <a:extLst>
                <a:ext uri="{FF2B5EF4-FFF2-40B4-BE49-F238E27FC236}">
                  <a16:creationId xmlns:a16="http://schemas.microsoft.com/office/drawing/2014/main" id="{00000000-0008-0000-0000-00006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ICTURE2" spid="_x0000_s686105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3845455" y="2321154"/>
              <a:ext cx="9047135" cy="4965471"/>
            </a:xfrm>
            <a:prstGeom prst="rect">
              <a:avLst/>
            </a:prstGeom>
            <a:noFill/>
            <a:ln w="15875">
              <a:noFill/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428625</xdr:colOff>
          <xdr:row>46</xdr:row>
          <xdr:rowOff>0</xdr:rowOff>
        </xdr:from>
        <xdr:to>
          <xdr:col>14</xdr:col>
          <xdr:colOff>0</xdr:colOff>
          <xdr:row>47</xdr:row>
          <xdr:rowOff>9525</xdr:rowOff>
        </xdr:to>
        <xdr:sp macro="" textlink="">
          <xdr:nvSpPr>
            <xdr:cNvPr id="673295" name="Spinner 527" hidden="1">
              <a:extLst>
                <a:ext uri="{63B3BB69-23CF-44E3-9099-C40C66FF867C}">
                  <a14:compatExt spid="_x0000_s673295"/>
                </a:ext>
                <a:ext uri="{FF2B5EF4-FFF2-40B4-BE49-F238E27FC236}">
                  <a16:creationId xmlns:a16="http://schemas.microsoft.com/office/drawing/2014/main" id="{00000000-0008-0000-0000-00000F46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822960</xdr:colOff>
      <xdr:row>22</xdr:row>
      <xdr:rowOff>167640</xdr:rowOff>
    </xdr:from>
    <xdr:to>
      <xdr:col>11</xdr:col>
      <xdr:colOff>205740</xdr:colOff>
      <xdr:row>25</xdr:row>
      <xdr:rowOff>68580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 bwMode="auto">
        <a:xfrm>
          <a:off x="6713220" y="4579620"/>
          <a:ext cx="861060" cy="52578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horzOverflow="clip" wrap="square" lIns="27432" tIns="27432" rIns="0" bIns="0" rtlCol="0" anchor="ctr" upright="1"/>
        <a:lstStyle/>
        <a:p>
          <a:pPr algn="ctr" rtl="0"/>
          <a:r>
            <a:rPr lang="en-US" sz="1100" b="1" i="0" strike="noStrike">
              <a:solidFill>
                <a:srgbClr val="000000"/>
              </a:solidFill>
              <a:latin typeface="Calibri"/>
            </a:rPr>
            <a:t>LM5176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428625</xdr:colOff>
          <xdr:row>83</xdr:row>
          <xdr:rowOff>0</xdr:rowOff>
        </xdr:from>
        <xdr:to>
          <xdr:col>14</xdr:col>
          <xdr:colOff>0</xdr:colOff>
          <xdr:row>84</xdr:row>
          <xdr:rowOff>9525</xdr:rowOff>
        </xdr:to>
        <xdr:sp macro="" textlink="">
          <xdr:nvSpPr>
            <xdr:cNvPr id="673669" name="Spinner 901" hidden="1">
              <a:extLst>
                <a:ext uri="{63B3BB69-23CF-44E3-9099-C40C66FF867C}">
                  <a14:compatExt spid="_x0000_s673669"/>
                </a:ext>
                <a:ext uri="{FF2B5EF4-FFF2-40B4-BE49-F238E27FC236}">
                  <a16:creationId xmlns:a16="http://schemas.microsoft.com/office/drawing/2014/main" id="{00000000-0008-0000-0000-000085470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0.08469</cdr:x>
      <cdr:y>0.4934</cdr:y>
    </cdr:from>
    <cdr:to>
      <cdr:x>0.9187</cdr:x>
      <cdr:y>0.49511</cdr:y>
    </cdr:to>
    <cdr:sp macro="" textlink="">
      <cdr:nvSpPr>
        <cdr:cNvPr id="8195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3103" y="2356792"/>
          <a:ext cx="7219652" cy="8168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0.92392</cdr:x>
      <cdr:y>0.56277</cdr:y>
    </cdr:from>
    <cdr:to>
      <cdr:x>0.97055</cdr:x>
      <cdr:y>0.61867</cdr:y>
    </cdr:to>
    <cdr:sp macro="" textlink="'Variable Management'!$B$454">
      <cdr:nvSpPr>
        <cdr:cNvPr id="3" name="Text Box 2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8004815" y="2953578"/>
          <a:ext cx="404001" cy="29337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l" rtl="0">
            <a:defRPr sz="1000"/>
          </a:pPr>
          <a:fld id="{BB1BCF51-C5DA-4454-8307-018A0FF9C118}" type="TxLink">
            <a:rPr lang="en-US" sz="9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82°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9524</xdr:rowOff>
    </xdr:from>
    <xdr:to>
      <xdr:col>9</xdr:col>
      <xdr:colOff>1219200</xdr:colOff>
      <xdr:row>44</xdr:row>
      <xdr:rowOff>85725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71449"/>
          <a:ext cx="10734675" cy="707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428625</xdr:colOff>
      <xdr:row>3</xdr:row>
      <xdr:rowOff>47624</xdr:rowOff>
    </xdr:from>
    <xdr:to>
      <xdr:col>9</xdr:col>
      <xdr:colOff>1200150</xdr:colOff>
      <xdr:row>42</xdr:row>
      <xdr:rowOff>81752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533399"/>
          <a:ext cx="10410825" cy="6349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742225</xdr:colOff>
      <xdr:row>11</xdr:row>
      <xdr:rowOff>54039</xdr:rowOff>
    </xdr:from>
    <xdr:to>
      <xdr:col>10</xdr:col>
      <xdr:colOff>113596</xdr:colOff>
      <xdr:row>12</xdr:row>
      <xdr:rowOff>137902</xdr:rowOff>
    </xdr:to>
    <xdr:sp macro="" textlink="'Variable Management'!B431">
      <xdr:nvSpPr>
        <xdr:cNvPr id="23" name="Text Box 28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376082" y="1850182"/>
          <a:ext cx="521175" cy="247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12V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611176</xdr:colOff>
      <xdr:row>12</xdr:row>
      <xdr:rowOff>116821</xdr:rowOff>
    </xdr:from>
    <xdr:to>
      <xdr:col>9</xdr:col>
      <xdr:colOff>1171576</xdr:colOff>
      <xdr:row>14</xdr:row>
      <xdr:rowOff>29271</xdr:rowOff>
    </xdr:to>
    <xdr:sp macro="" textlink="'Variable Management'!B473">
      <xdr:nvSpPr>
        <xdr:cNvPr id="24" name="Text Box 286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250476" y="2059921"/>
          <a:ext cx="560400" cy="23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4A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215765</xdr:colOff>
      <xdr:row>21</xdr:row>
      <xdr:rowOff>138591</xdr:rowOff>
    </xdr:from>
    <xdr:to>
      <xdr:col>7</xdr:col>
      <xdr:colOff>621919</xdr:colOff>
      <xdr:row>23</xdr:row>
      <xdr:rowOff>25832</xdr:rowOff>
    </xdr:to>
    <xdr:sp macro="" textlink="'Variable Management'!B438">
      <xdr:nvSpPr>
        <xdr:cNvPr id="26" name="Text Box 27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796351" y="3587298"/>
          <a:ext cx="406154" cy="2156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8EC17DC9-9599-436B-83BE-CF5CE434479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365389</xdr:colOff>
      <xdr:row>21</xdr:row>
      <xdr:rowOff>135869</xdr:rowOff>
    </xdr:from>
    <xdr:to>
      <xdr:col>1</xdr:col>
      <xdr:colOff>230978</xdr:colOff>
      <xdr:row>23</xdr:row>
      <xdr:rowOff>26451</xdr:rowOff>
    </xdr:to>
    <xdr:sp macro="" textlink="">
      <xdr:nvSpPr>
        <xdr:cNvPr id="30" name="Text Box 22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365389" y="3614565"/>
          <a:ext cx="503350" cy="221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>
    <xdr:from>
      <xdr:col>2</xdr:col>
      <xdr:colOff>159713</xdr:colOff>
      <xdr:row>37</xdr:row>
      <xdr:rowOff>159333</xdr:rowOff>
    </xdr:from>
    <xdr:to>
      <xdr:col>2</xdr:col>
      <xdr:colOff>479651</xdr:colOff>
      <xdr:row>39</xdr:row>
      <xdr:rowOff>38653</xdr:rowOff>
    </xdr:to>
    <xdr:sp macro="" textlink="">
      <xdr:nvSpPr>
        <xdr:cNvPr id="31" name="Text Box 22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2150438" y="6150558"/>
          <a:ext cx="319938" cy="203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>
    <xdr:from>
      <xdr:col>7</xdr:col>
      <xdr:colOff>1034941</xdr:colOff>
      <xdr:row>19</xdr:row>
      <xdr:rowOff>127711</xdr:rowOff>
    </xdr:from>
    <xdr:to>
      <xdr:col>8</xdr:col>
      <xdr:colOff>381857</xdr:colOff>
      <xdr:row>20</xdr:row>
      <xdr:rowOff>159098</xdr:rowOff>
    </xdr:to>
    <xdr:sp macro="" textlink="">
      <xdr:nvSpPr>
        <xdr:cNvPr id="33" name="Text Box 228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8615527" y="3247970"/>
          <a:ext cx="424227" cy="1956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>
    <xdr:from>
      <xdr:col>9</xdr:col>
      <xdr:colOff>141502</xdr:colOff>
      <xdr:row>11</xdr:row>
      <xdr:rowOff>18316</xdr:rowOff>
    </xdr:from>
    <xdr:to>
      <xdr:col>9</xdr:col>
      <xdr:colOff>606793</xdr:colOff>
      <xdr:row>12</xdr:row>
      <xdr:rowOff>78135</xdr:rowOff>
    </xdr:to>
    <xdr:sp macro="" textlink="">
      <xdr:nvSpPr>
        <xdr:cNvPr id="34" name="Text Box 23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9775359" y="1814459"/>
          <a:ext cx="465291" cy="223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>
    <xdr:from>
      <xdr:col>1</xdr:col>
      <xdr:colOff>575103</xdr:colOff>
      <xdr:row>15</xdr:row>
      <xdr:rowOff>71293</xdr:rowOff>
    </xdr:from>
    <xdr:to>
      <xdr:col>1</xdr:col>
      <xdr:colOff>1033728</xdr:colOff>
      <xdr:row>16</xdr:row>
      <xdr:rowOff>121097</xdr:rowOff>
    </xdr:to>
    <xdr:sp macro="" textlink="">
      <xdr:nvSpPr>
        <xdr:cNvPr id="35" name="Text Box 23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213278" y="2500168"/>
          <a:ext cx="458625" cy="211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DITH</a:t>
          </a:r>
        </a:p>
      </xdr:txBody>
    </xdr:sp>
    <xdr:clientData/>
  </xdr:twoCellAnchor>
  <xdr:twoCellAnchor>
    <xdr:from>
      <xdr:col>7</xdr:col>
      <xdr:colOff>920230</xdr:colOff>
      <xdr:row>27</xdr:row>
      <xdr:rowOff>76146</xdr:rowOff>
    </xdr:from>
    <xdr:to>
      <xdr:col>8</xdr:col>
      <xdr:colOff>33391</xdr:colOff>
      <xdr:row>28</xdr:row>
      <xdr:rowOff>131403</xdr:rowOff>
    </xdr:to>
    <xdr:sp macro="" textlink="">
      <xdr:nvSpPr>
        <xdr:cNvPr id="36" name="Text Box 23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8502130" y="4448121"/>
          <a:ext cx="189486" cy="2171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>
    <xdr:from>
      <xdr:col>7</xdr:col>
      <xdr:colOff>423180</xdr:colOff>
      <xdr:row>14</xdr:row>
      <xdr:rowOff>151191</xdr:rowOff>
    </xdr:from>
    <xdr:to>
      <xdr:col>7</xdr:col>
      <xdr:colOff>765561</xdr:colOff>
      <xdr:row>16</xdr:row>
      <xdr:rowOff>38470</xdr:rowOff>
    </xdr:to>
    <xdr:sp macro="" textlink="">
      <xdr:nvSpPr>
        <xdr:cNvPr id="37" name="Text Box 23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8005080" y="2418141"/>
          <a:ext cx="342381" cy="211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>
    <xdr:from>
      <xdr:col>4</xdr:col>
      <xdr:colOff>120315</xdr:colOff>
      <xdr:row>40</xdr:row>
      <xdr:rowOff>73324</xdr:rowOff>
    </xdr:from>
    <xdr:to>
      <xdr:col>4</xdr:col>
      <xdr:colOff>524058</xdr:colOff>
      <xdr:row>41</xdr:row>
      <xdr:rowOff>126640</xdr:rowOff>
    </xdr:to>
    <xdr:sp macro="" textlink="">
      <xdr:nvSpPr>
        <xdr:cNvPr id="38" name="Text Box 243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530390" y="6550324"/>
          <a:ext cx="403743" cy="2152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>
    <xdr:from>
      <xdr:col>7</xdr:col>
      <xdr:colOff>230281</xdr:colOff>
      <xdr:row>19</xdr:row>
      <xdr:rowOff>118899</xdr:rowOff>
    </xdr:from>
    <xdr:to>
      <xdr:col>7</xdr:col>
      <xdr:colOff>481762</xdr:colOff>
      <xdr:row>20</xdr:row>
      <xdr:rowOff>159567</xdr:rowOff>
    </xdr:to>
    <xdr:sp macro="" textlink="">
      <xdr:nvSpPr>
        <xdr:cNvPr id="39" name="Text Box 244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810867" y="3239158"/>
          <a:ext cx="251481" cy="204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>
    <xdr:from>
      <xdr:col>2</xdr:col>
      <xdr:colOff>690613</xdr:colOff>
      <xdr:row>7</xdr:row>
      <xdr:rowOff>112069</xdr:rowOff>
    </xdr:from>
    <xdr:to>
      <xdr:col>2</xdr:col>
      <xdr:colOff>1019019</xdr:colOff>
      <xdr:row>9</xdr:row>
      <xdr:rowOff>13359</xdr:rowOff>
    </xdr:to>
    <xdr:sp macro="" textlink="">
      <xdr:nvSpPr>
        <xdr:cNvPr id="40" name="Text Box 24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81338" y="1245544"/>
          <a:ext cx="328406" cy="225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2</xdr:col>
      <xdr:colOff>604626</xdr:colOff>
      <xdr:row>4</xdr:row>
      <xdr:rowOff>101811</xdr:rowOff>
    </xdr:from>
    <xdr:to>
      <xdr:col>2</xdr:col>
      <xdr:colOff>930926</xdr:colOff>
      <xdr:row>5</xdr:row>
      <xdr:rowOff>137577</xdr:rowOff>
    </xdr:to>
    <xdr:sp macro="" textlink="">
      <xdr:nvSpPr>
        <xdr:cNvPr id="41" name="Text Box 246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2595351" y="749511"/>
          <a:ext cx="326300" cy="197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4</xdr:col>
      <xdr:colOff>420809</xdr:colOff>
      <xdr:row>5</xdr:row>
      <xdr:rowOff>36340</xdr:rowOff>
    </xdr:from>
    <xdr:to>
      <xdr:col>4</xdr:col>
      <xdr:colOff>941827</xdr:colOff>
      <xdr:row>6</xdr:row>
      <xdr:rowOff>104790</xdr:rowOff>
    </xdr:to>
    <xdr:sp macro="" textlink="">
      <xdr:nvSpPr>
        <xdr:cNvPr id="42" name="Text Box 248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4830884" y="845965"/>
          <a:ext cx="521018" cy="230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>
    <xdr:from>
      <xdr:col>5</xdr:col>
      <xdr:colOff>681590</xdr:colOff>
      <xdr:row>20</xdr:row>
      <xdr:rowOff>92429</xdr:rowOff>
    </xdr:from>
    <xdr:to>
      <xdr:col>5</xdr:col>
      <xdr:colOff>1050728</xdr:colOff>
      <xdr:row>21</xdr:row>
      <xdr:rowOff>132267</xdr:rowOff>
    </xdr:to>
    <xdr:sp macro="" textlink="">
      <xdr:nvSpPr>
        <xdr:cNvPr id="43" name="Text Box 24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6239220" y="3405472"/>
          <a:ext cx="369138" cy="205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>
    <xdr:from>
      <xdr:col>1</xdr:col>
      <xdr:colOff>615609</xdr:colOff>
      <xdr:row>25</xdr:row>
      <xdr:rowOff>16697</xdr:rowOff>
    </xdr:from>
    <xdr:to>
      <xdr:col>1</xdr:col>
      <xdr:colOff>941178</xdr:colOff>
      <xdr:row>26</xdr:row>
      <xdr:rowOff>87108</xdr:rowOff>
    </xdr:to>
    <xdr:sp macro="" textlink="">
      <xdr:nvSpPr>
        <xdr:cNvPr id="45" name="Text Box 25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1253370" y="4158001"/>
          <a:ext cx="325569" cy="236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>
    <xdr:from>
      <xdr:col>1</xdr:col>
      <xdr:colOff>620109</xdr:colOff>
      <xdr:row>35</xdr:row>
      <xdr:rowOff>18502</xdr:rowOff>
    </xdr:from>
    <xdr:to>
      <xdr:col>1</xdr:col>
      <xdr:colOff>975998</xdr:colOff>
      <xdr:row>36</xdr:row>
      <xdr:rowOff>58189</xdr:rowOff>
    </xdr:to>
    <xdr:sp macro="" textlink="">
      <xdr:nvSpPr>
        <xdr:cNvPr id="46" name="Text Box 25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1258284" y="5685877"/>
          <a:ext cx="355889" cy="201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>
    <xdr:from>
      <xdr:col>0</xdr:col>
      <xdr:colOff>248672</xdr:colOff>
      <xdr:row>28</xdr:row>
      <xdr:rowOff>99817</xdr:rowOff>
    </xdr:from>
    <xdr:to>
      <xdr:col>0</xdr:col>
      <xdr:colOff>496177</xdr:colOff>
      <xdr:row>29</xdr:row>
      <xdr:rowOff>147296</xdr:rowOff>
    </xdr:to>
    <xdr:sp macro="" textlink="">
      <xdr:nvSpPr>
        <xdr:cNvPr id="47" name="Text Box 25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248672" y="4633717"/>
          <a:ext cx="247505" cy="2094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>
    <xdr:from>
      <xdr:col>1</xdr:col>
      <xdr:colOff>513058</xdr:colOff>
      <xdr:row>32</xdr:row>
      <xdr:rowOff>14364</xdr:rowOff>
    </xdr:from>
    <xdr:to>
      <xdr:col>1</xdr:col>
      <xdr:colOff>826519</xdr:colOff>
      <xdr:row>33</xdr:row>
      <xdr:rowOff>80087</xdr:rowOff>
    </xdr:to>
    <xdr:sp macro="" textlink="">
      <xdr:nvSpPr>
        <xdr:cNvPr id="48" name="Text Box 25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151233" y="5195964"/>
          <a:ext cx="313461" cy="227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>
    <xdr:from>
      <xdr:col>1</xdr:col>
      <xdr:colOff>373551</xdr:colOff>
      <xdr:row>29</xdr:row>
      <xdr:rowOff>70727</xdr:rowOff>
    </xdr:from>
    <xdr:to>
      <xdr:col>1</xdr:col>
      <xdr:colOff>865344</xdr:colOff>
      <xdr:row>30</xdr:row>
      <xdr:rowOff>141637</xdr:rowOff>
    </xdr:to>
    <xdr:sp macro="" textlink="">
      <xdr:nvSpPr>
        <xdr:cNvPr id="49" name="Text Box 25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1011726" y="4766552"/>
          <a:ext cx="491793" cy="232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>
    <xdr:from>
      <xdr:col>3</xdr:col>
      <xdr:colOff>995933</xdr:colOff>
      <xdr:row>40</xdr:row>
      <xdr:rowOff>24379</xdr:rowOff>
    </xdr:from>
    <xdr:to>
      <xdr:col>4</xdr:col>
      <xdr:colOff>8382</xdr:colOff>
      <xdr:row>41</xdr:row>
      <xdr:rowOff>74707</xdr:rowOff>
    </xdr:to>
    <xdr:sp macro="" textlink="">
      <xdr:nvSpPr>
        <xdr:cNvPr id="50" name="Text Box 25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4062983" y="6501379"/>
          <a:ext cx="355474" cy="2122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>
    <xdr:from>
      <xdr:col>5</xdr:col>
      <xdr:colOff>680852</xdr:colOff>
      <xdr:row>22</xdr:row>
      <xdr:rowOff>30506</xdr:rowOff>
    </xdr:from>
    <xdr:to>
      <xdr:col>5</xdr:col>
      <xdr:colOff>1092245</xdr:colOff>
      <xdr:row>23</xdr:row>
      <xdr:rowOff>102262</xdr:rowOff>
    </xdr:to>
    <xdr:sp macro="" textlink="">
      <xdr:nvSpPr>
        <xdr:cNvPr id="51" name="Text Box 26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6238197" y="3643437"/>
          <a:ext cx="411393" cy="235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μ</a:t>
          </a: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>
    <xdr:from>
      <xdr:col>1</xdr:col>
      <xdr:colOff>475307</xdr:colOff>
      <xdr:row>33</xdr:row>
      <xdr:rowOff>47050</xdr:rowOff>
    </xdr:from>
    <xdr:to>
      <xdr:col>1</xdr:col>
      <xdr:colOff>976607</xdr:colOff>
      <xdr:row>34</xdr:row>
      <xdr:rowOff>93389</xdr:rowOff>
    </xdr:to>
    <xdr:sp macro="" textlink="'Variable Management'!B442">
      <xdr:nvSpPr>
        <xdr:cNvPr id="52" name="Text Box 26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13482" y="5390575"/>
          <a:ext cx="501300" cy="208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491934A6-59AB-480F-A883-A2630DEA478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27nF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65780</xdr:colOff>
      <xdr:row>29</xdr:row>
      <xdr:rowOff>152907</xdr:rowOff>
    </xdr:from>
    <xdr:to>
      <xdr:col>0</xdr:col>
      <xdr:colOff>493109</xdr:colOff>
      <xdr:row>31</xdr:row>
      <xdr:rowOff>28938</xdr:rowOff>
    </xdr:to>
    <xdr:sp macro="" textlink="'Variable Management'!B443">
      <xdr:nvSpPr>
        <xdr:cNvPr id="53" name="Text Box 26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80" y="4848732"/>
          <a:ext cx="427329" cy="199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820pF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308705</xdr:colOff>
      <xdr:row>36</xdr:row>
      <xdr:rowOff>59874</xdr:rowOff>
    </xdr:from>
    <xdr:to>
      <xdr:col>1</xdr:col>
      <xdr:colOff>915457</xdr:colOff>
      <xdr:row>37</xdr:row>
      <xdr:rowOff>101302</xdr:rowOff>
    </xdr:to>
    <xdr:sp macro="" textlink="'Variable Management'!B452">
      <xdr:nvSpPr>
        <xdr:cNvPr id="54" name="Text Box 26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946880" y="5889174"/>
          <a:ext cx="606752" cy="203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331510</xdr:colOff>
      <xdr:row>6</xdr:row>
      <xdr:rowOff>15898</xdr:rowOff>
    </xdr:from>
    <xdr:to>
      <xdr:col>1</xdr:col>
      <xdr:colOff>150224</xdr:colOff>
      <xdr:row>7</xdr:row>
      <xdr:rowOff>105957</xdr:rowOff>
    </xdr:to>
    <xdr:sp macro="" textlink="'Variable Management'!B444">
      <xdr:nvSpPr>
        <xdr:cNvPr id="55" name="Text Box 265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31510" y="987448"/>
          <a:ext cx="399739" cy="251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8A5847E3-10F5-4FFF-8A55-57AE8AD8F48A}" type="TxLink">
            <a:rPr lang="el-GR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342427</xdr:colOff>
      <xdr:row>23</xdr:row>
      <xdr:rowOff>11119</xdr:rowOff>
    </xdr:from>
    <xdr:to>
      <xdr:col>1</xdr:col>
      <xdr:colOff>241897</xdr:colOff>
      <xdr:row>24</xdr:row>
      <xdr:rowOff>30597</xdr:rowOff>
    </xdr:to>
    <xdr:sp macro="" textlink="'Variable Management'!B449">
      <xdr:nvSpPr>
        <xdr:cNvPr id="56" name="Text Box 266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42427" y="3821119"/>
          <a:ext cx="537231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6C3BF70F-B67A-49A8-941F-82145361171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138114</xdr:colOff>
      <xdr:row>39</xdr:row>
      <xdr:rowOff>24182</xdr:rowOff>
    </xdr:from>
    <xdr:to>
      <xdr:col>2</xdr:col>
      <xdr:colOff>737223</xdr:colOff>
      <xdr:row>40</xdr:row>
      <xdr:rowOff>100589</xdr:rowOff>
    </xdr:to>
    <xdr:sp macro="" textlink="'Variable Management'!B451">
      <xdr:nvSpPr>
        <xdr:cNvPr id="58" name="Text Box 268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128839" y="6339257"/>
          <a:ext cx="599109" cy="238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280kΩ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871333</xdr:colOff>
      <xdr:row>28</xdr:row>
      <xdr:rowOff>94989</xdr:rowOff>
    </xdr:from>
    <xdr:to>
      <xdr:col>8</xdr:col>
      <xdr:colOff>238953</xdr:colOff>
      <xdr:row>29</xdr:row>
      <xdr:rowOff>153991</xdr:rowOff>
    </xdr:to>
    <xdr:sp macro="" textlink="'Variable Management'!B428">
      <xdr:nvSpPr>
        <xdr:cNvPr id="59" name="Text Box 26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453233" y="4628889"/>
          <a:ext cx="443945" cy="2209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93CAFF9C-D0F9-46B6-B2B7-EF65E2F3688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15mΩ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152402</xdr:colOff>
      <xdr:row>12</xdr:row>
      <xdr:rowOff>50107</xdr:rowOff>
    </xdr:from>
    <xdr:to>
      <xdr:col>9</xdr:col>
      <xdr:colOff>720245</xdr:colOff>
      <xdr:row>13</xdr:row>
      <xdr:rowOff>96840</xdr:rowOff>
    </xdr:to>
    <xdr:sp macro="" textlink="'Variable Management'!B464">
      <xdr:nvSpPr>
        <xdr:cNvPr id="60" name="Text Box 27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9791702" y="1993207"/>
          <a:ext cx="567843" cy="2086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B92BB06-DA54-414A-9DCD-8FA61A7BAA1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4.2mΩ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429021</xdr:colOff>
      <xdr:row>16</xdr:row>
      <xdr:rowOff>76214</xdr:rowOff>
    </xdr:from>
    <xdr:to>
      <xdr:col>1</xdr:col>
      <xdr:colOff>907105</xdr:colOff>
      <xdr:row>18</xdr:row>
      <xdr:rowOff>1354</xdr:rowOff>
    </xdr:to>
    <xdr:sp macro="" textlink="'Variable Management'!B460">
      <xdr:nvSpPr>
        <xdr:cNvPr id="61" name="Text Box 27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67196" y="2667014"/>
          <a:ext cx="478084" cy="24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0DC16DAA-59E9-44C1-A2D2-01ECF4509AE4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47nF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716970</xdr:colOff>
      <xdr:row>14</xdr:row>
      <xdr:rowOff>56268</xdr:rowOff>
    </xdr:from>
    <xdr:to>
      <xdr:col>8</xdr:col>
      <xdr:colOff>89785</xdr:colOff>
      <xdr:row>15</xdr:row>
      <xdr:rowOff>135004</xdr:rowOff>
    </xdr:to>
    <xdr:sp macro="" textlink="'Variable Management'!B426">
      <xdr:nvSpPr>
        <xdr:cNvPr id="62" name="Text Box 27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298870" y="2323218"/>
          <a:ext cx="449140" cy="2406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ED0F9337-3E5A-436B-8905-45EE6C1A24B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4.7µH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980756</xdr:colOff>
      <xdr:row>7</xdr:row>
      <xdr:rowOff>136396</xdr:rowOff>
    </xdr:from>
    <xdr:to>
      <xdr:col>3</xdr:col>
      <xdr:colOff>278958</xdr:colOff>
      <xdr:row>9</xdr:row>
      <xdr:rowOff>33148</xdr:rowOff>
    </xdr:to>
    <xdr:sp macro="" textlink="">
      <xdr:nvSpPr>
        <xdr:cNvPr id="64" name="Text Box 27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2971481" y="1269871"/>
          <a:ext cx="374527" cy="2206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2.2Ω</a:t>
          </a:r>
        </a:p>
      </xdr:txBody>
    </xdr:sp>
    <xdr:clientData/>
  </xdr:twoCellAnchor>
  <xdr:twoCellAnchor>
    <xdr:from>
      <xdr:col>2</xdr:col>
      <xdr:colOff>997828</xdr:colOff>
      <xdr:row>4</xdr:row>
      <xdr:rowOff>118970</xdr:rowOff>
    </xdr:from>
    <xdr:to>
      <xdr:col>3</xdr:col>
      <xdr:colOff>294718</xdr:colOff>
      <xdr:row>6</xdr:row>
      <xdr:rowOff>1420</xdr:rowOff>
    </xdr:to>
    <xdr:sp macro="" textlink="">
      <xdr:nvSpPr>
        <xdr:cNvPr id="65" name="Text Box 278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2988553" y="766670"/>
          <a:ext cx="373215" cy="20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0.1µF</a:t>
          </a:r>
        </a:p>
      </xdr:txBody>
    </xdr:sp>
    <xdr:clientData/>
  </xdr:twoCellAnchor>
  <xdr:twoCellAnchor>
    <xdr:from>
      <xdr:col>3</xdr:col>
      <xdr:colOff>869838</xdr:colOff>
      <xdr:row>5</xdr:row>
      <xdr:rowOff>157620</xdr:rowOff>
    </xdr:from>
    <xdr:to>
      <xdr:col>3</xdr:col>
      <xdr:colOff>1237172</xdr:colOff>
      <xdr:row>7</xdr:row>
      <xdr:rowOff>51606</xdr:rowOff>
    </xdr:to>
    <xdr:sp macro="" textlink="">
      <xdr:nvSpPr>
        <xdr:cNvPr id="66" name="Text Box 279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3936888" y="967245"/>
          <a:ext cx="367334" cy="217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554935</xdr:colOff>
      <xdr:row>26</xdr:row>
      <xdr:rowOff>53675</xdr:rowOff>
    </xdr:from>
    <xdr:to>
      <xdr:col>1</xdr:col>
      <xdr:colOff>982330</xdr:colOff>
      <xdr:row>27</xdr:row>
      <xdr:rowOff>107675</xdr:rowOff>
    </xdr:to>
    <xdr:sp macro="" textlink="'Variable Management'!B470">
      <xdr:nvSpPr>
        <xdr:cNvPr id="67" name="Text Box 28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192696" y="4360632"/>
          <a:ext cx="427395" cy="2196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183342</xdr:colOff>
      <xdr:row>11</xdr:row>
      <xdr:rowOff>45280</xdr:rowOff>
    </xdr:from>
    <xdr:to>
      <xdr:col>7</xdr:col>
      <xdr:colOff>1038225</xdr:colOff>
      <xdr:row>12</xdr:row>
      <xdr:rowOff>122378</xdr:rowOff>
    </xdr:to>
    <xdr:sp macro="" textlink="'Variable Management'!B475">
      <xdr:nvSpPr>
        <xdr:cNvPr id="68" name="Text Box 283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765242" y="1826455"/>
          <a:ext cx="854883" cy="23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CF96CF7C-BD7E-4CCA-B5EE-051D5ECE3C3A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9V...36V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496011</xdr:colOff>
      <xdr:row>19</xdr:row>
      <xdr:rowOff>38863</xdr:rowOff>
    </xdr:from>
    <xdr:to>
      <xdr:col>1</xdr:col>
      <xdr:colOff>159316</xdr:colOff>
      <xdr:row>20</xdr:row>
      <xdr:rowOff>104749</xdr:rowOff>
    </xdr:to>
    <xdr:sp macro="" textlink="">
      <xdr:nvSpPr>
        <xdr:cNvPr id="69" name="Text Box 251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496011" y="3186254"/>
          <a:ext cx="301066" cy="2315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>
    <xdr:from>
      <xdr:col>0</xdr:col>
      <xdr:colOff>377770</xdr:colOff>
      <xdr:row>20</xdr:row>
      <xdr:rowOff>80751</xdr:rowOff>
    </xdr:from>
    <xdr:to>
      <xdr:col>1</xdr:col>
      <xdr:colOff>252241</xdr:colOff>
      <xdr:row>21</xdr:row>
      <xdr:rowOff>137042</xdr:rowOff>
    </xdr:to>
    <xdr:sp macro="" textlink="'Variable Management'!B469">
      <xdr:nvSpPr>
        <xdr:cNvPr id="70" name="Text Box 28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77770" y="3393794"/>
          <a:ext cx="512232" cy="221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84EB9262-B954-486D-9975-AAB24967BDA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21.5kΩ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796942</xdr:colOff>
      <xdr:row>4</xdr:row>
      <xdr:rowOff>118318</xdr:rowOff>
    </xdr:from>
    <xdr:to>
      <xdr:col>3</xdr:col>
      <xdr:colOff>1286666</xdr:colOff>
      <xdr:row>6</xdr:row>
      <xdr:rowOff>13165</xdr:rowOff>
    </xdr:to>
    <xdr:sp macro="" textlink="">
      <xdr:nvSpPr>
        <xdr:cNvPr id="71" name="Text Box 247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3863992" y="766018"/>
          <a:ext cx="489724" cy="218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>
    <xdr:from>
      <xdr:col>5</xdr:col>
      <xdr:colOff>76508</xdr:colOff>
      <xdr:row>34</xdr:row>
      <xdr:rowOff>63521</xdr:rowOff>
    </xdr:from>
    <xdr:to>
      <xdr:col>5</xdr:col>
      <xdr:colOff>561776</xdr:colOff>
      <xdr:row>35</xdr:row>
      <xdr:rowOff>131086</xdr:rowOff>
    </xdr:to>
    <xdr:sp macro="" textlink="">
      <xdr:nvSpPr>
        <xdr:cNvPr id="72" name="Text Box 25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5639108" y="5568971"/>
          <a:ext cx="485268" cy="229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PGOOD</a:t>
          </a:r>
        </a:p>
      </xdr:txBody>
    </xdr:sp>
    <xdr:clientData/>
  </xdr:twoCellAnchor>
  <xdr:twoCellAnchor>
    <xdr:from>
      <xdr:col>5</xdr:col>
      <xdr:colOff>138771</xdr:colOff>
      <xdr:row>35</xdr:row>
      <xdr:rowOff>74703</xdr:rowOff>
    </xdr:from>
    <xdr:to>
      <xdr:col>5</xdr:col>
      <xdr:colOff>737568</xdr:colOff>
      <xdr:row>36</xdr:row>
      <xdr:rowOff>137829</xdr:rowOff>
    </xdr:to>
    <xdr:sp macro="" textlink="'Variable Management'!B466">
      <xdr:nvSpPr>
        <xdr:cNvPr id="75" name="Text Box 28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701371" y="5742078"/>
          <a:ext cx="598797" cy="225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2B60B3D7-A35E-42EC-ADCF-A28C0EEDE92A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20kΩ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660744</xdr:colOff>
      <xdr:row>2</xdr:row>
      <xdr:rowOff>83758</xdr:rowOff>
    </xdr:from>
    <xdr:to>
      <xdr:col>3</xdr:col>
      <xdr:colOff>142704</xdr:colOff>
      <xdr:row>3</xdr:row>
      <xdr:rowOff>137564</xdr:rowOff>
    </xdr:to>
    <xdr:sp macro="" textlink="'Variable Management'!H213">
      <xdr:nvSpPr>
        <xdr:cNvPr id="77" name="Text Box 26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651469" y="407608"/>
          <a:ext cx="558285" cy="215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123D91BC-1DE9-4CAD-9801-8A70C08E2402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36.5kΩ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742259</xdr:colOff>
      <xdr:row>1</xdr:row>
      <xdr:rowOff>51892</xdr:rowOff>
    </xdr:from>
    <xdr:to>
      <xdr:col>3</xdr:col>
      <xdr:colOff>72733</xdr:colOff>
      <xdr:row>2</xdr:row>
      <xdr:rowOff>84849</xdr:rowOff>
    </xdr:to>
    <xdr:sp macro="" textlink="">
      <xdr:nvSpPr>
        <xdr:cNvPr id="78" name="Text Box 255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2732984" y="213817"/>
          <a:ext cx="406799" cy="1948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UV2</a:t>
          </a:r>
        </a:p>
      </xdr:txBody>
    </xdr:sp>
    <xdr:clientData/>
  </xdr:twoCellAnchor>
  <xdr:twoCellAnchor>
    <xdr:from>
      <xdr:col>3</xdr:col>
      <xdr:colOff>767565</xdr:colOff>
      <xdr:row>2</xdr:row>
      <xdr:rowOff>104846</xdr:rowOff>
    </xdr:from>
    <xdr:to>
      <xdr:col>3</xdr:col>
      <xdr:colOff>1320774</xdr:colOff>
      <xdr:row>3</xdr:row>
      <xdr:rowOff>146368</xdr:rowOff>
    </xdr:to>
    <xdr:sp macro="" textlink="'Variable Management'!H212">
      <xdr:nvSpPr>
        <xdr:cNvPr id="79" name="Text Box 26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3834615" y="428696"/>
          <a:ext cx="553209" cy="2034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BC79D-87FA-43D3-B7A3-AC5513B978CE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249kΩ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907336</xdr:colOff>
      <xdr:row>1</xdr:row>
      <xdr:rowOff>55949</xdr:rowOff>
    </xdr:from>
    <xdr:to>
      <xdr:col>3</xdr:col>
      <xdr:colOff>1310539</xdr:colOff>
      <xdr:row>2</xdr:row>
      <xdr:rowOff>90786</xdr:rowOff>
    </xdr:to>
    <xdr:sp macro="" textlink="">
      <xdr:nvSpPr>
        <xdr:cNvPr id="80" name="Text Box 255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3974386" y="217874"/>
          <a:ext cx="403203" cy="196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UV1</a:t>
          </a:r>
        </a:p>
      </xdr:txBody>
    </xdr:sp>
    <xdr:clientData/>
  </xdr:twoCellAnchor>
  <xdr:twoCellAnchor>
    <xdr:from>
      <xdr:col>7</xdr:col>
      <xdr:colOff>736760</xdr:colOff>
      <xdr:row>15</xdr:row>
      <xdr:rowOff>71843</xdr:rowOff>
    </xdr:from>
    <xdr:to>
      <xdr:col>8</xdr:col>
      <xdr:colOff>170918</xdr:colOff>
      <xdr:row>16</xdr:row>
      <xdr:rowOff>150126</xdr:rowOff>
    </xdr:to>
    <xdr:sp macro="" textlink="'Variable Management'!B427">
      <xdr:nvSpPr>
        <xdr:cNvPr id="81" name="Text Box 275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318660" y="2500718"/>
          <a:ext cx="510483" cy="2402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8F944446-DDAD-4884-A5E8-09BF985C0BD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13.2mΩ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955380</xdr:colOff>
      <xdr:row>37</xdr:row>
      <xdr:rowOff>90714</xdr:rowOff>
    </xdr:from>
    <xdr:to>
      <xdr:col>5</xdr:col>
      <xdr:colOff>134259</xdr:colOff>
      <xdr:row>38</xdr:row>
      <xdr:rowOff>146676</xdr:rowOff>
    </xdr:to>
    <xdr:sp macro="" textlink="">
      <xdr:nvSpPr>
        <xdr:cNvPr id="82" name="Text Box 245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5365455" y="6081939"/>
          <a:ext cx="331404" cy="2178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>
    <xdr:from>
      <xdr:col>1</xdr:col>
      <xdr:colOff>379931</xdr:colOff>
      <xdr:row>30</xdr:row>
      <xdr:rowOff>84193</xdr:rowOff>
    </xdr:from>
    <xdr:to>
      <xdr:col>1</xdr:col>
      <xdr:colOff>939469</xdr:colOff>
      <xdr:row>31</xdr:row>
      <xdr:rowOff>120656</xdr:rowOff>
    </xdr:to>
    <xdr:sp macro="" textlink="'Variable Management'!B441">
      <xdr:nvSpPr>
        <xdr:cNvPr id="85" name="Text Box 268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18106" y="4941943"/>
          <a:ext cx="559538" cy="198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4B33C4C3-0115-4071-92DE-EA7C9B86DB41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4.87kΩ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398601</xdr:colOff>
      <xdr:row>14</xdr:row>
      <xdr:rowOff>62329</xdr:rowOff>
    </xdr:from>
    <xdr:to>
      <xdr:col>6</xdr:col>
      <xdr:colOff>586155</xdr:colOff>
      <xdr:row>15</xdr:row>
      <xdr:rowOff>117096</xdr:rowOff>
    </xdr:to>
    <xdr:sp macro="" textlink="">
      <xdr:nvSpPr>
        <xdr:cNvPr id="87" name="Text Box 23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7328860" y="2361467"/>
          <a:ext cx="187554" cy="218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>
    <xdr:from>
      <xdr:col>6</xdr:col>
      <xdr:colOff>382198</xdr:colOff>
      <xdr:row>21</xdr:row>
      <xdr:rowOff>60849</xdr:rowOff>
    </xdr:from>
    <xdr:to>
      <xdr:col>6</xdr:col>
      <xdr:colOff>569752</xdr:colOff>
      <xdr:row>22</xdr:row>
      <xdr:rowOff>118648</xdr:rowOff>
    </xdr:to>
    <xdr:sp macro="" textlink="">
      <xdr:nvSpPr>
        <xdr:cNvPr id="88" name="Text Box 234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7312457" y="3509556"/>
          <a:ext cx="187554" cy="222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>
    <xdr:from>
      <xdr:col>7</xdr:col>
      <xdr:colOff>236598</xdr:colOff>
      <xdr:row>20</xdr:row>
      <xdr:rowOff>126296</xdr:rowOff>
    </xdr:from>
    <xdr:to>
      <xdr:col>7</xdr:col>
      <xdr:colOff>642752</xdr:colOff>
      <xdr:row>22</xdr:row>
      <xdr:rowOff>11441</xdr:rowOff>
    </xdr:to>
    <xdr:sp macro="" textlink="'Variable Management'!B439">
      <xdr:nvSpPr>
        <xdr:cNvPr id="92" name="Text Box 276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817184" y="3410779"/>
          <a:ext cx="406154" cy="2135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F7819C42-9D73-4A1D-B514-80CDFD54256D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12 x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1246665</xdr:colOff>
      <xdr:row>12</xdr:row>
      <xdr:rowOff>149462</xdr:rowOff>
    </xdr:from>
    <xdr:to>
      <xdr:col>2</xdr:col>
      <xdr:colOff>157529</xdr:colOff>
      <xdr:row>14</xdr:row>
      <xdr:rowOff>35568</xdr:rowOff>
    </xdr:to>
    <xdr:sp macro="" textlink="">
      <xdr:nvSpPr>
        <xdr:cNvPr id="94" name="Text Box 25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1884840" y="2092562"/>
          <a:ext cx="263414" cy="2099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U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>
    <xdr:from>
      <xdr:col>7</xdr:col>
      <xdr:colOff>1063737</xdr:colOff>
      <xdr:row>21</xdr:row>
      <xdr:rowOff>145566</xdr:rowOff>
    </xdr:from>
    <xdr:to>
      <xdr:col>8</xdr:col>
      <xdr:colOff>391049</xdr:colOff>
      <xdr:row>23</xdr:row>
      <xdr:rowOff>33474</xdr:rowOff>
    </xdr:to>
    <xdr:sp macro="" textlink="'Variable Management'!B434">
      <xdr:nvSpPr>
        <xdr:cNvPr id="95" name="Text Box 276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644323" y="3594273"/>
          <a:ext cx="404623" cy="2163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85D3738-5ABE-4B4E-B06A-00C3820FCB43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22µF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1055995</xdr:colOff>
      <xdr:row>20</xdr:row>
      <xdr:rowOff>136150</xdr:rowOff>
    </xdr:from>
    <xdr:to>
      <xdr:col>8</xdr:col>
      <xdr:colOff>383307</xdr:colOff>
      <xdr:row>22</xdr:row>
      <xdr:rowOff>22694</xdr:rowOff>
    </xdr:to>
    <xdr:sp macro="" textlink="'Variable Management'!B435">
      <xdr:nvSpPr>
        <xdr:cNvPr id="96" name="Text Box 276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636581" y="3420633"/>
          <a:ext cx="404623" cy="214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55A5E480-A149-4617-A245-D5E398CDA407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10 x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714753</xdr:colOff>
      <xdr:row>24</xdr:row>
      <xdr:rowOff>130910</xdr:rowOff>
    </xdr:from>
    <xdr:to>
      <xdr:col>5</xdr:col>
      <xdr:colOff>1237179</xdr:colOff>
      <xdr:row>26</xdr:row>
      <xdr:rowOff>38166</xdr:rowOff>
    </xdr:to>
    <xdr:sp macro="" textlink="">
      <xdr:nvSpPr>
        <xdr:cNvPr id="93" name="Text Box 248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6273271" y="4049767"/>
          <a:ext cx="522426" cy="233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>
    <xdr:from>
      <xdr:col>8</xdr:col>
      <xdr:colOff>534347</xdr:colOff>
      <xdr:row>14</xdr:row>
      <xdr:rowOff>72993</xdr:rowOff>
    </xdr:from>
    <xdr:to>
      <xdr:col>8</xdr:col>
      <xdr:colOff>721901</xdr:colOff>
      <xdr:row>15</xdr:row>
      <xdr:rowOff>127760</xdr:rowOff>
    </xdr:to>
    <xdr:sp macro="" textlink="">
      <xdr:nvSpPr>
        <xdr:cNvPr id="97" name="Text Box 23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9192244" y="2372131"/>
          <a:ext cx="187554" cy="218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>
    <xdr:from>
      <xdr:col>8</xdr:col>
      <xdr:colOff>545862</xdr:colOff>
      <xdr:row>21</xdr:row>
      <xdr:rowOff>55234</xdr:rowOff>
    </xdr:from>
    <xdr:to>
      <xdr:col>8</xdr:col>
      <xdr:colOff>733416</xdr:colOff>
      <xdr:row>22</xdr:row>
      <xdr:rowOff>113033</xdr:rowOff>
    </xdr:to>
    <xdr:sp macro="" textlink="">
      <xdr:nvSpPr>
        <xdr:cNvPr id="98" name="Text Box 234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9201188" y="3533930"/>
          <a:ext cx="187554" cy="2234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>
    <xdr:from>
      <xdr:col>5</xdr:col>
      <xdr:colOff>770091</xdr:colOff>
      <xdr:row>29</xdr:row>
      <xdr:rowOff>48773</xdr:rowOff>
    </xdr:from>
    <xdr:to>
      <xdr:col>5</xdr:col>
      <xdr:colOff>1136667</xdr:colOff>
      <xdr:row>30</xdr:row>
      <xdr:rowOff>110312</xdr:rowOff>
    </xdr:to>
    <xdr:sp macro="" textlink="">
      <xdr:nvSpPr>
        <xdr:cNvPr id="99" name="Text Box 27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6332691" y="4744598"/>
          <a:ext cx="366576" cy="2234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739057</xdr:colOff>
      <xdr:row>28</xdr:row>
      <xdr:rowOff>10125</xdr:rowOff>
    </xdr:from>
    <xdr:to>
      <xdr:col>5</xdr:col>
      <xdr:colOff>1228023</xdr:colOff>
      <xdr:row>29</xdr:row>
      <xdr:rowOff>64929</xdr:rowOff>
    </xdr:to>
    <xdr:sp macro="" textlink="">
      <xdr:nvSpPr>
        <xdr:cNvPr id="100" name="Text Box 24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6301657" y="4544025"/>
          <a:ext cx="488966" cy="216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>
    <xdr:from>
      <xdr:col>4</xdr:col>
      <xdr:colOff>956346</xdr:colOff>
      <xdr:row>42</xdr:row>
      <xdr:rowOff>10652</xdr:rowOff>
    </xdr:from>
    <xdr:to>
      <xdr:col>5</xdr:col>
      <xdr:colOff>168728</xdr:colOff>
      <xdr:row>43</xdr:row>
      <xdr:rowOff>69644</xdr:rowOff>
    </xdr:to>
    <xdr:sp macro="" textlink="">
      <xdr:nvSpPr>
        <xdr:cNvPr id="101" name="Text Box 245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5366421" y="6811502"/>
          <a:ext cx="364907" cy="220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CSG</a:t>
          </a:r>
        </a:p>
      </xdr:txBody>
    </xdr:sp>
    <xdr:clientData/>
  </xdr:twoCellAnchor>
  <xdr:twoCellAnchor>
    <xdr:from>
      <xdr:col>4</xdr:col>
      <xdr:colOff>938047</xdr:colOff>
      <xdr:row>43</xdr:row>
      <xdr:rowOff>43495</xdr:rowOff>
    </xdr:from>
    <xdr:to>
      <xdr:col>5</xdr:col>
      <xdr:colOff>158314</xdr:colOff>
      <xdr:row>44</xdr:row>
      <xdr:rowOff>66371</xdr:rowOff>
    </xdr:to>
    <xdr:sp macro="" textlink="">
      <xdr:nvSpPr>
        <xdr:cNvPr id="103" name="Text Box 277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5348122" y="7006270"/>
          <a:ext cx="372792" cy="222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Ω</a:t>
          </a:r>
        </a:p>
      </xdr:txBody>
    </xdr:sp>
    <xdr:clientData/>
  </xdr:twoCellAnchor>
  <xdr:twoCellAnchor>
    <xdr:from>
      <xdr:col>2</xdr:col>
      <xdr:colOff>127802</xdr:colOff>
      <xdr:row>7</xdr:row>
      <xdr:rowOff>69925</xdr:rowOff>
    </xdr:from>
    <xdr:to>
      <xdr:col>2</xdr:col>
      <xdr:colOff>561808</xdr:colOff>
      <xdr:row>8</xdr:row>
      <xdr:rowOff>143499</xdr:rowOff>
    </xdr:to>
    <xdr:sp macro="" textlink="">
      <xdr:nvSpPr>
        <xdr:cNvPr id="104" name="Text Box 24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2118527" y="1203400"/>
          <a:ext cx="434006" cy="235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>
    <xdr:from>
      <xdr:col>4</xdr:col>
      <xdr:colOff>903979</xdr:colOff>
      <xdr:row>39</xdr:row>
      <xdr:rowOff>8956</xdr:rowOff>
    </xdr:from>
    <xdr:to>
      <xdr:col>5</xdr:col>
      <xdr:colOff>123188</xdr:colOff>
      <xdr:row>40</xdr:row>
      <xdr:rowOff>72374</xdr:rowOff>
    </xdr:to>
    <xdr:sp macro="" textlink="">
      <xdr:nvSpPr>
        <xdr:cNvPr id="73" name="Text Box 277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5314054" y="6324031"/>
          <a:ext cx="371734" cy="225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</a:t>
          </a: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Ω</a:t>
          </a:r>
        </a:p>
      </xdr:txBody>
    </xdr:sp>
    <xdr:clientData/>
  </xdr:twoCellAnchor>
  <xdr:twoCellAnchor>
    <xdr:from>
      <xdr:col>3</xdr:col>
      <xdr:colOff>190500</xdr:colOff>
      <xdr:row>22</xdr:row>
      <xdr:rowOff>15240</xdr:rowOff>
    </xdr:from>
    <xdr:to>
      <xdr:col>4</xdr:col>
      <xdr:colOff>38100</xdr:colOff>
      <xdr:row>25</xdr:row>
      <xdr:rowOff>38100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 bwMode="auto">
        <a:xfrm>
          <a:off x="3345180" y="3703320"/>
          <a:ext cx="1226820" cy="52578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horzOverflow="clip" wrap="square" lIns="27432" tIns="27432" rIns="0" bIns="0" rtlCol="0" anchor="ctr" upright="1"/>
        <a:lstStyle/>
        <a:p>
          <a:pPr algn="ctr" rtl="0"/>
          <a:r>
            <a:rPr lang="en-US" sz="2000" b="1" i="0" strike="noStrike">
              <a:solidFill>
                <a:srgbClr val="FF0000"/>
              </a:solidFill>
              <a:latin typeface="Calibri"/>
            </a:rPr>
            <a:t>LM5176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600075</xdr:colOff>
      <xdr:row>2</xdr:row>
      <xdr:rowOff>85676</xdr:rowOff>
    </xdr:to>
    <xdr:pic>
      <xdr:nvPicPr>
        <xdr:cNvPr id="2" name="Picture 1" descr="ti log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"/>
          <a:ext cx="2314575" cy="29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200025</xdr:colOff>
      <xdr:row>0</xdr:row>
      <xdr:rowOff>114300</xdr:rowOff>
    </xdr:from>
    <xdr:ext cx="3752850" cy="3817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914525" y="114300"/>
          <a:ext cx="375285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600">
              <a:latin typeface="Arial Black" panose="020B0A04020102020204" pitchFamily="34" charset="0"/>
            </a:rPr>
            <a:t>About this tool...</a:t>
          </a:r>
        </a:p>
      </xdr:txBody>
    </xdr:sp>
    <xdr:clientData/>
  </xdr:oneCellAnchor>
  <xdr:oneCellAnchor>
    <xdr:from>
      <xdr:col>3</xdr:col>
      <xdr:colOff>323850</xdr:colOff>
      <xdr:row>1</xdr:row>
      <xdr:rowOff>28575</xdr:rowOff>
    </xdr:from>
    <xdr:ext cx="4719497" cy="254557"/>
    <xdr:sp macro="" textlink="">
      <xdr:nvSpPr>
        <xdr:cNvPr id="4" name="Text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419850" y="209550"/>
          <a:ext cx="4719497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© Copyright 2021</a:t>
          </a:r>
          <a:r>
            <a:rPr lang="en-US" sz="1100" b="0" i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Texas Instruments Incorporated. All rights reserved.</a:t>
          </a:r>
          <a:endParaRPr lang="en-US" sz="11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95247</xdr:colOff>
      <xdr:row>6</xdr:row>
      <xdr:rowOff>47623</xdr:rowOff>
    </xdr:from>
    <xdr:ext cx="11229977" cy="418147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95247" y="1114423"/>
          <a:ext cx="11229977" cy="418147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IMPORTANT NOTICE AND DISCLAIMER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PROVIDES TECHNICAL AND RELIABILITY DATA (INCLUDING DATA SHEETS), DESIGN RESOURCES (INCLUDING REFERENCE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DESIGNS), APPLICATION OR OTHER DESIGN ADVICE, WEB TOOLS, SAFETY INFORMATION, AND OTHER RESOURCES “AS IS”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AND WITH ALL FAULTS, AND DISCLAIMS ALL WARRANTIES, EXPRESS AND IMPLIED, INCLUDING WITHOUT LIMITATION ANY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IMPLIED WARRANTIES OF MERCHANTABILITY, FITNESS FOR A PARTICULAR PURPOSE OR NON-INFRINGEMENT OF THIRD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PARTY INTELLECTUAL PROPERTY RIGHTS.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These resources are intended for skilled developers designing with TI products. You are solely responsible for (1) selecting the appropriate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products for your application, (2) designing, validating and testing your application, and (3) ensuring your application meets applicable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standards, and any other safety, security, regulatory or other requirements.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These resources are subject to change without notice. TI grants you permission to use these resources only for development of an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application that uses the TI products described in the resource. Other reproduction and display of these resources is prohibited. No license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is granted to any other TI intellectual property right or to any third party intellectual property right. TI disclaims responsibility for, and you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will fully indemnify TI and its representatives against, any claims, damages, costs, losses, and liabilities arising out of your use of these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resources.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TI’s products are provided subject to TI’s Terms of Sale or other applicable terms available either on ti.com or provided in conjunction with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such TI products. TI’s provision of these resources does not expand or otherwise alter TI’s applicable warranties or warranty disclaimers for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products.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TI objects to and rejects any additional or different terms you may have proposed. IMPORTANT NOTICE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Mailing Address: Texas Instruments, Post Office Box 655303, Dallas, Texas 75265</a:t>
          </a:r>
          <a:br>
            <a:rPr kumimoji="0" lang="en-US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Copyright © 2022, Texas Instruments Incorporated</a:t>
          </a:r>
          <a:endParaRPr kumimoji="0" lang="en-US" sz="7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95247</xdr:colOff>
      <xdr:row>30</xdr:row>
      <xdr:rowOff>28575</xdr:rowOff>
    </xdr:from>
    <xdr:ext cx="11229977" cy="64770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95247" y="5438775"/>
          <a:ext cx="11229977" cy="6477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IMPORTANT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  </a:t>
          </a:r>
          <a:endParaRPr lang="en-US" sz="800">
            <a:effectLst/>
          </a:endParaRPr>
        </a:p>
        <a:p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  Do not delete this worksheet!</a:t>
          </a:r>
          <a:endParaRPr lang="en-US" sz="800">
            <a:effectLst/>
          </a:endParaRPr>
        </a:p>
        <a:p>
          <a:pPr eaLnBrk="1" fontAlgn="auto" latinLnBrk="0" hangingPunct="1"/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 Redistributions must retain the above copyright and the following disclaimer.</a:t>
          </a:r>
          <a:endParaRPr lang="en-US" sz="800">
            <a:effectLst/>
          </a:endParaRPr>
        </a:p>
        <a:p>
          <a:endParaRPr lang="en-US" sz="800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564696</xdr:colOff>
      <xdr:row>107</xdr:row>
      <xdr:rowOff>123652</xdr:rowOff>
    </xdr:from>
    <xdr:to>
      <xdr:col>9</xdr:col>
      <xdr:colOff>564696</xdr:colOff>
      <xdr:row>136</xdr:row>
      <xdr:rowOff>141527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96" y="18125902"/>
          <a:ext cx="5510893" cy="475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564696</xdr:colOff>
      <xdr:row>137</xdr:row>
      <xdr:rowOff>138794</xdr:rowOff>
    </xdr:from>
    <xdr:to>
      <xdr:col>9</xdr:col>
      <xdr:colOff>564696</xdr:colOff>
      <xdr:row>166</xdr:row>
      <xdr:rowOff>136279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96" y="23039615"/>
          <a:ext cx="5510893" cy="4732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564696</xdr:colOff>
      <xdr:row>34</xdr:row>
      <xdr:rowOff>51297</xdr:rowOff>
    </xdr:from>
    <xdr:to>
      <xdr:col>9</xdr:col>
      <xdr:colOff>540203</xdr:colOff>
      <xdr:row>56</xdr:row>
      <xdr:rowOff>136448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696" y="6133690"/>
          <a:ext cx="5486400" cy="3677437"/>
        </a:xfrm>
        <a:prstGeom prst="rect">
          <a:avLst/>
        </a:prstGeom>
      </xdr:spPr>
    </xdr:pic>
    <xdr:clientData/>
  </xdr:twoCellAnchor>
  <xdr:twoCellAnchor editAs="oneCell">
    <xdr:from>
      <xdr:col>0</xdr:col>
      <xdr:colOff>564696</xdr:colOff>
      <xdr:row>82</xdr:row>
      <xdr:rowOff>128683</xdr:rowOff>
    </xdr:from>
    <xdr:to>
      <xdr:col>9</xdr:col>
      <xdr:colOff>540203</xdr:colOff>
      <xdr:row>106</xdr:row>
      <xdr:rowOff>126387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696" y="14048790"/>
          <a:ext cx="5486400" cy="3916561"/>
        </a:xfrm>
        <a:prstGeom prst="rect">
          <a:avLst/>
        </a:prstGeom>
      </xdr:spPr>
    </xdr:pic>
    <xdr:clientData/>
  </xdr:twoCellAnchor>
  <xdr:twoCellAnchor editAs="oneCell">
    <xdr:from>
      <xdr:col>12</xdr:col>
      <xdr:colOff>63500</xdr:colOff>
      <xdr:row>9</xdr:row>
      <xdr:rowOff>12307</xdr:rowOff>
    </xdr:from>
    <xdr:to>
      <xdr:col>20</xdr:col>
      <xdr:colOff>88900</xdr:colOff>
      <xdr:row>34</xdr:row>
      <xdr:rowOff>139706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84" t="7673" r="5497" b="7948"/>
        <a:stretch/>
      </xdr:blipFill>
      <xdr:spPr>
        <a:xfrm>
          <a:off x="7302500" y="1980807"/>
          <a:ext cx="5486400" cy="4096149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35</xdr:row>
      <xdr:rowOff>153607</xdr:rowOff>
    </xdr:from>
    <xdr:to>
      <xdr:col>20</xdr:col>
      <xdr:colOff>63873</xdr:colOff>
      <xdr:row>68</xdr:row>
      <xdr:rowOff>64167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04" t="3892" r="994" b="4124"/>
        <a:stretch/>
      </xdr:blipFill>
      <xdr:spPr>
        <a:xfrm>
          <a:off x="7296150" y="6249607"/>
          <a:ext cx="5467723" cy="5149310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69</xdr:row>
      <xdr:rowOff>78068</xdr:rowOff>
    </xdr:from>
    <xdr:to>
      <xdr:col>20</xdr:col>
      <xdr:colOff>63873</xdr:colOff>
      <xdr:row>100</xdr:row>
      <xdr:rowOff>62923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8" t="6200" r="277" b="3403"/>
        <a:stretch/>
      </xdr:blipFill>
      <xdr:spPr>
        <a:xfrm>
          <a:off x="7296150" y="11571568"/>
          <a:ext cx="5467723" cy="4906105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9</xdr:row>
      <xdr:rowOff>10102</xdr:rowOff>
    </xdr:from>
    <xdr:to>
      <xdr:col>33</xdr:col>
      <xdr:colOff>259771</xdr:colOff>
      <xdr:row>38</xdr:row>
      <xdr:rowOff>14251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51" t="3176" r="2120" b="4976"/>
        <a:stretch/>
      </xdr:blipFill>
      <xdr:spPr>
        <a:xfrm>
          <a:off x="13975771" y="1978602"/>
          <a:ext cx="6826250" cy="4607899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38</xdr:row>
      <xdr:rowOff>153610</xdr:rowOff>
    </xdr:from>
    <xdr:to>
      <xdr:col>33</xdr:col>
      <xdr:colOff>252695</xdr:colOff>
      <xdr:row>68</xdr:row>
      <xdr:rowOff>49701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7" t="10113" r="4940" b="8223"/>
        <a:stretch/>
      </xdr:blipFill>
      <xdr:spPr>
        <a:xfrm>
          <a:off x="13975771" y="6725860"/>
          <a:ext cx="6819174" cy="4658591"/>
        </a:xfrm>
        <a:prstGeom prst="rect">
          <a:avLst/>
        </a:prstGeom>
      </xdr:spPr>
    </xdr:pic>
    <xdr:clientData/>
  </xdr:twoCellAnchor>
  <xdr:twoCellAnchor editAs="oneCell">
    <xdr:from>
      <xdr:col>22</xdr:col>
      <xdr:colOff>69271</xdr:colOff>
      <xdr:row>69</xdr:row>
      <xdr:rowOff>27423</xdr:rowOff>
    </xdr:from>
    <xdr:to>
      <xdr:col>33</xdr:col>
      <xdr:colOff>259771</xdr:colOff>
      <xdr:row>98</xdr:row>
      <xdr:rowOff>109158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2" t="8673" r="3293" b="4723"/>
        <a:stretch/>
      </xdr:blipFill>
      <xdr:spPr>
        <a:xfrm>
          <a:off x="13975771" y="11520923"/>
          <a:ext cx="6826250" cy="4685485"/>
        </a:xfrm>
        <a:prstGeom prst="rect">
          <a:avLst/>
        </a:prstGeom>
      </xdr:spPr>
    </xdr:pic>
    <xdr:clientData/>
  </xdr:twoCellAnchor>
  <xdr:twoCellAnchor editAs="oneCell">
    <xdr:from>
      <xdr:col>0</xdr:col>
      <xdr:colOff>559596</xdr:colOff>
      <xdr:row>9</xdr:row>
      <xdr:rowOff>83343</xdr:rowOff>
    </xdr:from>
    <xdr:to>
      <xdr:col>9</xdr:col>
      <xdr:colOff>500062</xdr:colOff>
      <xdr:row>33</xdr:row>
      <xdr:rowOff>35718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8" t="7197" r="4310" b="7455"/>
        <a:stretch/>
      </xdr:blipFill>
      <xdr:spPr>
        <a:xfrm>
          <a:off x="559596" y="2107406"/>
          <a:ext cx="5405435" cy="3952875"/>
        </a:xfrm>
        <a:prstGeom prst="rect">
          <a:avLst/>
        </a:prstGeom>
      </xdr:spPr>
    </xdr:pic>
    <xdr:clientData/>
  </xdr:twoCellAnchor>
  <xdr:twoCellAnchor editAs="oneCell">
    <xdr:from>
      <xdr:col>0</xdr:col>
      <xdr:colOff>567877</xdr:colOff>
      <xdr:row>58</xdr:row>
      <xdr:rowOff>59530</xdr:rowOff>
    </xdr:from>
    <xdr:to>
      <xdr:col>9</xdr:col>
      <xdr:colOff>521805</xdr:colOff>
      <xdr:row>81</xdr:row>
      <xdr:rowOff>113822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16" t="10975" r="8251" b="10033"/>
        <a:stretch/>
      </xdr:blipFill>
      <xdr:spPr>
        <a:xfrm>
          <a:off x="567877" y="10189160"/>
          <a:ext cx="5470145" cy="386429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809625</xdr:colOff>
      <xdr:row>24</xdr:row>
      <xdr:rowOff>66675</xdr:rowOff>
    </xdr:from>
    <xdr:to>
      <xdr:col>19</xdr:col>
      <xdr:colOff>190500</xdr:colOff>
      <xdr:row>55</xdr:row>
      <xdr:rowOff>0</xdr:rowOff>
    </xdr:to>
    <xdr:grpSp>
      <xdr:nvGrpSpPr>
        <xdr:cNvPr id="2" name="Group 1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/>
        </xdr:cNvGrpSpPr>
      </xdr:nvGrpSpPr>
      <xdr:grpSpPr bwMode="auto">
        <a:xfrm>
          <a:off x="10896600" y="4181475"/>
          <a:ext cx="6229350" cy="5010150"/>
          <a:chOff x="3209925" y="19650076"/>
          <a:chExt cx="5619750" cy="5910101"/>
        </a:xfrm>
      </xdr:grpSpPr>
      <xdr:pic>
        <xdr:nvPicPr>
          <xdr:cNvPr id="3" name="Picture 11" descr="Error amp - no ref des.tif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209925" y="19659867"/>
            <a:ext cx="5619750" cy="590031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$A$442">
        <xdr:nvSpPr>
          <xdr:cNvPr id="4" name="Text Box 5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5400675" y="23797353"/>
            <a:ext cx="961159" cy="2876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fld id="{646744A9-B6E0-4B97-A665-5D50832E7F13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l" rtl="0">
                <a:defRPr sz="1000"/>
              </a:pPr>
              <a:t>CC1 = 27nF</a:t>
            </a:fld>
            <a:endParaRPr lang="en-US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#REF!">
        <xdr:nvSpPr>
          <xdr:cNvPr id="5" name="Text Box 6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3322493" y="23862299"/>
            <a:ext cx="805295" cy="55668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872494E3-3BCB-4B8A-8556-319E6FBD4F6C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 </a:t>
            </a:fld>
            <a:endParaRPr lang="en-US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51">
        <xdr:nvSpPr>
          <xdr:cNvPr id="6" name="Text Box 9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539470" y="20865497"/>
            <a:ext cx="909205" cy="52884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52D31661-C732-4DB5-B625-AC6B80EEA28C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RFB1 = 280kΩ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52">
        <xdr:nvSpPr>
          <xdr:cNvPr id="7" name="Text Box 10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565449" y="22257201"/>
            <a:ext cx="917864" cy="3247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49F0D989-1BAE-4B3F-9979-B5F5B92776AD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RFB2 = 20kΩ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41">
        <xdr:nvSpPr>
          <xdr:cNvPr id="8" name="Text Box 4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5314083" y="22860271"/>
            <a:ext cx="874568" cy="417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fld id="{899FBA2F-0000-4A1A-AACB-0C4C45759FAE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l" rtl="0">
                <a:defRPr sz="1000"/>
              </a:pPr>
              <a:t>RC1 = 4.87kΩ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431">
        <xdr:nvSpPr>
          <xdr:cNvPr id="9" name="Text Box 9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 txBox="1">
            <a:spLocks noChangeArrowheads="1" noTextEdit="1"/>
          </xdr:cNvSpPr>
        </xdr:nvSpPr>
        <xdr:spPr bwMode="auto">
          <a:xfrm>
            <a:off x="7452880" y="19650076"/>
            <a:ext cx="1082386" cy="31545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r" rtl="0">
              <a:defRPr sz="1000"/>
            </a:pPr>
            <a:fld id="{97BF0309-416E-405E-B585-4983CCA02D3E}" type="TxLink">
              <a:rPr lang="en-US" sz="1000" b="1" i="0" u="none" strike="noStrike" baseline="0">
                <a:solidFill>
                  <a:srgbClr val="000000"/>
                </a:solidFill>
                <a:latin typeface="Arialri"/>
                <a:cs typeface="Arial"/>
              </a:rPr>
              <a:pPr algn="r" rtl="0">
                <a:defRPr sz="1000"/>
              </a:pPr>
              <a:t>VOUT = 12V</a:t>
            </a:fld>
            <a:endParaRPr lang="el-G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13</xdr:col>
      <xdr:colOff>66675</xdr:colOff>
      <xdr:row>16</xdr:row>
      <xdr:rowOff>152401</xdr:rowOff>
    </xdr:from>
    <xdr:to>
      <xdr:col>14</xdr:col>
      <xdr:colOff>504825</xdr:colOff>
      <xdr:row>18</xdr:row>
      <xdr:rowOff>95251</xdr:rowOff>
    </xdr:to>
    <xdr:sp macro="" textlink="$A$445">
      <xdr:nvSpPr>
        <xdr:cNvPr id="10" name="Text Box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173075" y="2647951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DCFBE156-977E-4C45-9B24-0A2E6E91FFAB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gm = 1.27mS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95250</xdr:colOff>
      <xdr:row>21</xdr:row>
      <xdr:rowOff>0</xdr:rowOff>
    </xdr:from>
    <xdr:to>
      <xdr:col>14</xdr:col>
      <xdr:colOff>533400</xdr:colOff>
      <xdr:row>23</xdr:row>
      <xdr:rowOff>104775</xdr:rowOff>
    </xdr:to>
    <xdr:sp macro="" textlink="$A$446">
      <xdr:nvSpPr>
        <xdr:cNvPr id="11" name="Text Box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201650" y="3267075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4772262A-5BC4-4AF8-A8E2-DF3959B443C1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RoEA = 20MΩ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95250</xdr:colOff>
      <xdr:row>19</xdr:row>
      <xdr:rowOff>0</xdr:rowOff>
    </xdr:from>
    <xdr:to>
      <xdr:col>14</xdr:col>
      <xdr:colOff>533400</xdr:colOff>
      <xdr:row>20</xdr:row>
      <xdr:rowOff>104775</xdr:rowOff>
    </xdr:to>
    <xdr:sp macro="" textlink="$A$447">
      <xdr:nvSpPr>
        <xdr:cNvPr id="12" name="Text Box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201650" y="2981325"/>
          <a:ext cx="962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6540ECFD-AAA0-44C8-8BEA-3C65071BF767}" type="TxLink">
            <a:rPr lang="en-US" sz="1000" b="1" i="0" u="none" strike="noStrike" baseline="0">
              <a:solidFill>
                <a:srgbClr val="000000"/>
              </a:solidFill>
              <a:latin typeface="Arialri"/>
              <a:cs typeface="Arial"/>
            </a:rPr>
            <a:pPr algn="r" rtl="0">
              <a:defRPr sz="1000"/>
            </a:pPr>
            <a:t>GBW = 8MHz</a:t>
          </a:fld>
          <a:endParaRPr lang="el-G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352425</xdr:colOff>
      <xdr:row>35</xdr:row>
      <xdr:rowOff>123825</xdr:rowOff>
    </xdr:from>
    <xdr:to>
      <xdr:col>5</xdr:col>
      <xdr:colOff>361657</xdr:colOff>
      <xdr:row>39</xdr:row>
      <xdr:rowOff>18982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43325" y="5857875"/>
          <a:ext cx="2342857" cy="542857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35</xdr:row>
      <xdr:rowOff>28575</xdr:rowOff>
    </xdr:from>
    <xdr:to>
      <xdr:col>7</xdr:col>
      <xdr:colOff>704662</xdr:colOff>
      <xdr:row>39</xdr:row>
      <xdr:rowOff>18970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62700" y="5762625"/>
          <a:ext cx="1504762" cy="63809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39</xdr:row>
      <xdr:rowOff>114300</xdr:rowOff>
    </xdr:from>
    <xdr:to>
      <xdr:col>4</xdr:col>
      <xdr:colOff>409374</xdr:colOff>
      <xdr:row>43</xdr:row>
      <xdr:rowOff>9457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52850" y="6496050"/>
          <a:ext cx="1609524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752475</xdr:colOff>
      <xdr:row>39</xdr:row>
      <xdr:rowOff>85725</xdr:rowOff>
    </xdr:from>
    <xdr:to>
      <xdr:col>7</xdr:col>
      <xdr:colOff>1056961</xdr:colOff>
      <xdr:row>42</xdr:row>
      <xdr:rowOff>142807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05475" y="6467475"/>
          <a:ext cx="2514286" cy="54285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8839200</xdr:colOff>
      <xdr:row>5</xdr:row>
      <xdr:rowOff>9525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647700"/>
          <a:ext cx="8839200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8839200</xdr:colOff>
      <xdr:row>8</xdr:row>
      <xdr:rowOff>9525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6229350"/>
          <a:ext cx="8839200" cy="500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1741435</xdr:colOff>
      <xdr:row>4</xdr:row>
      <xdr:rowOff>4449692</xdr:rowOff>
    </xdr:from>
    <xdr:to>
      <xdr:col>1</xdr:col>
      <xdr:colOff>2083824</xdr:colOff>
      <xdr:row>4</xdr:row>
      <xdr:rowOff>4711252</xdr:rowOff>
    </xdr:to>
    <xdr:sp macro="" textlink="">
      <xdr:nvSpPr>
        <xdr:cNvPr id="6" name="Text Box 22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446285" y="5097392"/>
          <a:ext cx="342389" cy="261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 editAs="absolute">
    <xdr:from>
      <xdr:col>1</xdr:col>
      <xdr:colOff>6856439</xdr:colOff>
      <xdr:row>4</xdr:row>
      <xdr:rowOff>2095432</xdr:rowOff>
    </xdr:from>
    <xdr:to>
      <xdr:col>1</xdr:col>
      <xdr:colOff>7240372</xdr:colOff>
      <xdr:row>4</xdr:row>
      <xdr:rowOff>2323782</xdr:rowOff>
    </xdr:to>
    <xdr:sp macro="" textlink="">
      <xdr:nvSpPr>
        <xdr:cNvPr id="7" name="Text Box 22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7561289" y="2743132"/>
          <a:ext cx="383933" cy="22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 editAs="absolute">
    <xdr:from>
      <xdr:col>1</xdr:col>
      <xdr:colOff>7914727</xdr:colOff>
      <xdr:row>4</xdr:row>
      <xdr:rowOff>985582</xdr:rowOff>
    </xdr:from>
    <xdr:to>
      <xdr:col>1</xdr:col>
      <xdr:colOff>8390563</xdr:colOff>
      <xdr:row>4</xdr:row>
      <xdr:rowOff>1229566</xdr:rowOff>
    </xdr:to>
    <xdr:sp macro="" textlink="">
      <xdr:nvSpPr>
        <xdr:cNvPr id="8" name="Text Box 23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8619577" y="1633282"/>
          <a:ext cx="475836" cy="243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 editAs="absolute">
    <xdr:from>
      <xdr:col>1</xdr:col>
      <xdr:colOff>3248284</xdr:colOff>
      <xdr:row>4</xdr:row>
      <xdr:rowOff>4341824</xdr:rowOff>
    </xdr:from>
    <xdr:to>
      <xdr:col>1</xdr:col>
      <xdr:colOff>3522445</xdr:colOff>
      <xdr:row>4</xdr:row>
      <xdr:rowOff>4590206</xdr:rowOff>
    </xdr:to>
    <xdr:sp macro="" textlink="">
      <xdr:nvSpPr>
        <xdr:cNvPr id="9" name="Text Box 23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3953134" y="4989524"/>
          <a:ext cx="274161" cy="248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 editAs="absolute">
    <xdr:from>
      <xdr:col>1</xdr:col>
      <xdr:colOff>6888908</xdr:colOff>
      <xdr:row>4</xdr:row>
      <xdr:rowOff>2971350</xdr:rowOff>
    </xdr:from>
    <xdr:to>
      <xdr:col>1</xdr:col>
      <xdr:colOff>7132769</xdr:colOff>
      <xdr:row>4</xdr:row>
      <xdr:rowOff>3192646</xdr:rowOff>
    </xdr:to>
    <xdr:sp macro="" textlink="">
      <xdr:nvSpPr>
        <xdr:cNvPr id="10" name="Text Box 23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7593758" y="3619050"/>
          <a:ext cx="243861" cy="221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 editAs="absolute">
    <xdr:from>
      <xdr:col>1</xdr:col>
      <xdr:colOff>6587606</xdr:colOff>
      <xdr:row>4</xdr:row>
      <xdr:rowOff>1269925</xdr:rowOff>
    </xdr:from>
    <xdr:to>
      <xdr:col>1</xdr:col>
      <xdr:colOff>6927606</xdr:colOff>
      <xdr:row>4</xdr:row>
      <xdr:rowOff>1547630</xdr:rowOff>
    </xdr:to>
    <xdr:sp macro="" textlink="">
      <xdr:nvSpPr>
        <xdr:cNvPr id="11" name="Text Box 235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7292456" y="1917625"/>
          <a:ext cx="340000" cy="277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 editAs="absolute">
    <xdr:from>
      <xdr:col>1</xdr:col>
      <xdr:colOff>3618738</xdr:colOff>
      <xdr:row>4</xdr:row>
      <xdr:rowOff>4540413</xdr:rowOff>
    </xdr:from>
    <xdr:to>
      <xdr:col>1</xdr:col>
      <xdr:colOff>4025437</xdr:colOff>
      <xdr:row>4</xdr:row>
      <xdr:rowOff>4788337</xdr:rowOff>
    </xdr:to>
    <xdr:sp macro="" textlink="">
      <xdr:nvSpPr>
        <xdr:cNvPr id="12" name="Text Box 243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4323588" y="5188113"/>
          <a:ext cx="406699" cy="247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 editAs="absolute">
    <xdr:from>
      <xdr:col>1</xdr:col>
      <xdr:colOff>6345478</xdr:colOff>
      <xdr:row>4</xdr:row>
      <xdr:rowOff>2121792</xdr:rowOff>
    </xdr:from>
    <xdr:to>
      <xdr:col>1</xdr:col>
      <xdr:colOff>6670916</xdr:colOff>
      <xdr:row>4</xdr:row>
      <xdr:rowOff>2348038</xdr:rowOff>
    </xdr:to>
    <xdr:sp macro="" textlink="">
      <xdr:nvSpPr>
        <xdr:cNvPr id="13" name="Text Box 244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7050328" y="2769492"/>
          <a:ext cx="325438" cy="226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 editAs="absolute">
    <xdr:from>
      <xdr:col>1</xdr:col>
      <xdr:colOff>3985001</xdr:colOff>
      <xdr:row>4</xdr:row>
      <xdr:rowOff>69606</xdr:rowOff>
    </xdr:from>
    <xdr:to>
      <xdr:col>1</xdr:col>
      <xdr:colOff>4393844</xdr:colOff>
      <xdr:row>4</xdr:row>
      <xdr:rowOff>311250</xdr:rowOff>
    </xdr:to>
    <xdr:sp macro="" textlink="">
      <xdr:nvSpPr>
        <xdr:cNvPr id="14" name="Text Box 24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4689851" y="717306"/>
          <a:ext cx="408843" cy="241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5069341</xdr:colOff>
      <xdr:row>4</xdr:row>
      <xdr:rowOff>2108325</xdr:rowOff>
    </xdr:from>
    <xdr:to>
      <xdr:col>1</xdr:col>
      <xdr:colOff>5444036</xdr:colOff>
      <xdr:row>4</xdr:row>
      <xdr:rowOff>2358596</xdr:rowOff>
    </xdr:to>
    <xdr:sp macro="" textlink="">
      <xdr:nvSpPr>
        <xdr:cNvPr id="15" name="Text Box 24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5774191" y="2756025"/>
          <a:ext cx="374695" cy="250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 editAs="absolute">
    <xdr:from>
      <xdr:col>1</xdr:col>
      <xdr:colOff>4599220</xdr:colOff>
      <xdr:row>4</xdr:row>
      <xdr:rowOff>4171631</xdr:rowOff>
    </xdr:from>
    <xdr:to>
      <xdr:col>1</xdr:col>
      <xdr:colOff>4910059</xdr:colOff>
      <xdr:row>4</xdr:row>
      <xdr:rowOff>4403721</xdr:rowOff>
    </xdr:to>
    <xdr:sp macro="" textlink="">
      <xdr:nvSpPr>
        <xdr:cNvPr id="16" name="Text Box 250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5304070" y="4819331"/>
          <a:ext cx="310839" cy="232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CS1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1023436</xdr:colOff>
      <xdr:row>4</xdr:row>
      <xdr:rowOff>2749110</xdr:rowOff>
    </xdr:from>
    <xdr:to>
      <xdr:col>1</xdr:col>
      <xdr:colOff>1350592</xdr:colOff>
      <xdr:row>4</xdr:row>
      <xdr:rowOff>3004734</xdr:rowOff>
    </xdr:to>
    <xdr:sp macro="" textlink="">
      <xdr:nvSpPr>
        <xdr:cNvPr id="17" name="Text Box 251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728286" y="3396810"/>
          <a:ext cx="327156" cy="255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 editAs="absolute">
    <xdr:from>
      <xdr:col>1</xdr:col>
      <xdr:colOff>781911</xdr:colOff>
      <xdr:row>4</xdr:row>
      <xdr:rowOff>4088695</xdr:rowOff>
    </xdr:from>
    <xdr:to>
      <xdr:col>1</xdr:col>
      <xdr:colOff>1177488</xdr:colOff>
      <xdr:row>4</xdr:row>
      <xdr:rowOff>4289572</xdr:rowOff>
    </xdr:to>
    <xdr:sp macro="" textlink="">
      <xdr:nvSpPr>
        <xdr:cNvPr id="19" name="Text Box 255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486761" y="4736395"/>
          <a:ext cx="395577" cy="200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 editAs="absolute">
    <xdr:from>
      <xdr:col>1</xdr:col>
      <xdr:colOff>141951</xdr:colOff>
      <xdr:row>4</xdr:row>
      <xdr:rowOff>3374489</xdr:rowOff>
    </xdr:from>
    <xdr:to>
      <xdr:col>1</xdr:col>
      <xdr:colOff>384920</xdr:colOff>
      <xdr:row>4</xdr:row>
      <xdr:rowOff>3588894</xdr:rowOff>
    </xdr:to>
    <xdr:sp macro="" textlink="">
      <xdr:nvSpPr>
        <xdr:cNvPr id="20" name="Text Box 256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846801" y="4022189"/>
          <a:ext cx="242969" cy="214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 editAs="absolute">
    <xdr:from>
      <xdr:col>1</xdr:col>
      <xdr:colOff>896117</xdr:colOff>
      <xdr:row>4</xdr:row>
      <xdr:rowOff>3616323</xdr:rowOff>
    </xdr:from>
    <xdr:to>
      <xdr:col>1</xdr:col>
      <xdr:colOff>1211687</xdr:colOff>
      <xdr:row>4</xdr:row>
      <xdr:rowOff>3860361</xdr:rowOff>
    </xdr:to>
    <xdr:sp macro="" textlink="">
      <xdr:nvSpPr>
        <xdr:cNvPr id="21" name="Text Box 257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600967" y="4264023"/>
          <a:ext cx="315570" cy="2440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 editAs="absolute">
    <xdr:from>
      <xdr:col>1</xdr:col>
      <xdr:colOff>853558</xdr:colOff>
      <xdr:row>4</xdr:row>
      <xdr:rowOff>3233968</xdr:rowOff>
    </xdr:from>
    <xdr:to>
      <xdr:col>1</xdr:col>
      <xdr:colOff>1162413</xdr:colOff>
      <xdr:row>4</xdr:row>
      <xdr:rowOff>3477474</xdr:rowOff>
    </xdr:to>
    <xdr:sp macro="" textlink="">
      <xdr:nvSpPr>
        <xdr:cNvPr id="22" name="Text Box 258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558408" y="3881668"/>
          <a:ext cx="308855" cy="2435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</a:p>
      </xdr:txBody>
    </xdr:sp>
    <xdr:clientData/>
  </xdr:twoCellAnchor>
  <xdr:twoCellAnchor editAs="absolute">
    <xdr:from>
      <xdr:col>1</xdr:col>
      <xdr:colOff>9479</xdr:colOff>
      <xdr:row>4</xdr:row>
      <xdr:rowOff>2563366</xdr:rowOff>
    </xdr:from>
    <xdr:to>
      <xdr:col>1</xdr:col>
      <xdr:colOff>693342</xdr:colOff>
      <xdr:row>4</xdr:row>
      <xdr:rowOff>2808011</xdr:rowOff>
    </xdr:to>
    <xdr:sp macro="" textlink="'Variable Management'!B471">
      <xdr:nvSpPr>
        <xdr:cNvPr id="23" name="Text Box 26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14329" y="3211066"/>
          <a:ext cx="683863" cy="244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50E25BC-E8CF-448B-A92C-74321B73BB8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120pF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4</xdr:row>
      <xdr:rowOff>3643067</xdr:rowOff>
    </xdr:from>
    <xdr:to>
      <xdr:col>1</xdr:col>
      <xdr:colOff>372581</xdr:colOff>
      <xdr:row>4</xdr:row>
      <xdr:rowOff>3918625</xdr:rowOff>
    </xdr:to>
    <xdr:sp macro="" textlink="'Variable Management'!B443">
      <xdr:nvSpPr>
        <xdr:cNvPr id="24" name="Text Box 262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225" y="4290767"/>
          <a:ext cx="420206" cy="275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820pF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815405</xdr:colOff>
      <xdr:row>4</xdr:row>
      <xdr:rowOff>3430362</xdr:rowOff>
    </xdr:from>
    <xdr:to>
      <xdr:col>1</xdr:col>
      <xdr:colOff>1274852</xdr:colOff>
      <xdr:row>4</xdr:row>
      <xdr:rowOff>3673901</xdr:rowOff>
    </xdr:to>
    <xdr:sp macro="" textlink="'Variable Management'!B441">
      <xdr:nvSpPr>
        <xdr:cNvPr id="25" name="Text Box 263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520255" y="4078062"/>
          <a:ext cx="459447" cy="243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EDB14F34-7391-4353-9626-FAE030CE211F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4.87kΩ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720709</xdr:colOff>
      <xdr:row>4</xdr:row>
      <xdr:rowOff>4291195</xdr:rowOff>
    </xdr:from>
    <xdr:to>
      <xdr:col>1</xdr:col>
      <xdr:colOff>1235548</xdr:colOff>
      <xdr:row>4</xdr:row>
      <xdr:rowOff>4465831</xdr:rowOff>
    </xdr:to>
    <xdr:sp macro="" textlink="'Variable Management'!B452">
      <xdr:nvSpPr>
        <xdr:cNvPr id="26" name="Text Box 264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25559" y="4938895"/>
          <a:ext cx="514839" cy="1746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35144</xdr:colOff>
      <xdr:row>4</xdr:row>
      <xdr:rowOff>2143786</xdr:rowOff>
    </xdr:from>
    <xdr:to>
      <xdr:col>1</xdr:col>
      <xdr:colOff>715810</xdr:colOff>
      <xdr:row>4</xdr:row>
      <xdr:rowOff>2403758</xdr:rowOff>
    </xdr:to>
    <xdr:sp macro="" textlink="'Variable Management'!B469">
      <xdr:nvSpPr>
        <xdr:cNvPr id="27" name="Text Box 265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39994" y="2791486"/>
          <a:ext cx="680666" cy="2599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47B59-D142-4194-9028-13C083D6194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21.5kΩ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648746</xdr:colOff>
      <xdr:row>4</xdr:row>
      <xdr:rowOff>1677960</xdr:rowOff>
    </xdr:from>
    <xdr:to>
      <xdr:col>1</xdr:col>
      <xdr:colOff>1135349</xdr:colOff>
      <xdr:row>4</xdr:row>
      <xdr:rowOff>1863090</xdr:rowOff>
    </xdr:to>
    <xdr:sp macro="" textlink="'Variable Management'!B450">
      <xdr:nvSpPr>
        <xdr:cNvPr id="28" name="Text Box 26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53596" y="2325660"/>
          <a:ext cx="486603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F0D4FEFA-1BCB-42BA-B0A4-AAEA1128161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47nF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6802438</xdr:colOff>
      <xdr:row>4</xdr:row>
      <xdr:rowOff>2314832</xdr:rowOff>
    </xdr:from>
    <xdr:to>
      <xdr:col>1</xdr:col>
      <xdr:colOff>7303337</xdr:colOff>
      <xdr:row>4</xdr:row>
      <xdr:rowOff>2523970</xdr:rowOff>
    </xdr:to>
    <xdr:sp macro="" textlink="'Variable Management'!B433">
      <xdr:nvSpPr>
        <xdr:cNvPr id="29" name="Text Box 267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07288" y="2962532"/>
          <a:ext cx="500899" cy="2091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DEF62FD0-959B-4627-B7E8-61CA1688D17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220µF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1750147</xdr:colOff>
      <xdr:row>4</xdr:row>
      <xdr:rowOff>4625275</xdr:rowOff>
    </xdr:from>
    <xdr:to>
      <xdr:col>1</xdr:col>
      <xdr:colOff>2273580</xdr:colOff>
      <xdr:row>4</xdr:row>
      <xdr:rowOff>4918364</xdr:rowOff>
    </xdr:to>
    <xdr:sp macro="" textlink="'Variable Management'!B451">
      <xdr:nvSpPr>
        <xdr:cNvPr id="30" name="Text Box 268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454997" y="5272975"/>
          <a:ext cx="523433" cy="293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280kΩ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7863577</xdr:colOff>
      <xdr:row>4</xdr:row>
      <xdr:rowOff>1170730</xdr:rowOff>
    </xdr:from>
    <xdr:to>
      <xdr:col>1</xdr:col>
      <xdr:colOff>8405722</xdr:colOff>
      <xdr:row>4</xdr:row>
      <xdr:rowOff>1375908</xdr:rowOff>
    </xdr:to>
    <xdr:sp macro="" textlink="'Variable Management'!B464">
      <xdr:nvSpPr>
        <xdr:cNvPr id="31" name="Text Box 274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8427" y="1818430"/>
          <a:ext cx="542145" cy="2051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14CFEDF3-9A5F-4A24-9D5F-304E5DC1B6C6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4.2mΩ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6539066</xdr:colOff>
      <xdr:row>4</xdr:row>
      <xdr:rowOff>1499397</xdr:rowOff>
    </xdr:from>
    <xdr:to>
      <xdr:col>1</xdr:col>
      <xdr:colOff>6987309</xdr:colOff>
      <xdr:row>4</xdr:row>
      <xdr:rowOff>1708490</xdr:rowOff>
    </xdr:to>
    <xdr:sp macro="" textlink="'Variable Management'!B426">
      <xdr:nvSpPr>
        <xdr:cNvPr id="32" name="Text Box 275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243916" y="2147097"/>
          <a:ext cx="448243" cy="209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08583DE7-3129-476B-98BE-2887A134E95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4.7µH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6311714</xdr:colOff>
      <xdr:row>4</xdr:row>
      <xdr:rowOff>2301177</xdr:rowOff>
    </xdr:from>
    <xdr:to>
      <xdr:col>1</xdr:col>
      <xdr:colOff>6784061</xdr:colOff>
      <xdr:row>4</xdr:row>
      <xdr:rowOff>2524893</xdr:rowOff>
    </xdr:to>
    <xdr:sp macro="" textlink="'Variable Management'!B437">
      <xdr:nvSpPr>
        <xdr:cNvPr id="33" name="Text Box 27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016564" y="2948877"/>
          <a:ext cx="472347" cy="223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7E8F3901-1453-4951-8E28-510E65401D4C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120µF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3505332</xdr:colOff>
      <xdr:row>4</xdr:row>
      <xdr:rowOff>145674</xdr:rowOff>
    </xdr:from>
    <xdr:to>
      <xdr:col>1</xdr:col>
      <xdr:colOff>3874809</xdr:colOff>
      <xdr:row>4</xdr:row>
      <xdr:rowOff>381789</xdr:rowOff>
    </xdr:to>
    <xdr:sp macro="" textlink="">
      <xdr:nvSpPr>
        <xdr:cNvPr id="34" name="Text Box 279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4210182" y="793374"/>
          <a:ext cx="369477" cy="23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1006694</xdr:colOff>
      <xdr:row>4</xdr:row>
      <xdr:rowOff>2949980</xdr:rowOff>
    </xdr:from>
    <xdr:to>
      <xdr:col>1</xdr:col>
      <xdr:colOff>1444337</xdr:colOff>
      <xdr:row>4</xdr:row>
      <xdr:rowOff>3184830</xdr:rowOff>
    </xdr:to>
    <xdr:sp macro="" textlink="'Variable Management'!B470">
      <xdr:nvSpPr>
        <xdr:cNvPr id="35" name="Text Box 281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711544" y="3597680"/>
          <a:ext cx="437643" cy="23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8287206</xdr:colOff>
      <xdr:row>4</xdr:row>
      <xdr:rowOff>976516</xdr:rowOff>
    </xdr:from>
    <xdr:to>
      <xdr:col>1</xdr:col>
      <xdr:colOff>8765869</xdr:colOff>
      <xdr:row>4</xdr:row>
      <xdr:rowOff>1221128</xdr:rowOff>
    </xdr:to>
    <xdr:sp macro="" textlink="'Variable Management'!B431">
      <xdr:nvSpPr>
        <xdr:cNvPr id="36" name="Text Box 28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92056" y="1624216"/>
          <a:ext cx="478663" cy="24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8272196</xdr:colOff>
      <xdr:row>4</xdr:row>
      <xdr:rowOff>1205517</xdr:rowOff>
    </xdr:from>
    <xdr:to>
      <xdr:col>1</xdr:col>
      <xdr:colOff>8725233</xdr:colOff>
      <xdr:row>4</xdr:row>
      <xdr:rowOff>1448071</xdr:rowOff>
    </xdr:to>
    <xdr:sp macro="" textlink="'Variable Management'!B473">
      <xdr:nvSpPr>
        <xdr:cNvPr id="37" name="Text Box 28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77046" y="1853217"/>
          <a:ext cx="453037" cy="24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4A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339944</xdr:colOff>
      <xdr:row>4</xdr:row>
      <xdr:rowOff>1969229</xdr:rowOff>
    </xdr:from>
    <xdr:to>
      <xdr:col>1</xdr:col>
      <xdr:colOff>604552</xdr:colOff>
      <xdr:row>4</xdr:row>
      <xdr:rowOff>2161044</xdr:rowOff>
    </xdr:to>
    <xdr:sp macro="" textlink="">
      <xdr:nvSpPr>
        <xdr:cNvPr id="38" name="Text Box 251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>
          <a:spLocks noChangeArrowheads="1"/>
        </xdr:cNvSpPr>
      </xdr:nvSpPr>
      <xdr:spPr bwMode="auto">
        <a:xfrm>
          <a:off x="1044794" y="2616929"/>
          <a:ext cx="264608" cy="19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 editAs="absolute">
    <xdr:from>
      <xdr:col>1</xdr:col>
      <xdr:colOff>2952085</xdr:colOff>
      <xdr:row>4</xdr:row>
      <xdr:rowOff>141585</xdr:rowOff>
    </xdr:from>
    <xdr:to>
      <xdr:col>1</xdr:col>
      <xdr:colOff>3413563</xdr:colOff>
      <xdr:row>4</xdr:row>
      <xdr:rowOff>365593</xdr:rowOff>
    </xdr:to>
    <xdr:sp macro="" textlink="">
      <xdr:nvSpPr>
        <xdr:cNvPr id="39" name="Text Box 247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>
          <a:spLocks noChangeArrowheads="1"/>
        </xdr:cNvSpPr>
      </xdr:nvSpPr>
      <xdr:spPr bwMode="auto">
        <a:xfrm>
          <a:off x="3656935" y="789285"/>
          <a:ext cx="461478" cy="2240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5943177</xdr:colOff>
      <xdr:row>4</xdr:row>
      <xdr:rowOff>2257233</xdr:rowOff>
    </xdr:from>
    <xdr:to>
      <xdr:col>1</xdr:col>
      <xdr:colOff>6265561</xdr:colOff>
      <xdr:row>4</xdr:row>
      <xdr:rowOff>2502483</xdr:rowOff>
    </xdr:to>
    <xdr:sp macro="" textlink="">
      <xdr:nvSpPr>
        <xdr:cNvPr id="40" name="Text Box 24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>
          <a:spLocks noChangeArrowheads="1"/>
        </xdr:cNvSpPr>
      </xdr:nvSpPr>
      <xdr:spPr bwMode="auto">
        <a:xfrm>
          <a:off x="6648027" y="2904933"/>
          <a:ext cx="322384" cy="24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 editAs="absolute">
    <xdr:from>
      <xdr:col>1</xdr:col>
      <xdr:colOff>5944154</xdr:colOff>
      <xdr:row>4</xdr:row>
      <xdr:rowOff>1381249</xdr:rowOff>
    </xdr:from>
    <xdr:to>
      <xdr:col>1</xdr:col>
      <xdr:colOff>6266538</xdr:colOff>
      <xdr:row>4</xdr:row>
      <xdr:rowOff>1647440</xdr:rowOff>
    </xdr:to>
    <xdr:sp macro="" textlink="">
      <xdr:nvSpPr>
        <xdr:cNvPr id="41" name="Text Box 244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>
          <a:spLocks noChangeArrowheads="1"/>
        </xdr:cNvSpPr>
      </xdr:nvSpPr>
      <xdr:spPr bwMode="auto">
        <a:xfrm>
          <a:off x="6649004" y="2028949"/>
          <a:ext cx="322384" cy="266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 editAs="absolute">
    <xdr:from>
      <xdr:col>1</xdr:col>
      <xdr:colOff>6867893</xdr:colOff>
      <xdr:row>4</xdr:row>
      <xdr:rowOff>3140812</xdr:rowOff>
    </xdr:from>
    <xdr:to>
      <xdr:col>1</xdr:col>
      <xdr:colOff>7347524</xdr:colOff>
      <xdr:row>4</xdr:row>
      <xdr:rowOff>3411874</xdr:rowOff>
    </xdr:to>
    <xdr:sp macro="" textlink="'Variable Management'!B428">
      <xdr:nvSpPr>
        <xdr:cNvPr id="42" name="Text Box 275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72743" y="3788512"/>
          <a:ext cx="479631" cy="27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952677B8-8C18-463F-B0C9-D2099A1EBA1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15mΩ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254219</xdr:colOff>
      <xdr:row>4</xdr:row>
      <xdr:rowOff>2371224</xdr:rowOff>
    </xdr:from>
    <xdr:to>
      <xdr:col>1</xdr:col>
      <xdr:colOff>687280</xdr:colOff>
      <xdr:row>4</xdr:row>
      <xdr:rowOff>2607535</xdr:rowOff>
    </xdr:to>
    <xdr:sp macro="" textlink="">
      <xdr:nvSpPr>
        <xdr:cNvPr id="43" name="Text Box 251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>
          <a:spLocks noChangeArrowheads="1"/>
        </xdr:cNvSpPr>
      </xdr:nvSpPr>
      <xdr:spPr bwMode="auto">
        <a:xfrm>
          <a:off x="959069" y="3018924"/>
          <a:ext cx="433061" cy="2363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 editAs="absolute">
    <xdr:from>
      <xdr:col>1</xdr:col>
      <xdr:colOff>5510442</xdr:colOff>
      <xdr:row>4</xdr:row>
      <xdr:rowOff>3213286</xdr:rowOff>
    </xdr:from>
    <xdr:to>
      <xdr:col>1</xdr:col>
      <xdr:colOff>5917925</xdr:colOff>
      <xdr:row>4</xdr:row>
      <xdr:rowOff>3457653</xdr:rowOff>
    </xdr:to>
    <xdr:sp macro="" textlink="">
      <xdr:nvSpPr>
        <xdr:cNvPr id="44" name="Text Box 24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>
          <a:spLocks noChangeArrowheads="1"/>
        </xdr:cNvSpPr>
      </xdr:nvSpPr>
      <xdr:spPr bwMode="auto">
        <a:xfrm>
          <a:off x="6215292" y="3860986"/>
          <a:ext cx="407483" cy="244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4880097</xdr:colOff>
      <xdr:row>4</xdr:row>
      <xdr:rowOff>3616355</xdr:rowOff>
    </xdr:from>
    <xdr:to>
      <xdr:col>1</xdr:col>
      <xdr:colOff>5341575</xdr:colOff>
      <xdr:row>4</xdr:row>
      <xdr:rowOff>3867177</xdr:rowOff>
    </xdr:to>
    <xdr:sp macro="" textlink="">
      <xdr:nvSpPr>
        <xdr:cNvPr id="45" name="Text Box 24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>
          <a:spLocks noChangeArrowheads="1"/>
        </xdr:cNvSpPr>
      </xdr:nvSpPr>
      <xdr:spPr bwMode="auto">
        <a:xfrm>
          <a:off x="5584947" y="4264055"/>
          <a:ext cx="461478" cy="250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4940561</xdr:colOff>
      <xdr:row>4</xdr:row>
      <xdr:rowOff>3828330</xdr:rowOff>
    </xdr:from>
    <xdr:to>
      <xdr:col>1</xdr:col>
      <xdr:colOff>5310038</xdr:colOff>
      <xdr:row>4</xdr:row>
      <xdr:rowOff>4055655</xdr:rowOff>
    </xdr:to>
    <xdr:sp macro="" textlink="">
      <xdr:nvSpPr>
        <xdr:cNvPr id="46" name="Text Box 27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>
          <a:spLocks noChangeArrowheads="1"/>
        </xdr:cNvSpPr>
      </xdr:nvSpPr>
      <xdr:spPr bwMode="auto">
        <a:xfrm>
          <a:off x="5645411" y="4476030"/>
          <a:ext cx="369477" cy="22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5094928</xdr:colOff>
      <xdr:row>4</xdr:row>
      <xdr:rowOff>2377424</xdr:rowOff>
    </xdr:from>
    <xdr:to>
      <xdr:col>1</xdr:col>
      <xdr:colOff>5365431</xdr:colOff>
      <xdr:row>4</xdr:row>
      <xdr:rowOff>2614453</xdr:rowOff>
    </xdr:to>
    <xdr:sp macro="" textlink="">
      <xdr:nvSpPr>
        <xdr:cNvPr id="47" name="Text Box 27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>
          <a:spLocks noChangeArrowheads="1"/>
        </xdr:cNvSpPr>
      </xdr:nvSpPr>
      <xdr:spPr bwMode="auto">
        <a:xfrm>
          <a:off x="5799778" y="3025124"/>
          <a:ext cx="270503" cy="2370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2444899</xdr:colOff>
      <xdr:row>4</xdr:row>
      <xdr:rowOff>38100</xdr:rowOff>
    </xdr:from>
    <xdr:to>
      <xdr:col>1</xdr:col>
      <xdr:colOff>2821188</xdr:colOff>
      <xdr:row>4</xdr:row>
      <xdr:rowOff>273769</xdr:rowOff>
    </xdr:to>
    <xdr:sp macro="" textlink="">
      <xdr:nvSpPr>
        <xdr:cNvPr id="48" name="Text Box 279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>
          <a:spLocks noChangeArrowheads="1"/>
        </xdr:cNvSpPr>
      </xdr:nvSpPr>
      <xdr:spPr bwMode="auto">
        <a:xfrm>
          <a:off x="3149749" y="685800"/>
          <a:ext cx="376289" cy="235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2144579</xdr:colOff>
      <xdr:row>4</xdr:row>
      <xdr:rowOff>478502</xdr:rowOff>
    </xdr:from>
    <xdr:to>
      <xdr:col>1</xdr:col>
      <xdr:colOff>2471641</xdr:colOff>
      <xdr:row>4</xdr:row>
      <xdr:rowOff>705632</xdr:rowOff>
    </xdr:to>
    <xdr:sp macro="" textlink="">
      <xdr:nvSpPr>
        <xdr:cNvPr id="49" name="Text Box 245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 txBox="1">
          <a:spLocks noChangeArrowheads="1"/>
        </xdr:cNvSpPr>
      </xdr:nvSpPr>
      <xdr:spPr bwMode="auto">
        <a:xfrm>
          <a:off x="2849429" y="1126202"/>
          <a:ext cx="327062" cy="227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2451906</xdr:colOff>
      <xdr:row>4</xdr:row>
      <xdr:rowOff>498798</xdr:rowOff>
    </xdr:from>
    <xdr:to>
      <xdr:col>1</xdr:col>
      <xdr:colOff>2822138</xdr:colOff>
      <xdr:row>4</xdr:row>
      <xdr:rowOff>722941</xdr:rowOff>
    </xdr:to>
    <xdr:sp macro="" textlink="">
      <xdr:nvSpPr>
        <xdr:cNvPr id="50" name="Text Box 27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>
          <a:spLocks noChangeArrowheads="1"/>
        </xdr:cNvSpPr>
      </xdr:nvSpPr>
      <xdr:spPr bwMode="auto">
        <a:xfrm>
          <a:off x="3156756" y="1146498"/>
          <a:ext cx="370232" cy="224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2Ω</a:t>
          </a:r>
        </a:p>
      </xdr:txBody>
    </xdr:sp>
    <xdr:clientData/>
  </xdr:twoCellAnchor>
  <xdr:twoCellAnchor editAs="absolute">
    <xdr:from>
      <xdr:col>1</xdr:col>
      <xdr:colOff>4627899</xdr:colOff>
      <xdr:row>4</xdr:row>
      <xdr:rowOff>4758188</xdr:rowOff>
    </xdr:from>
    <xdr:to>
      <xdr:col>1</xdr:col>
      <xdr:colOff>4940204</xdr:colOff>
      <xdr:row>4</xdr:row>
      <xdr:rowOff>4983266</xdr:rowOff>
    </xdr:to>
    <xdr:sp macro="" textlink="">
      <xdr:nvSpPr>
        <xdr:cNvPr id="51" name="Text Box 2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>
          <a:spLocks noChangeArrowheads="1"/>
        </xdr:cNvSpPr>
      </xdr:nvSpPr>
      <xdr:spPr bwMode="auto">
        <a:xfrm>
          <a:off x="5332749" y="5405888"/>
          <a:ext cx="312305" cy="225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CS2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2028048</xdr:colOff>
      <xdr:row>4</xdr:row>
      <xdr:rowOff>51537</xdr:rowOff>
    </xdr:from>
    <xdr:to>
      <xdr:col>1</xdr:col>
      <xdr:colOff>2352330</xdr:colOff>
      <xdr:row>4</xdr:row>
      <xdr:rowOff>270228</xdr:rowOff>
    </xdr:to>
    <xdr:sp macro="" textlink="">
      <xdr:nvSpPr>
        <xdr:cNvPr id="52" name="Text Box 245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>
          <a:spLocks noChangeArrowheads="1"/>
        </xdr:cNvSpPr>
      </xdr:nvSpPr>
      <xdr:spPr bwMode="auto">
        <a:xfrm>
          <a:off x="2732898" y="699237"/>
          <a:ext cx="324282" cy="218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7319710</xdr:colOff>
      <xdr:row>4</xdr:row>
      <xdr:rowOff>2253494</xdr:rowOff>
    </xdr:from>
    <xdr:to>
      <xdr:col>1</xdr:col>
      <xdr:colOff>7598272</xdr:colOff>
      <xdr:row>4</xdr:row>
      <xdr:rowOff>2543864</xdr:rowOff>
    </xdr:to>
    <xdr:sp macro="" textlink="">
      <xdr:nvSpPr>
        <xdr:cNvPr id="53" name="Text Box 24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>
          <a:spLocks noChangeArrowheads="1"/>
        </xdr:cNvSpPr>
      </xdr:nvSpPr>
      <xdr:spPr bwMode="auto">
        <a:xfrm>
          <a:off x="8024560" y="2901194"/>
          <a:ext cx="278562" cy="29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 editAs="absolute">
    <xdr:from>
      <xdr:col>1</xdr:col>
      <xdr:colOff>7311161</xdr:colOff>
      <xdr:row>4</xdr:row>
      <xdr:rowOff>1379784</xdr:rowOff>
    </xdr:from>
    <xdr:to>
      <xdr:col>1</xdr:col>
      <xdr:colOff>7590944</xdr:colOff>
      <xdr:row>4</xdr:row>
      <xdr:rowOff>1643701</xdr:rowOff>
    </xdr:to>
    <xdr:sp macro="" textlink="">
      <xdr:nvSpPr>
        <xdr:cNvPr id="54" name="Text Box 24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>
          <a:spLocks noChangeArrowheads="1"/>
        </xdr:cNvSpPr>
      </xdr:nvSpPr>
      <xdr:spPr bwMode="auto">
        <a:xfrm>
          <a:off x="8016011" y="2027484"/>
          <a:ext cx="279783" cy="263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 editAs="absolute">
    <xdr:from>
      <xdr:col>1</xdr:col>
      <xdr:colOff>663203</xdr:colOff>
      <xdr:row>4</xdr:row>
      <xdr:rowOff>3821721</xdr:rowOff>
    </xdr:from>
    <xdr:to>
      <xdr:col>1</xdr:col>
      <xdr:colOff>1167405</xdr:colOff>
      <xdr:row>4</xdr:row>
      <xdr:rowOff>4065124</xdr:rowOff>
    </xdr:to>
    <xdr:sp macro="" textlink="'Variable Management'!B442">
      <xdr:nvSpPr>
        <xdr:cNvPr id="55" name="Text Box 261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68053" y="4469421"/>
          <a:ext cx="504202" cy="2434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9060F6D-CAA3-48E6-BAE7-37C16D6980D0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27nF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4854635</xdr:colOff>
      <xdr:row>4</xdr:row>
      <xdr:rowOff>4479932</xdr:rowOff>
    </xdr:from>
    <xdr:to>
      <xdr:col>1</xdr:col>
      <xdr:colOff>5248259</xdr:colOff>
      <xdr:row>4</xdr:row>
      <xdr:rowOff>4712952</xdr:rowOff>
    </xdr:to>
    <xdr:sp macro="" textlink="'Variable Management'!B467">
      <xdr:nvSpPr>
        <xdr:cNvPr id="56" name="Text Box 270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559485" y="5127632"/>
          <a:ext cx="393624" cy="233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2E2AFC2-CB14-431A-99E1-2EF4D5A6CD34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1654331</xdr:colOff>
      <xdr:row>4</xdr:row>
      <xdr:rowOff>420739</xdr:rowOff>
    </xdr:from>
    <xdr:to>
      <xdr:col>1</xdr:col>
      <xdr:colOff>2003826</xdr:colOff>
      <xdr:row>4</xdr:row>
      <xdr:rowOff>662384</xdr:rowOff>
    </xdr:to>
    <xdr:sp macro="" textlink="">
      <xdr:nvSpPr>
        <xdr:cNvPr id="57" name="Text Box 24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>
          <a:spLocks noChangeArrowheads="1"/>
        </xdr:cNvSpPr>
      </xdr:nvSpPr>
      <xdr:spPr bwMode="auto">
        <a:xfrm>
          <a:off x="2359181" y="1068439"/>
          <a:ext cx="349495" cy="2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6290995</xdr:colOff>
      <xdr:row>4</xdr:row>
      <xdr:rowOff>996921</xdr:rowOff>
    </xdr:from>
    <xdr:to>
      <xdr:col>1</xdr:col>
      <xdr:colOff>7281596</xdr:colOff>
      <xdr:row>4</xdr:row>
      <xdr:rowOff>1257170</xdr:rowOff>
    </xdr:to>
    <xdr:sp macro="" textlink="'Variable Management'!B475">
      <xdr:nvSpPr>
        <xdr:cNvPr id="58" name="Text Box 283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995845" y="1644621"/>
          <a:ext cx="990601" cy="260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B114F7CE-60BB-40BD-BD7F-B22E7592FFCF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9V...36V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713956</xdr:colOff>
      <xdr:row>4</xdr:row>
      <xdr:rowOff>1507243</xdr:rowOff>
    </xdr:from>
    <xdr:to>
      <xdr:col>1</xdr:col>
      <xdr:colOff>1196832</xdr:colOff>
      <xdr:row>4</xdr:row>
      <xdr:rowOff>1692372</xdr:rowOff>
    </xdr:to>
    <xdr:sp macro="" textlink="'Variable Management'!C450">
      <xdr:nvSpPr>
        <xdr:cNvPr id="59" name="Text Box 266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18806" y="2154943"/>
          <a:ext cx="482876" cy="185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DF2A2C16-623E-4E51-B82E-2B3F1562B3CF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Cd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1741435</xdr:colOff>
      <xdr:row>7</xdr:row>
      <xdr:rowOff>4459217</xdr:rowOff>
    </xdr:from>
    <xdr:to>
      <xdr:col>1</xdr:col>
      <xdr:colOff>2083824</xdr:colOff>
      <xdr:row>7</xdr:row>
      <xdr:rowOff>4720777</xdr:rowOff>
    </xdr:to>
    <xdr:sp macro="" textlink="">
      <xdr:nvSpPr>
        <xdr:cNvPr id="60" name="Text Box 225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>
          <a:spLocks noChangeArrowheads="1"/>
        </xdr:cNvSpPr>
      </xdr:nvSpPr>
      <xdr:spPr bwMode="auto">
        <a:xfrm>
          <a:off x="2446285" y="10688567"/>
          <a:ext cx="342389" cy="261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FB1</a:t>
          </a:r>
        </a:p>
      </xdr:txBody>
    </xdr:sp>
    <xdr:clientData/>
  </xdr:twoCellAnchor>
  <xdr:twoCellAnchor editAs="absolute">
    <xdr:from>
      <xdr:col>1</xdr:col>
      <xdr:colOff>6856439</xdr:colOff>
      <xdr:row>7</xdr:row>
      <xdr:rowOff>2104957</xdr:rowOff>
    </xdr:from>
    <xdr:to>
      <xdr:col>1</xdr:col>
      <xdr:colOff>7240372</xdr:colOff>
      <xdr:row>7</xdr:row>
      <xdr:rowOff>2333307</xdr:rowOff>
    </xdr:to>
    <xdr:sp macro="" textlink="">
      <xdr:nvSpPr>
        <xdr:cNvPr id="61" name="Text Box 228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>
          <a:spLocks noChangeArrowheads="1"/>
        </xdr:cNvSpPr>
      </xdr:nvSpPr>
      <xdr:spPr bwMode="auto">
        <a:xfrm>
          <a:off x="7561289" y="8334307"/>
          <a:ext cx="383933" cy="22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OUT</a:t>
          </a:r>
        </a:p>
      </xdr:txBody>
    </xdr:sp>
    <xdr:clientData/>
  </xdr:twoCellAnchor>
  <xdr:twoCellAnchor editAs="absolute">
    <xdr:from>
      <xdr:col>1</xdr:col>
      <xdr:colOff>7914727</xdr:colOff>
      <xdr:row>7</xdr:row>
      <xdr:rowOff>995107</xdr:rowOff>
    </xdr:from>
    <xdr:to>
      <xdr:col>1</xdr:col>
      <xdr:colOff>8390563</xdr:colOff>
      <xdr:row>7</xdr:row>
      <xdr:rowOff>1239091</xdr:rowOff>
    </xdr:to>
    <xdr:sp macro="" textlink="">
      <xdr:nvSpPr>
        <xdr:cNvPr id="62" name="Text Box 23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>
          <a:spLocks noChangeArrowheads="1"/>
        </xdr:cNvSpPr>
      </xdr:nvSpPr>
      <xdr:spPr bwMode="auto">
        <a:xfrm>
          <a:off x="8619577" y="7224457"/>
          <a:ext cx="475836" cy="2439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CS(out)</a:t>
          </a:r>
        </a:p>
      </xdr:txBody>
    </xdr:sp>
    <xdr:clientData/>
  </xdr:twoCellAnchor>
  <xdr:twoCellAnchor editAs="absolute">
    <xdr:from>
      <xdr:col>1</xdr:col>
      <xdr:colOff>3248284</xdr:colOff>
      <xdr:row>7</xdr:row>
      <xdr:rowOff>4351349</xdr:rowOff>
    </xdr:from>
    <xdr:to>
      <xdr:col>1</xdr:col>
      <xdr:colOff>3522445</xdr:colOff>
      <xdr:row>7</xdr:row>
      <xdr:rowOff>4599731</xdr:rowOff>
    </xdr:to>
    <xdr:sp macro="" textlink="">
      <xdr:nvSpPr>
        <xdr:cNvPr id="63" name="Text Box 233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>
          <a:spLocks noChangeArrowheads="1"/>
        </xdr:cNvSpPr>
      </xdr:nvSpPr>
      <xdr:spPr bwMode="auto">
        <a:xfrm>
          <a:off x="3953134" y="10580699"/>
          <a:ext cx="274161" cy="248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</a:t>
          </a:r>
        </a:p>
      </xdr:txBody>
    </xdr:sp>
    <xdr:clientData/>
  </xdr:twoCellAnchor>
  <xdr:twoCellAnchor editAs="absolute">
    <xdr:from>
      <xdr:col>1</xdr:col>
      <xdr:colOff>6888908</xdr:colOff>
      <xdr:row>7</xdr:row>
      <xdr:rowOff>2980875</xdr:rowOff>
    </xdr:from>
    <xdr:to>
      <xdr:col>1</xdr:col>
      <xdr:colOff>7132769</xdr:colOff>
      <xdr:row>7</xdr:row>
      <xdr:rowOff>3202171</xdr:rowOff>
    </xdr:to>
    <xdr:sp macro="" textlink="">
      <xdr:nvSpPr>
        <xdr:cNvPr id="64" name="Text Box 234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>
          <a:spLocks noChangeArrowheads="1"/>
        </xdr:cNvSpPr>
      </xdr:nvSpPr>
      <xdr:spPr bwMode="auto">
        <a:xfrm>
          <a:off x="7593758" y="9210225"/>
          <a:ext cx="243861" cy="221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</a:t>
          </a:r>
        </a:p>
      </xdr:txBody>
    </xdr:sp>
    <xdr:clientData/>
  </xdr:twoCellAnchor>
  <xdr:twoCellAnchor editAs="absolute">
    <xdr:from>
      <xdr:col>1</xdr:col>
      <xdr:colOff>6587606</xdr:colOff>
      <xdr:row>7</xdr:row>
      <xdr:rowOff>1279450</xdr:rowOff>
    </xdr:from>
    <xdr:to>
      <xdr:col>1</xdr:col>
      <xdr:colOff>6927606</xdr:colOff>
      <xdr:row>7</xdr:row>
      <xdr:rowOff>1557155</xdr:rowOff>
    </xdr:to>
    <xdr:sp macro="" textlink="">
      <xdr:nvSpPr>
        <xdr:cNvPr id="65" name="Text Box 235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>
          <a:spLocks noChangeArrowheads="1"/>
        </xdr:cNvSpPr>
      </xdr:nvSpPr>
      <xdr:spPr bwMode="auto">
        <a:xfrm>
          <a:off x="7292456" y="7508800"/>
          <a:ext cx="340000" cy="277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</a:t>
          </a:r>
        </a:p>
      </xdr:txBody>
    </xdr:sp>
    <xdr:clientData/>
  </xdr:twoCellAnchor>
  <xdr:twoCellAnchor editAs="absolute">
    <xdr:from>
      <xdr:col>1</xdr:col>
      <xdr:colOff>3609213</xdr:colOff>
      <xdr:row>7</xdr:row>
      <xdr:rowOff>4549938</xdr:rowOff>
    </xdr:from>
    <xdr:to>
      <xdr:col>1</xdr:col>
      <xdr:colOff>4015912</xdr:colOff>
      <xdr:row>7</xdr:row>
      <xdr:rowOff>4797862</xdr:rowOff>
    </xdr:to>
    <xdr:sp macro="" textlink="">
      <xdr:nvSpPr>
        <xdr:cNvPr id="66" name="Text Box 243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>
          <a:spLocks noChangeArrowheads="1"/>
        </xdr:cNvSpPr>
      </xdr:nvSpPr>
      <xdr:spPr bwMode="auto">
        <a:xfrm>
          <a:off x="4314063" y="10779288"/>
          <a:ext cx="406699" cy="247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100pF</a:t>
          </a:r>
        </a:p>
      </xdr:txBody>
    </xdr:sp>
    <xdr:clientData/>
  </xdr:twoCellAnchor>
  <xdr:twoCellAnchor editAs="absolute">
    <xdr:from>
      <xdr:col>1</xdr:col>
      <xdr:colOff>6345478</xdr:colOff>
      <xdr:row>7</xdr:row>
      <xdr:rowOff>2131317</xdr:rowOff>
    </xdr:from>
    <xdr:to>
      <xdr:col>1</xdr:col>
      <xdr:colOff>6670916</xdr:colOff>
      <xdr:row>7</xdr:row>
      <xdr:rowOff>2357563</xdr:rowOff>
    </xdr:to>
    <xdr:sp macro="" textlink="">
      <xdr:nvSpPr>
        <xdr:cNvPr id="67" name="Text Box 24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>
          <a:spLocks noChangeArrowheads="1"/>
        </xdr:cNvSpPr>
      </xdr:nvSpPr>
      <xdr:spPr bwMode="auto">
        <a:xfrm>
          <a:off x="7050328" y="8360667"/>
          <a:ext cx="325438" cy="226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IN</a:t>
          </a:r>
        </a:p>
      </xdr:txBody>
    </xdr:sp>
    <xdr:clientData/>
  </xdr:twoCellAnchor>
  <xdr:twoCellAnchor editAs="absolute">
    <xdr:from>
      <xdr:col>1</xdr:col>
      <xdr:colOff>3985001</xdr:colOff>
      <xdr:row>7</xdr:row>
      <xdr:rowOff>79131</xdr:rowOff>
    </xdr:from>
    <xdr:to>
      <xdr:col>1</xdr:col>
      <xdr:colOff>4393844</xdr:colOff>
      <xdr:row>7</xdr:row>
      <xdr:rowOff>320775</xdr:rowOff>
    </xdr:to>
    <xdr:sp macro="" textlink="">
      <xdr:nvSpPr>
        <xdr:cNvPr id="68" name="Text Box 248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>
          <a:spLocks noChangeArrowheads="1"/>
        </xdr:cNvSpPr>
      </xdr:nvSpPr>
      <xdr:spPr bwMode="auto">
        <a:xfrm>
          <a:off x="4689851" y="6308481"/>
          <a:ext cx="408843" cy="241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5069341</xdr:colOff>
      <xdr:row>7</xdr:row>
      <xdr:rowOff>2117850</xdr:rowOff>
    </xdr:from>
    <xdr:to>
      <xdr:col>1</xdr:col>
      <xdr:colOff>5444036</xdr:colOff>
      <xdr:row>7</xdr:row>
      <xdr:rowOff>2368121</xdr:rowOff>
    </xdr:to>
    <xdr:sp macro="" textlink="">
      <xdr:nvSpPr>
        <xdr:cNvPr id="69" name="Text Box 24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>
          <a:spLocks noChangeArrowheads="1"/>
        </xdr:cNvSpPr>
      </xdr:nvSpPr>
      <xdr:spPr bwMode="auto">
        <a:xfrm>
          <a:off x="5774191" y="8347200"/>
          <a:ext cx="374695" cy="2502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VCC</a:t>
          </a:r>
        </a:p>
      </xdr:txBody>
    </xdr:sp>
    <xdr:clientData/>
  </xdr:twoCellAnchor>
  <xdr:twoCellAnchor editAs="absolute">
    <xdr:from>
      <xdr:col>1</xdr:col>
      <xdr:colOff>4599220</xdr:colOff>
      <xdr:row>7</xdr:row>
      <xdr:rowOff>4181156</xdr:rowOff>
    </xdr:from>
    <xdr:to>
      <xdr:col>1</xdr:col>
      <xdr:colOff>4910059</xdr:colOff>
      <xdr:row>7</xdr:row>
      <xdr:rowOff>4413246</xdr:rowOff>
    </xdr:to>
    <xdr:sp macro="" textlink="">
      <xdr:nvSpPr>
        <xdr:cNvPr id="70" name="Text Box 250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>
          <a:spLocks noChangeArrowheads="1"/>
        </xdr:cNvSpPr>
      </xdr:nvSpPr>
      <xdr:spPr bwMode="auto">
        <a:xfrm>
          <a:off x="5304070" y="10410506"/>
          <a:ext cx="310839" cy="232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CS1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1023436</xdr:colOff>
      <xdr:row>7</xdr:row>
      <xdr:rowOff>2758635</xdr:rowOff>
    </xdr:from>
    <xdr:to>
      <xdr:col>1</xdr:col>
      <xdr:colOff>1350592</xdr:colOff>
      <xdr:row>7</xdr:row>
      <xdr:rowOff>3014259</xdr:rowOff>
    </xdr:to>
    <xdr:sp macro="" textlink="">
      <xdr:nvSpPr>
        <xdr:cNvPr id="71" name="Text Box 251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>
          <a:spLocks noChangeArrowheads="1"/>
        </xdr:cNvSpPr>
      </xdr:nvSpPr>
      <xdr:spPr bwMode="auto">
        <a:xfrm>
          <a:off x="1728286" y="8987985"/>
          <a:ext cx="327156" cy="2556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SS</a:t>
          </a:r>
        </a:p>
      </xdr:txBody>
    </xdr:sp>
    <xdr:clientData/>
  </xdr:twoCellAnchor>
  <xdr:twoCellAnchor editAs="absolute">
    <xdr:from>
      <xdr:col>1</xdr:col>
      <xdr:colOff>781911</xdr:colOff>
      <xdr:row>7</xdr:row>
      <xdr:rowOff>4098220</xdr:rowOff>
    </xdr:from>
    <xdr:to>
      <xdr:col>1</xdr:col>
      <xdr:colOff>1177488</xdr:colOff>
      <xdr:row>7</xdr:row>
      <xdr:rowOff>4299097</xdr:rowOff>
    </xdr:to>
    <xdr:sp macro="" textlink="">
      <xdr:nvSpPr>
        <xdr:cNvPr id="72" name="Text Box 255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1486761" y="10327570"/>
          <a:ext cx="395577" cy="2008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FB2</a:t>
          </a:r>
        </a:p>
      </xdr:txBody>
    </xdr:sp>
    <xdr:clientData/>
  </xdr:twoCellAnchor>
  <xdr:twoCellAnchor editAs="absolute">
    <xdr:from>
      <xdr:col>1</xdr:col>
      <xdr:colOff>141951</xdr:colOff>
      <xdr:row>7</xdr:row>
      <xdr:rowOff>3384014</xdr:rowOff>
    </xdr:from>
    <xdr:to>
      <xdr:col>1</xdr:col>
      <xdr:colOff>384920</xdr:colOff>
      <xdr:row>7</xdr:row>
      <xdr:rowOff>3598419</xdr:rowOff>
    </xdr:to>
    <xdr:sp macro="" textlink="">
      <xdr:nvSpPr>
        <xdr:cNvPr id="73" name="Text Box 25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>
          <a:spLocks noChangeArrowheads="1"/>
        </xdr:cNvSpPr>
      </xdr:nvSpPr>
      <xdr:spPr bwMode="auto">
        <a:xfrm>
          <a:off x="846801" y="9613364"/>
          <a:ext cx="242969" cy="2144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C2</a:t>
          </a:r>
        </a:p>
      </xdr:txBody>
    </xdr:sp>
    <xdr:clientData/>
  </xdr:twoCellAnchor>
  <xdr:twoCellAnchor editAs="absolute">
    <xdr:from>
      <xdr:col>1</xdr:col>
      <xdr:colOff>896117</xdr:colOff>
      <xdr:row>7</xdr:row>
      <xdr:rowOff>3625848</xdr:rowOff>
    </xdr:from>
    <xdr:to>
      <xdr:col>1</xdr:col>
      <xdr:colOff>1211687</xdr:colOff>
      <xdr:row>7</xdr:row>
      <xdr:rowOff>3869886</xdr:rowOff>
    </xdr:to>
    <xdr:sp macro="" textlink="">
      <xdr:nvSpPr>
        <xdr:cNvPr id="74" name="Text Box 25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>
          <a:spLocks noChangeArrowheads="1"/>
        </xdr:cNvSpPr>
      </xdr:nvSpPr>
      <xdr:spPr bwMode="auto">
        <a:xfrm>
          <a:off x="1600967" y="9855198"/>
          <a:ext cx="315570" cy="2440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C1</a:t>
          </a:r>
        </a:p>
      </xdr:txBody>
    </xdr:sp>
    <xdr:clientData/>
  </xdr:twoCellAnchor>
  <xdr:twoCellAnchor editAs="absolute">
    <xdr:from>
      <xdr:col>1</xdr:col>
      <xdr:colOff>853558</xdr:colOff>
      <xdr:row>7</xdr:row>
      <xdr:rowOff>3243493</xdr:rowOff>
    </xdr:from>
    <xdr:to>
      <xdr:col>1</xdr:col>
      <xdr:colOff>1162413</xdr:colOff>
      <xdr:row>7</xdr:row>
      <xdr:rowOff>3486999</xdr:rowOff>
    </xdr:to>
    <xdr:sp macro="" textlink="">
      <xdr:nvSpPr>
        <xdr:cNvPr id="75" name="Text Box 258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>
          <a:spLocks noChangeArrowheads="1"/>
        </xdr:cNvSpPr>
      </xdr:nvSpPr>
      <xdr:spPr bwMode="auto">
        <a:xfrm>
          <a:off x="1558408" y="9472843"/>
          <a:ext cx="308855" cy="2435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u="none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</a:p>
      </xdr:txBody>
    </xdr:sp>
    <xdr:clientData/>
  </xdr:twoCellAnchor>
  <xdr:twoCellAnchor editAs="absolute">
    <xdr:from>
      <xdr:col>1</xdr:col>
      <xdr:colOff>9479</xdr:colOff>
      <xdr:row>7</xdr:row>
      <xdr:rowOff>2572891</xdr:rowOff>
    </xdr:from>
    <xdr:to>
      <xdr:col>1</xdr:col>
      <xdr:colOff>693342</xdr:colOff>
      <xdr:row>7</xdr:row>
      <xdr:rowOff>2817536</xdr:rowOff>
    </xdr:to>
    <xdr:sp macro="" textlink="'Variable Management'!B471">
      <xdr:nvSpPr>
        <xdr:cNvPr id="76" name="Text Box 261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14329" y="8802241"/>
          <a:ext cx="683863" cy="244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50E25BC-E8CF-448B-A92C-74321B73BB8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120pF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657225</xdr:colOff>
      <xdr:row>7</xdr:row>
      <xdr:rowOff>3652592</xdr:rowOff>
    </xdr:from>
    <xdr:to>
      <xdr:col>1</xdr:col>
      <xdr:colOff>372581</xdr:colOff>
      <xdr:row>7</xdr:row>
      <xdr:rowOff>3928150</xdr:rowOff>
    </xdr:to>
    <xdr:sp macro="" textlink="'Variable Management'!B443">
      <xdr:nvSpPr>
        <xdr:cNvPr id="77" name="Text Box 262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57225" y="9881942"/>
          <a:ext cx="420206" cy="275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2D8520E2-C481-4B17-83BA-3FA209B7A03A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820pF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815405</xdr:colOff>
      <xdr:row>7</xdr:row>
      <xdr:rowOff>3439887</xdr:rowOff>
    </xdr:from>
    <xdr:to>
      <xdr:col>1</xdr:col>
      <xdr:colOff>1274852</xdr:colOff>
      <xdr:row>7</xdr:row>
      <xdr:rowOff>3683426</xdr:rowOff>
    </xdr:to>
    <xdr:sp macro="" textlink="'Variable Management'!B441">
      <xdr:nvSpPr>
        <xdr:cNvPr id="78" name="Text Box 263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520255" y="9669237"/>
          <a:ext cx="459447" cy="243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EDB14F34-7391-4353-9626-FAE030CE211F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4.87kΩ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720709</xdr:colOff>
      <xdr:row>7</xdr:row>
      <xdr:rowOff>4300720</xdr:rowOff>
    </xdr:from>
    <xdr:to>
      <xdr:col>1</xdr:col>
      <xdr:colOff>1235548</xdr:colOff>
      <xdr:row>7</xdr:row>
      <xdr:rowOff>4475356</xdr:rowOff>
    </xdr:to>
    <xdr:sp macro="" textlink="'Variable Management'!B452">
      <xdr:nvSpPr>
        <xdr:cNvPr id="79" name="Text Box 26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25559" y="10530070"/>
          <a:ext cx="514839" cy="1746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4143709D-01BC-4A19-AF00-5C62DAE21E0B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20kΩ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35144</xdr:colOff>
      <xdr:row>7</xdr:row>
      <xdr:rowOff>2153311</xdr:rowOff>
    </xdr:from>
    <xdr:to>
      <xdr:col>1</xdr:col>
      <xdr:colOff>715810</xdr:colOff>
      <xdr:row>7</xdr:row>
      <xdr:rowOff>2413283</xdr:rowOff>
    </xdr:to>
    <xdr:sp macro="" textlink="'Variable Management'!B469">
      <xdr:nvSpPr>
        <xdr:cNvPr id="80" name="Text Box 265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39994" y="8382661"/>
          <a:ext cx="680666" cy="2599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30247B59-D142-4194-9028-13C083D6194C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21.5kΩ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648746</xdr:colOff>
      <xdr:row>7</xdr:row>
      <xdr:rowOff>1687485</xdr:rowOff>
    </xdr:from>
    <xdr:to>
      <xdr:col>1</xdr:col>
      <xdr:colOff>1135349</xdr:colOff>
      <xdr:row>7</xdr:row>
      <xdr:rowOff>1872615</xdr:rowOff>
    </xdr:to>
    <xdr:sp macro="" textlink="'Variable Management'!B450">
      <xdr:nvSpPr>
        <xdr:cNvPr id="81" name="Text Box 266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53596" y="7916835"/>
          <a:ext cx="486603" cy="185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F0D4FEFA-1BCB-42BA-B0A4-AAEA1128161F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47nF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6802438</xdr:colOff>
      <xdr:row>7</xdr:row>
      <xdr:rowOff>2324357</xdr:rowOff>
    </xdr:from>
    <xdr:to>
      <xdr:col>1</xdr:col>
      <xdr:colOff>7303337</xdr:colOff>
      <xdr:row>7</xdr:row>
      <xdr:rowOff>2533495</xdr:rowOff>
    </xdr:to>
    <xdr:sp macro="" textlink="'Variable Management'!B433">
      <xdr:nvSpPr>
        <xdr:cNvPr id="82" name="Text Box 26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07288" y="8553707"/>
          <a:ext cx="500899" cy="2091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DEF62FD0-959B-4627-B7E8-61CA1688D174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220µF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1750147</xdr:colOff>
      <xdr:row>7</xdr:row>
      <xdr:rowOff>4634800</xdr:rowOff>
    </xdr:from>
    <xdr:to>
      <xdr:col>1</xdr:col>
      <xdr:colOff>2273580</xdr:colOff>
      <xdr:row>7</xdr:row>
      <xdr:rowOff>4927889</xdr:rowOff>
    </xdr:to>
    <xdr:sp macro="" textlink="'Variable Management'!B451">
      <xdr:nvSpPr>
        <xdr:cNvPr id="83" name="Text Box 26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454997" y="10864150"/>
          <a:ext cx="523433" cy="2930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DE4FB3C5-779F-4472-8885-3DB2A25A3AD8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280kΩ</a:t>
          </a:fld>
          <a:endParaRPr lang="el-GR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7863577</xdr:colOff>
      <xdr:row>7</xdr:row>
      <xdr:rowOff>1180255</xdr:rowOff>
    </xdr:from>
    <xdr:to>
      <xdr:col>1</xdr:col>
      <xdr:colOff>8405722</xdr:colOff>
      <xdr:row>7</xdr:row>
      <xdr:rowOff>1385433</xdr:rowOff>
    </xdr:to>
    <xdr:sp macro="" textlink="'Variable Management'!B464">
      <xdr:nvSpPr>
        <xdr:cNvPr id="84" name="Text Box 27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568427" y="7409605"/>
          <a:ext cx="542145" cy="2051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14CFEDF3-9A5F-4A24-9D5F-304E5DC1B6C6}" type="TxLink">
            <a:rPr lang="en-US" sz="10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 rtl="0">
              <a:defRPr sz="1000"/>
            </a:pPr>
            <a:t>4.2mΩ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6539066</xdr:colOff>
      <xdr:row>7</xdr:row>
      <xdr:rowOff>1508922</xdr:rowOff>
    </xdr:from>
    <xdr:to>
      <xdr:col>1</xdr:col>
      <xdr:colOff>6987309</xdr:colOff>
      <xdr:row>7</xdr:row>
      <xdr:rowOff>1718015</xdr:rowOff>
    </xdr:to>
    <xdr:sp macro="" textlink="'Variable Management'!B426">
      <xdr:nvSpPr>
        <xdr:cNvPr id="85" name="Text Box 275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243916" y="7738272"/>
          <a:ext cx="448243" cy="209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fld id="{08583DE7-3129-476B-98BE-2887A134E956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ctr" rtl="0">
              <a:defRPr sz="1000"/>
            </a:pPr>
            <a:t>4.7µH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6311714</xdr:colOff>
      <xdr:row>7</xdr:row>
      <xdr:rowOff>2310702</xdr:rowOff>
    </xdr:from>
    <xdr:to>
      <xdr:col>1</xdr:col>
      <xdr:colOff>6784061</xdr:colOff>
      <xdr:row>7</xdr:row>
      <xdr:rowOff>2534418</xdr:rowOff>
    </xdr:to>
    <xdr:sp macro="" textlink="'Variable Management'!B437">
      <xdr:nvSpPr>
        <xdr:cNvPr id="86" name="Text Box 276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016564" y="8540052"/>
          <a:ext cx="472347" cy="2237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7E8F3901-1453-4951-8E28-510E65401D4C}" type="TxLink">
            <a:rPr lang="en-US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120µF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3505332</xdr:colOff>
      <xdr:row>7</xdr:row>
      <xdr:rowOff>155199</xdr:rowOff>
    </xdr:from>
    <xdr:to>
      <xdr:col>1</xdr:col>
      <xdr:colOff>3874809</xdr:colOff>
      <xdr:row>7</xdr:row>
      <xdr:rowOff>391314</xdr:rowOff>
    </xdr:to>
    <xdr:sp macro="" textlink="">
      <xdr:nvSpPr>
        <xdr:cNvPr id="87" name="Text Box 27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 txBox="1">
          <a:spLocks noChangeArrowheads="1"/>
        </xdr:cNvSpPr>
      </xdr:nvSpPr>
      <xdr:spPr bwMode="auto">
        <a:xfrm>
          <a:off x="4210182" y="6384549"/>
          <a:ext cx="369477" cy="23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1006694</xdr:colOff>
      <xdr:row>7</xdr:row>
      <xdr:rowOff>2959505</xdr:rowOff>
    </xdr:from>
    <xdr:to>
      <xdr:col>1</xdr:col>
      <xdr:colOff>1444337</xdr:colOff>
      <xdr:row>7</xdr:row>
      <xdr:rowOff>3194355</xdr:rowOff>
    </xdr:to>
    <xdr:sp macro="" textlink="'Variable Management'!B470">
      <xdr:nvSpPr>
        <xdr:cNvPr id="88" name="Text Box 281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711544" y="9188855"/>
          <a:ext cx="437643" cy="23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77460045-3ADA-4E36-A50B-8C5C548E137C}" type="TxLink">
            <a:rPr lang="en-US" sz="10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 rtl="0">
              <a:defRPr sz="1000"/>
            </a:pPr>
            <a:t>220nF</a:t>
          </a:fld>
          <a:endParaRPr lang="en-US" sz="1000" b="0" i="0" strike="noStrike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8287206</xdr:colOff>
      <xdr:row>7</xdr:row>
      <xdr:rowOff>986041</xdr:rowOff>
    </xdr:from>
    <xdr:to>
      <xdr:col>1</xdr:col>
      <xdr:colOff>8765869</xdr:colOff>
      <xdr:row>7</xdr:row>
      <xdr:rowOff>1230653</xdr:rowOff>
    </xdr:to>
    <xdr:sp macro="" textlink="'Variable Management'!B431">
      <xdr:nvSpPr>
        <xdr:cNvPr id="89" name="Text Box 285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92056" y="7215391"/>
          <a:ext cx="478663" cy="2446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r" rtl="0">
            <a:defRPr sz="1000"/>
          </a:pPr>
          <a:fld id="{702C2B8A-7C4B-4FDB-B229-3170089D9686}" type="TxLink">
            <a:rPr lang="en-US" sz="12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12V</a:t>
          </a:fld>
          <a:endParaRPr lang="en-US" sz="1200" b="1" i="0" u="none" strike="noStrike" baseline="0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8272196</xdr:colOff>
      <xdr:row>7</xdr:row>
      <xdr:rowOff>1215042</xdr:rowOff>
    </xdr:from>
    <xdr:to>
      <xdr:col>1</xdr:col>
      <xdr:colOff>8725233</xdr:colOff>
      <xdr:row>7</xdr:row>
      <xdr:rowOff>1457596</xdr:rowOff>
    </xdr:to>
    <xdr:sp macro="" textlink="'Variable Management'!B473">
      <xdr:nvSpPr>
        <xdr:cNvPr id="90" name="Text Box 286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 txBox="1">
          <a:spLocks noChangeArrowheads="1" noTextEdit="1"/>
        </xdr:cNvSpPr>
      </xdr:nvSpPr>
      <xdr:spPr bwMode="auto">
        <a:xfrm>
          <a:off x="8977046" y="7444392"/>
          <a:ext cx="453037" cy="2425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E0FB88FA-F39E-4ACF-AB5E-DCB628763AAE}" type="TxLink">
            <a:rPr lang="en-US" sz="1200" b="1" i="0" u="none" strike="noStrike">
              <a:solidFill>
                <a:srgbClr val="FF0000"/>
              </a:solidFill>
              <a:latin typeface="Arial" pitchFamily="34" charset="0"/>
              <a:cs typeface="Arial" pitchFamily="34" charset="0"/>
            </a:rPr>
            <a:pPr algn="r" rtl="0">
              <a:defRPr sz="1000"/>
            </a:pPr>
            <a:t>4A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339944</xdr:colOff>
      <xdr:row>7</xdr:row>
      <xdr:rowOff>1978754</xdr:rowOff>
    </xdr:from>
    <xdr:to>
      <xdr:col>1</xdr:col>
      <xdr:colOff>604552</xdr:colOff>
      <xdr:row>7</xdr:row>
      <xdr:rowOff>2170569</xdr:rowOff>
    </xdr:to>
    <xdr:sp macro="" textlink="">
      <xdr:nvSpPr>
        <xdr:cNvPr id="91" name="Text Box 251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>
          <a:spLocks noChangeArrowheads="1"/>
        </xdr:cNvSpPr>
      </xdr:nvSpPr>
      <xdr:spPr bwMode="auto">
        <a:xfrm>
          <a:off x="1044794" y="8208104"/>
          <a:ext cx="264608" cy="19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</a:t>
          </a:r>
        </a:p>
      </xdr:txBody>
    </xdr:sp>
    <xdr:clientData/>
  </xdr:twoCellAnchor>
  <xdr:twoCellAnchor editAs="absolute">
    <xdr:from>
      <xdr:col>1</xdr:col>
      <xdr:colOff>2952085</xdr:colOff>
      <xdr:row>7</xdr:row>
      <xdr:rowOff>151110</xdr:rowOff>
    </xdr:from>
    <xdr:to>
      <xdr:col>1</xdr:col>
      <xdr:colOff>3413563</xdr:colOff>
      <xdr:row>7</xdr:row>
      <xdr:rowOff>375118</xdr:rowOff>
    </xdr:to>
    <xdr:sp macro="" textlink="">
      <xdr:nvSpPr>
        <xdr:cNvPr id="92" name="Text Box 24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 txBox="1">
          <a:spLocks noChangeArrowheads="1"/>
        </xdr:cNvSpPr>
      </xdr:nvSpPr>
      <xdr:spPr bwMode="auto">
        <a:xfrm>
          <a:off x="3656935" y="6380460"/>
          <a:ext cx="461478" cy="2240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BOOT1</a:t>
          </a:r>
        </a:p>
      </xdr:txBody>
    </xdr:sp>
    <xdr:clientData/>
  </xdr:twoCellAnchor>
  <xdr:twoCellAnchor editAs="absolute">
    <xdr:from>
      <xdr:col>1</xdr:col>
      <xdr:colOff>5943177</xdr:colOff>
      <xdr:row>7</xdr:row>
      <xdr:rowOff>2266758</xdr:rowOff>
    </xdr:from>
    <xdr:to>
      <xdr:col>1</xdr:col>
      <xdr:colOff>6265561</xdr:colOff>
      <xdr:row>7</xdr:row>
      <xdr:rowOff>2512008</xdr:rowOff>
    </xdr:to>
    <xdr:sp macro="" textlink="">
      <xdr:nvSpPr>
        <xdr:cNvPr id="93" name="Text Box 244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 txBox="1">
          <a:spLocks noChangeArrowheads="1"/>
        </xdr:cNvSpPr>
      </xdr:nvSpPr>
      <xdr:spPr bwMode="auto">
        <a:xfrm>
          <a:off x="6648027" y="8496108"/>
          <a:ext cx="322384" cy="24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</a:t>
          </a:r>
        </a:p>
      </xdr:txBody>
    </xdr:sp>
    <xdr:clientData/>
  </xdr:twoCellAnchor>
  <xdr:twoCellAnchor editAs="absolute">
    <xdr:from>
      <xdr:col>1</xdr:col>
      <xdr:colOff>5944154</xdr:colOff>
      <xdr:row>7</xdr:row>
      <xdr:rowOff>1390774</xdr:rowOff>
    </xdr:from>
    <xdr:to>
      <xdr:col>1</xdr:col>
      <xdr:colOff>6266538</xdr:colOff>
      <xdr:row>7</xdr:row>
      <xdr:rowOff>1656965</xdr:rowOff>
    </xdr:to>
    <xdr:sp macro="" textlink="">
      <xdr:nvSpPr>
        <xdr:cNvPr id="94" name="Text Box 24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 txBox="1">
          <a:spLocks noChangeArrowheads="1"/>
        </xdr:cNvSpPr>
      </xdr:nvSpPr>
      <xdr:spPr bwMode="auto">
        <a:xfrm>
          <a:off x="6649004" y="7620124"/>
          <a:ext cx="322384" cy="266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</a:t>
          </a:r>
        </a:p>
      </xdr:txBody>
    </xdr:sp>
    <xdr:clientData/>
  </xdr:twoCellAnchor>
  <xdr:twoCellAnchor editAs="absolute">
    <xdr:from>
      <xdr:col>1</xdr:col>
      <xdr:colOff>6867893</xdr:colOff>
      <xdr:row>7</xdr:row>
      <xdr:rowOff>3150337</xdr:rowOff>
    </xdr:from>
    <xdr:to>
      <xdr:col>1</xdr:col>
      <xdr:colOff>7347524</xdr:colOff>
      <xdr:row>7</xdr:row>
      <xdr:rowOff>3421399</xdr:rowOff>
    </xdr:to>
    <xdr:sp macro="" textlink="'Variable Management'!B428">
      <xdr:nvSpPr>
        <xdr:cNvPr id="95" name="Text Box 275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7572743" y="9379687"/>
          <a:ext cx="479631" cy="27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952677B8-8C18-463F-B0C9-D2099A1EBA1B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15mΩ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254219</xdr:colOff>
      <xdr:row>7</xdr:row>
      <xdr:rowOff>2380749</xdr:rowOff>
    </xdr:from>
    <xdr:to>
      <xdr:col>1</xdr:col>
      <xdr:colOff>687280</xdr:colOff>
      <xdr:row>7</xdr:row>
      <xdr:rowOff>2617060</xdr:rowOff>
    </xdr:to>
    <xdr:sp macro="" textlink="">
      <xdr:nvSpPr>
        <xdr:cNvPr id="96" name="Text Box 251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 txBox="1">
          <a:spLocks noChangeArrowheads="1"/>
        </xdr:cNvSpPr>
      </xdr:nvSpPr>
      <xdr:spPr bwMode="auto">
        <a:xfrm>
          <a:off x="959069" y="8610099"/>
          <a:ext cx="433061" cy="2363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SLOPE</a:t>
          </a:r>
        </a:p>
      </xdr:txBody>
    </xdr:sp>
    <xdr:clientData/>
  </xdr:twoCellAnchor>
  <xdr:twoCellAnchor editAs="absolute">
    <xdr:from>
      <xdr:col>1</xdr:col>
      <xdr:colOff>5510442</xdr:colOff>
      <xdr:row>7</xdr:row>
      <xdr:rowOff>3222811</xdr:rowOff>
    </xdr:from>
    <xdr:to>
      <xdr:col>1</xdr:col>
      <xdr:colOff>5917925</xdr:colOff>
      <xdr:row>7</xdr:row>
      <xdr:rowOff>3467178</xdr:rowOff>
    </xdr:to>
    <xdr:sp macro="" textlink="">
      <xdr:nvSpPr>
        <xdr:cNvPr id="97" name="Text Box 248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 txBox="1">
          <a:spLocks noChangeArrowheads="1"/>
        </xdr:cNvSpPr>
      </xdr:nvSpPr>
      <xdr:spPr bwMode="auto">
        <a:xfrm>
          <a:off x="6215292" y="9452161"/>
          <a:ext cx="407483" cy="244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4880097</xdr:colOff>
      <xdr:row>7</xdr:row>
      <xdr:rowOff>3625880</xdr:rowOff>
    </xdr:from>
    <xdr:to>
      <xdr:col>1</xdr:col>
      <xdr:colOff>5341575</xdr:colOff>
      <xdr:row>7</xdr:row>
      <xdr:rowOff>3876702</xdr:rowOff>
    </xdr:to>
    <xdr:sp macro="" textlink="">
      <xdr:nvSpPr>
        <xdr:cNvPr id="98" name="Text Box 24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 txBox="1">
          <a:spLocks noChangeArrowheads="1"/>
        </xdr:cNvSpPr>
      </xdr:nvSpPr>
      <xdr:spPr bwMode="auto">
        <a:xfrm>
          <a:off x="5584947" y="9855230"/>
          <a:ext cx="461478" cy="250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BOOT2</a:t>
          </a:r>
        </a:p>
      </xdr:txBody>
    </xdr:sp>
    <xdr:clientData/>
  </xdr:twoCellAnchor>
  <xdr:twoCellAnchor editAs="absolute">
    <xdr:from>
      <xdr:col>1</xdr:col>
      <xdr:colOff>4940561</xdr:colOff>
      <xdr:row>7</xdr:row>
      <xdr:rowOff>3837855</xdr:rowOff>
    </xdr:from>
    <xdr:to>
      <xdr:col>1</xdr:col>
      <xdr:colOff>5310038</xdr:colOff>
      <xdr:row>7</xdr:row>
      <xdr:rowOff>4065180</xdr:rowOff>
    </xdr:to>
    <xdr:sp macro="" textlink="">
      <xdr:nvSpPr>
        <xdr:cNvPr id="99" name="Text Box 27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 txBox="1">
          <a:spLocks noChangeArrowheads="1"/>
        </xdr:cNvSpPr>
      </xdr:nvSpPr>
      <xdr:spPr bwMode="auto">
        <a:xfrm>
          <a:off x="5645411" y="10067205"/>
          <a:ext cx="369477" cy="22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5094928</xdr:colOff>
      <xdr:row>7</xdr:row>
      <xdr:rowOff>2386949</xdr:rowOff>
    </xdr:from>
    <xdr:to>
      <xdr:col>1</xdr:col>
      <xdr:colOff>5365431</xdr:colOff>
      <xdr:row>7</xdr:row>
      <xdr:rowOff>2623978</xdr:rowOff>
    </xdr:to>
    <xdr:sp macro="" textlink="">
      <xdr:nvSpPr>
        <xdr:cNvPr id="100" name="Text Box 27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>
          <a:spLocks noChangeArrowheads="1"/>
        </xdr:cNvSpPr>
      </xdr:nvSpPr>
      <xdr:spPr bwMode="auto">
        <a:xfrm>
          <a:off x="5799778" y="8616299"/>
          <a:ext cx="270503" cy="2370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2444899</xdr:colOff>
      <xdr:row>7</xdr:row>
      <xdr:rowOff>47625</xdr:rowOff>
    </xdr:from>
    <xdr:to>
      <xdr:col>1</xdr:col>
      <xdr:colOff>2821188</xdr:colOff>
      <xdr:row>7</xdr:row>
      <xdr:rowOff>283294</xdr:rowOff>
    </xdr:to>
    <xdr:sp macro="" textlink="">
      <xdr:nvSpPr>
        <xdr:cNvPr id="101" name="Text Box 27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 txBox="1">
          <a:spLocks noChangeArrowheads="1"/>
        </xdr:cNvSpPr>
      </xdr:nvSpPr>
      <xdr:spPr bwMode="auto">
        <a:xfrm>
          <a:off x="3149749" y="6276975"/>
          <a:ext cx="376289" cy="2356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0.1</a:t>
          </a:r>
          <a:r>
            <a:rPr lang="el-GR" sz="1000" b="0" i="0">
              <a:latin typeface="Arial" pitchFamily="34" charset="0"/>
              <a:ea typeface="+mn-ea"/>
              <a:cs typeface="Arial" pitchFamily="34" charset="0"/>
            </a:rPr>
            <a:t>μ</a:t>
          </a:r>
          <a:r>
            <a:rPr lang="en-US" sz="1000" b="0" i="0">
              <a:latin typeface="Arial" pitchFamily="34" charset="0"/>
              <a:ea typeface="+mn-ea"/>
              <a:cs typeface="Arial" pitchFamily="34" charset="0"/>
            </a:rPr>
            <a:t>F</a:t>
          </a:r>
          <a:endParaRPr lang="en-US" sz="10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2144579</xdr:colOff>
      <xdr:row>7</xdr:row>
      <xdr:rowOff>488027</xdr:rowOff>
    </xdr:from>
    <xdr:to>
      <xdr:col>1</xdr:col>
      <xdr:colOff>2471641</xdr:colOff>
      <xdr:row>7</xdr:row>
      <xdr:rowOff>715157</xdr:rowOff>
    </xdr:to>
    <xdr:sp macro="" textlink="">
      <xdr:nvSpPr>
        <xdr:cNvPr id="102" name="Text Box 245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>
          <a:spLocks noChangeArrowheads="1"/>
        </xdr:cNvSpPr>
      </xdr:nvSpPr>
      <xdr:spPr bwMode="auto">
        <a:xfrm>
          <a:off x="2849429" y="6717377"/>
          <a:ext cx="327062" cy="227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2451906</xdr:colOff>
      <xdr:row>7</xdr:row>
      <xdr:rowOff>508323</xdr:rowOff>
    </xdr:from>
    <xdr:to>
      <xdr:col>1</xdr:col>
      <xdr:colOff>2822138</xdr:colOff>
      <xdr:row>7</xdr:row>
      <xdr:rowOff>732466</xdr:rowOff>
    </xdr:to>
    <xdr:sp macro="" textlink="">
      <xdr:nvSpPr>
        <xdr:cNvPr id="103" name="Text Box 277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>
          <a:spLocks noChangeArrowheads="1"/>
        </xdr:cNvSpPr>
      </xdr:nvSpPr>
      <xdr:spPr bwMode="auto">
        <a:xfrm>
          <a:off x="3156756" y="6737673"/>
          <a:ext cx="370232" cy="2241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l-GR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2Ω</a:t>
          </a:r>
        </a:p>
      </xdr:txBody>
    </xdr:sp>
    <xdr:clientData/>
  </xdr:twoCellAnchor>
  <xdr:twoCellAnchor editAs="absolute">
    <xdr:from>
      <xdr:col>1</xdr:col>
      <xdr:colOff>4627899</xdr:colOff>
      <xdr:row>7</xdr:row>
      <xdr:rowOff>4767713</xdr:rowOff>
    </xdr:from>
    <xdr:to>
      <xdr:col>1</xdr:col>
      <xdr:colOff>4940204</xdr:colOff>
      <xdr:row>8</xdr:row>
      <xdr:rowOff>1691</xdr:rowOff>
    </xdr:to>
    <xdr:sp macro="" textlink="">
      <xdr:nvSpPr>
        <xdr:cNvPr id="104" name="Text Box 250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 txBox="1">
          <a:spLocks noChangeArrowheads="1"/>
        </xdr:cNvSpPr>
      </xdr:nvSpPr>
      <xdr:spPr bwMode="auto">
        <a:xfrm>
          <a:off x="5332749" y="10997063"/>
          <a:ext cx="312305" cy="2250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CS2</a:t>
          </a:r>
        </a:p>
        <a:p>
          <a:pPr algn="l" rtl="0">
            <a:defRPr sz="1000"/>
          </a:pP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ood</a:t>
          </a:r>
        </a:p>
      </xdr:txBody>
    </xdr:sp>
    <xdr:clientData/>
  </xdr:twoCellAnchor>
  <xdr:twoCellAnchor editAs="absolute">
    <xdr:from>
      <xdr:col>1</xdr:col>
      <xdr:colOff>2028048</xdr:colOff>
      <xdr:row>7</xdr:row>
      <xdr:rowOff>61062</xdr:rowOff>
    </xdr:from>
    <xdr:to>
      <xdr:col>1</xdr:col>
      <xdr:colOff>2352330</xdr:colOff>
      <xdr:row>7</xdr:row>
      <xdr:rowOff>279753</xdr:rowOff>
    </xdr:to>
    <xdr:sp macro="" textlink="">
      <xdr:nvSpPr>
        <xdr:cNvPr id="105" name="Text Box 245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 txBox="1">
          <a:spLocks noChangeArrowheads="1"/>
        </xdr:cNvSpPr>
      </xdr:nvSpPr>
      <xdr:spPr bwMode="auto">
        <a:xfrm>
          <a:off x="2732898" y="6290412"/>
          <a:ext cx="324282" cy="218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7319710</xdr:colOff>
      <xdr:row>7</xdr:row>
      <xdr:rowOff>2263019</xdr:rowOff>
    </xdr:from>
    <xdr:to>
      <xdr:col>1</xdr:col>
      <xdr:colOff>7598272</xdr:colOff>
      <xdr:row>7</xdr:row>
      <xdr:rowOff>2553389</xdr:rowOff>
    </xdr:to>
    <xdr:sp macro="" textlink="">
      <xdr:nvSpPr>
        <xdr:cNvPr id="106" name="Text Box 24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 txBox="1">
          <a:spLocks noChangeArrowheads="1"/>
        </xdr:cNvSpPr>
      </xdr:nvSpPr>
      <xdr:spPr bwMode="auto">
        <a:xfrm>
          <a:off x="8024560" y="8492369"/>
          <a:ext cx="278562" cy="290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</a:t>
          </a:r>
        </a:p>
      </xdr:txBody>
    </xdr:sp>
    <xdr:clientData/>
  </xdr:twoCellAnchor>
  <xdr:twoCellAnchor editAs="absolute">
    <xdr:from>
      <xdr:col>1</xdr:col>
      <xdr:colOff>7311161</xdr:colOff>
      <xdr:row>7</xdr:row>
      <xdr:rowOff>1389309</xdr:rowOff>
    </xdr:from>
    <xdr:to>
      <xdr:col>1</xdr:col>
      <xdr:colOff>7590944</xdr:colOff>
      <xdr:row>7</xdr:row>
      <xdr:rowOff>1653226</xdr:rowOff>
    </xdr:to>
    <xdr:sp macro="" textlink="">
      <xdr:nvSpPr>
        <xdr:cNvPr id="107" name="Text Box 244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 txBox="1">
          <a:spLocks noChangeArrowheads="1"/>
        </xdr:cNvSpPr>
      </xdr:nvSpPr>
      <xdr:spPr bwMode="auto">
        <a:xfrm>
          <a:off x="8016011" y="7618659"/>
          <a:ext cx="279783" cy="263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Q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3</a:t>
          </a:r>
        </a:p>
      </xdr:txBody>
    </xdr:sp>
    <xdr:clientData/>
  </xdr:twoCellAnchor>
  <xdr:twoCellAnchor editAs="absolute">
    <xdr:from>
      <xdr:col>1</xdr:col>
      <xdr:colOff>663203</xdr:colOff>
      <xdr:row>7</xdr:row>
      <xdr:rowOff>3831246</xdr:rowOff>
    </xdr:from>
    <xdr:to>
      <xdr:col>1</xdr:col>
      <xdr:colOff>1167405</xdr:colOff>
      <xdr:row>7</xdr:row>
      <xdr:rowOff>4074649</xdr:rowOff>
    </xdr:to>
    <xdr:sp macro="" textlink="'Variable Management'!B442">
      <xdr:nvSpPr>
        <xdr:cNvPr id="108" name="Text Box 261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368053" y="10060596"/>
          <a:ext cx="504202" cy="2434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r" rtl="0">
            <a:defRPr sz="1000"/>
          </a:pPr>
          <a:fld id="{B9060F6D-CAA3-48E6-BAE7-37C16D6980D0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r" rtl="0">
              <a:defRPr sz="1000"/>
            </a:pPr>
            <a:t>27nF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4854635</xdr:colOff>
      <xdr:row>7</xdr:row>
      <xdr:rowOff>4489457</xdr:rowOff>
    </xdr:from>
    <xdr:to>
      <xdr:col>1</xdr:col>
      <xdr:colOff>5248259</xdr:colOff>
      <xdr:row>7</xdr:row>
      <xdr:rowOff>4722477</xdr:rowOff>
    </xdr:to>
    <xdr:sp macro="" textlink="'Variable Management'!B467">
      <xdr:nvSpPr>
        <xdr:cNvPr id="109" name="Text Box 270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 txBox="1">
          <a:spLocks noChangeArrowheads="1" noTextEdit="1"/>
        </xdr:cNvSpPr>
      </xdr:nvSpPr>
      <xdr:spPr bwMode="auto">
        <a:xfrm>
          <a:off x="5559485" y="10718807"/>
          <a:ext cx="393624" cy="233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fld id="{62E2AFC2-CB14-431A-99E1-2EF4D5A6CD34}" type="TxLink">
            <a:rPr lang="en-US" sz="1000" b="0" i="0" u="none" strike="noStrike" baseline="0">
              <a:solidFill>
                <a:srgbClr val="000000"/>
              </a:solidFill>
              <a:latin typeface="Arialri"/>
              <a:cs typeface="Arial" pitchFamily="34" charset="0"/>
            </a:rPr>
            <a:pPr algn="l" rtl="0">
              <a:defRPr sz="1000"/>
            </a:pPr>
            <a:t> </a:t>
          </a:fld>
          <a:endParaRPr lang="el-G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1654331</xdr:colOff>
      <xdr:row>7</xdr:row>
      <xdr:rowOff>430264</xdr:rowOff>
    </xdr:from>
    <xdr:to>
      <xdr:col>1</xdr:col>
      <xdr:colOff>2003826</xdr:colOff>
      <xdr:row>7</xdr:row>
      <xdr:rowOff>671909</xdr:rowOff>
    </xdr:to>
    <xdr:sp macro="" textlink="">
      <xdr:nvSpPr>
        <xdr:cNvPr id="110" name="Text Box 248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 txBox="1">
          <a:spLocks noChangeArrowheads="1"/>
        </xdr:cNvSpPr>
      </xdr:nvSpPr>
      <xdr:spPr bwMode="auto">
        <a:xfrm>
          <a:off x="2359181" y="6659614"/>
          <a:ext cx="349495" cy="2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D</a:t>
          </a:r>
          <a:r>
            <a:rPr lang="en-US" sz="1000" b="0" i="0" strike="noStrike" baseline="-2500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VIN</a:t>
          </a:r>
        </a:p>
      </xdr:txBody>
    </xdr:sp>
    <xdr:clientData/>
  </xdr:twoCellAnchor>
  <xdr:twoCellAnchor editAs="absolute">
    <xdr:from>
      <xdr:col>1</xdr:col>
      <xdr:colOff>6290995</xdr:colOff>
      <xdr:row>7</xdr:row>
      <xdr:rowOff>1006446</xdr:rowOff>
    </xdr:from>
    <xdr:to>
      <xdr:col>1</xdr:col>
      <xdr:colOff>7281596</xdr:colOff>
      <xdr:row>7</xdr:row>
      <xdr:rowOff>1266695</xdr:rowOff>
    </xdr:to>
    <xdr:sp macro="" textlink="'Variable Management'!B475">
      <xdr:nvSpPr>
        <xdr:cNvPr id="111" name="Text Box 283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 txBox="1">
          <a:spLocks noChangeArrowheads="1" noTextEdit="1"/>
        </xdr:cNvSpPr>
      </xdr:nvSpPr>
      <xdr:spPr bwMode="auto">
        <a:xfrm>
          <a:off x="6995845" y="7235796"/>
          <a:ext cx="990601" cy="260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fld id="{B114F7CE-60BB-40BD-BD7F-B22E7592FFCF}" type="TxLink">
            <a:rPr lang="en-US" sz="1200" b="1" i="0" u="none" strike="noStrike">
              <a:solidFill>
                <a:srgbClr val="FF0000"/>
              </a:solidFill>
              <a:latin typeface="Arial"/>
              <a:cs typeface="Arial"/>
            </a:rPr>
            <a:pPr algn="l" rtl="0">
              <a:defRPr sz="1000"/>
            </a:pPr>
            <a:t>9V...36V</a:t>
          </a:fld>
          <a:endParaRPr lang="en-US" sz="1200" b="1" i="0" strike="noStrike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1</xdr:col>
      <xdr:colOff>713956</xdr:colOff>
      <xdr:row>7</xdr:row>
      <xdr:rowOff>1516768</xdr:rowOff>
    </xdr:from>
    <xdr:to>
      <xdr:col>1</xdr:col>
      <xdr:colOff>1196832</xdr:colOff>
      <xdr:row>7</xdr:row>
      <xdr:rowOff>1701897</xdr:rowOff>
    </xdr:to>
    <xdr:sp macro="" textlink="'Variable Management'!C450">
      <xdr:nvSpPr>
        <xdr:cNvPr id="112" name="Text Box 26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418806" y="7746118"/>
          <a:ext cx="482876" cy="185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fld id="{DF2A2C16-623E-4E51-B82E-2B3F1562B3CF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ctr" rtl="0">
              <a:defRPr sz="1000"/>
            </a:pPr>
            <a:t>Cd</a:t>
          </a:fld>
          <a:endParaRPr lang="en-US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4</xdr:row>
      <xdr:rowOff>1009650</xdr:rowOff>
    </xdr:from>
    <xdr:to>
      <xdr:col>5</xdr:col>
      <xdr:colOff>240968</xdr:colOff>
      <xdr:row>4</xdr:row>
      <xdr:rowOff>1238250</xdr:rowOff>
    </xdr:to>
    <xdr:sp macro="" textlink="'Variable Management'!$B$457">
      <xdr:nvSpPr>
        <xdr:cNvPr id="5" name="Text Box 2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753725" y="1657350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F0AFB1C-0795-4024-9821-D34D86340D40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96.7%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419100</xdr:colOff>
      <xdr:row>4</xdr:row>
      <xdr:rowOff>1000125</xdr:rowOff>
    </xdr:from>
    <xdr:to>
      <xdr:col>4</xdr:col>
      <xdr:colOff>231443</xdr:colOff>
      <xdr:row>4</xdr:row>
      <xdr:rowOff>1228725</xdr:rowOff>
    </xdr:to>
    <xdr:sp macro="" textlink="'Variable Management'!$B$458">
      <xdr:nvSpPr>
        <xdr:cNvPr id="7" name="Text Box 2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 noTextEdit="1"/>
        </xdr:cNvSpPr>
      </xdr:nvSpPr>
      <xdr:spPr bwMode="auto">
        <a:xfrm>
          <a:off x="10134600" y="1647825"/>
          <a:ext cx="421943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27432" tIns="22860" rIns="0" bIns="22860" anchor="b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fld id="{17D4567B-D519-4FF8-A1F3-102CF08055AD}" type="TxLink"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pPr algn="l" rtl="0">
              <a:defRPr sz="1000"/>
            </a:pPr>
            <a:t>96.2%</a:t>
          </a:fld>
          <a:endParaRPr lang="en-US" sz="900" b="1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25400</xdr:colOff>
      <xdr:row>4</xdr:row>
      <xdr:rowOff>12700</xdr:rowOff>
    </xdr:from>
    <xdr:to>
      <xdr:col>1</xdr:col>
      <xdr:colOff>8150225</xdr:colOff>
      <xdr:row>4</xdr:row>
      <xdr:rowOff>5165725</xdr:rowOff>
    </xdr:to>
    <xdr:graphicFrame macro="">
      <xdr:nvGraphicFramePr>
        <xdr:cNvPr id="8" name="Chart 253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6</xdr:row>
      <xdr:rowOff>6350</xdr:rowOff>
    </xdr:from>
    <xdr:to>
      <xdr:col>1</xdr:col>
      <xdr:colOff>8162925</xdr:colOff>
      <xdr:row>6</xdr:row>
      <xdr:rowOff>5159375</xdr:rowOff>
    </xdr:to>
    <xdr:graphicFrame macro="">
      <xdr:nvGraphicFramePr>
        <xdr:cNvPr id="9" name="Chart 253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628650</xdr:colOff>
      <xdr:row>59</xdr:row>
      <xdr:rowOff>66675</xdr:rowOff>
    </xdr:from>
    <xdr:to>
      <xdr:col>45</xdr:col>
      <xdr:colOff>381000</xdr:colOff>
      <xdr:row>89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495300</xdr:colOff>
      <xdr:row>59</xdr:row>
      <xdr:rowOff>47625</xdr:rowOff>
    </xdr:from>
    <xdr:to>
      <xdr:col>34</xdr:col>
      <xdr:colOff>457200</xdr:colOff>
      <xdr:row>88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95250</xdr:colOff>
      <xdr:row>59</xdr:row>
      <xdr:rowOff>31507</xdr:rowOff>
    </xdr:from>
    <xdr:to>
      <xdr:col>23</xdr:col>
      <xdr:colOff>327512</xdr:colOff>
      <xdr:row>88</xdr:row>
      <xdr:rowOff>21982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142874</xdr:colOff>
      <xdr:row>92</xdr:row>
      <xdr:rowOff>66675</xdr:rowOff>
    </xdr:from>
    <xdr:to>
      <xdr:col>24</xdr:col>
      <xdr:colOff>171449</xdr:colOff>
      <xdr:row>121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533400</xdr:colOff>
      <xdr:row>55</xdr:row>
      <xdr:rowOff>66675</xdr:rowOff>
    </xdr:from>
    <xdr:to>
      <xdr:col>45</xdr:col>
      <xdr:colOff>285750</xdr:colOff>
      <xdr:row>84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400050</xdr:colOff>
      <xdr:row>55</xdr:row>
      <xdr:rowOff>47625</xdr:rowOff>
    </xdr:from>
    <xdr:to>
      <xdr:col>34</xdr:col>
      <xdr:colOff>361950</xdr:colOff>
      <xdr:row>84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55</xdr:row>
      <xdr:rowOff>31507</xdr:rowOff>
    </xdr:from>
    <xdr:to>
      <xdr:col>23</xdr:col>
      <xdr:colOff>232262</xdr:colOff>
      <xdr:row>83</xdr:row>
      <xdr:rowOff>145807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14</xdr:row>
      <xdr:rowOff>142875</xdr:rowOff>
    </xdr:from>
    <xdr:to>
      <xdr:col>10</xdr:col>
      <xdr:colOff>304800</xdr:colOff>
      <xdr:row>40</xdr:row>
      <xdr:rowOff>66675</xdr:rowOff>
    </xdr:to>
    <xdr:graphicFrame macro="">
      <xdr:nvGraphicFramePr>
        <xdr:cNvPr id="2" name="Chart 102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0196876/Desktop/LM5177/Quickstart%20Tool/customer/Valeo_LM5177%20Buck-Boost%20Quickstart%20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ign Converter"/>
      <sheetName val="Licenses"/>
      <sheetName val="BOM &amp; Schematic"/>
      <sheetName val="EVMs"/>
      <sheetName val="Variable Management"/>
      <sheetName val="Timings"/>
      <sheetName val="CFG Setting"/>
      <sheetName val="Schematic Management"/>
      <sheetName val="Efficiency Plot Management"/>
      <sheetName val="Efficiency vs VIN Calculations"/>
      <sheetName val="Efficiency vs Load Calculations"/>
      <sheetName val="Stability Calculations"/>
      <sheetName val="Standard Value Calculator"/>
      <sheetName val="Snubber"/>
      <sheetName val="Parallel Output Caps"/>
    </sheetNames>
    <sheetDataSet>
      <sheetData sheetId="0"/>
      <sheetData sheetId="1"/>
      <sheetData sheetId="2"/>
      <sheetData sheetId="3"/>
      <sheetData sheetId="4">
        <row r="7">
          <cell r="B7">
            <v>12</v>
          </cell>
        </row>
        <row r="8">
          <cell r="B8">
            <v>44</v>
          </cell>
        </row>
        <row r="9">
          <cell r="B9">
            <v>45</v>
          </cell>
        </row>
        <row r="10">
          <cell r="B10">
            <v>4.0422641076474628</v>
          </cell>
          <cell r="L10">
            <v>2</v>
          </cell>
          <cell r="O10">
            <v>9</v>
          </cell>
        </row>
        <row r="12">
          <cell r="B12">
            <v>5</v>
          </cell>
        </row>
        <row r="13">
          <cell r="B13">
            <v>10</v>
          </cell>
        </row>
        <row r="14">
          <cell r="B14">
            <v>0.5</v>
          </cell>
        </row>
        <row r="15">
          <cell r="B15">
            <v>50</v>
          </cell>
        </row>
        <row r="16">
          <cell r="B16">
            <v>0.95</v>
          </cell>
        </row>
        <row r="17">
          <cell r="B17">
            <v>52.631578947368425</v>
          </cell>
        </row>
        <row r="18">
          <cell r="B18">
            <v>4.3859649122807021</v>
          </cell>
        </row>
        <row r="19">
          <cell r="B19">
            <v>1.1961722488038278</v>
          </cell>
        </row>
        <row r="20">
          <cell r="B20">
            <v>1.169590643274854</v>
          </cell>
        </row>
        <row r="22">
          <cell r="B22">
            <v>450000</v>
          </cell>
        </row>
        <row r="24">
          <cell r="B24">
            <v>1</v>
          </cell>
        </row>
        <row r="26">
          <cell r="B26">
            <v>67332.727333333343</v>
          </cell>
        </row>
        <row r="34">
          <cell r="B34">
            <v>1</v>
          </cell>
        </row>
        <row r="36">
          <cell r="B36">
            <v>0.19154717847050734</v>
          </cell>
        </row>
        <row r="37">
          <cell r="B37">
            <v>0.87445282152949255</v>
          </cell>
        </row>
        <row r="40">
          <cell r="B40">
            <v>4.0422641076474628</v>
          </cell>
        </row>
        <row r="41">
          <cell r="B41">
            <v>4.4622641076474636</v>
          </cell>
        </row>
        <row r="43">
          <cell r="B43">
            <v>5.7178613607244966</v>
          </cell>
        </row>
        <row r="48">
          <cell r="B48">
            <v>0.11363636363636363</v>
          </cell>
        </row>
        <row r="51">
          <cell r="B51">
            <v>0.41666666666666669</v>
          </cell>
        </row>
        <row r="52">
          <cell r="B52">
            <v>0.11363636363636363</v>
          </cell>
        </row>
        <row r="53">
          <cell r="B53">
            <v>0.1111111111111111</v>
          </cell>
        </row>
        <row r="54">
          <cell r="B54">
            <v>0.19154717847050734</v>
          </cell>
        </row>
        <row r="64">
          <cell r="B64">
            <v>1.697530864197531E-6</v>
          </cell>
        </row>
        <row r="66">
          <cell r="B66">
            <v>2.2000000000000001E-6</v>
          </cell>
        </row>
        <row r="67">
          <cell r="B67">
            <v>0.01</v>
          </cell>
        </row>
        <row r="69">
          <cell r="B69">
            <v>0.11617691608603453</v>
          </cell>
        </row>
        <row r="70">
          <cell r="B70">
            <v>0.88382308391396547</v>
          </cell>
        </row>
        <row r="72">
          <cell r="B72">
            <v>0.42563817980022195</v>
          </cell>
        </row>
        <row r="73">
          <cell r="B73">
            <v>0.11617691608603453</v>
          </cell>
        </row>
        <row r="74">
          <cell r="B74">
            <v>0.11359597156398103</v>
          </cell>
        </row>
        <row r="76">
          <cell r="B76">
            <v>0.15</v>
          </cell>
        </row>
        <row r="78">
          <cell r="B78">
            <v>3.0095628874763163</v>
          </cell>
        </row>
        <row r="79">
          <cell r="B79">
            <v>4.5766663912680263</v>
          </cell>
        </row>
        <row r="80">
          <cell r="B80">
            <v>4.5897362248073135</v>
          </cell>
        </row>
        <row r="81">
          <cell r="B81">
            <v>0.7821053378307824</v>
          </cell>
        </row>
        <row r="100">
          <cell r="B100">
            <v>12</v>
          </cell>
        </row>
        <row r="108">
          <cell r="B108">
            <v>0.05</v>
          </cell>
        </row>
        <row r="112">
          <cell r="B112">
            <v>0.05</v>
          </cell>
        </row>
        <row r="121">
          <cell r="B121">
            <v>4.7640742050262617E-3</v>
          </cell>
        </row>
        <row r="122">
          <cell r="B122">
            <v>1.3333333333333333E-3</v>
          </cell>
        </row>
        <row r="127">
          <cell r="B127">
            <v>39.00478144373816</v>
          </cell>
        </row>
        <row r="128">
          <cell r="B128">
            <v>39.78833319563401</v>
          </cell>
        </row>
        <row r="129">
          <cell r="B129">
            <v>39.794868112403655</v>
          </cell>
        </row>
        <row r="137">
          <cell r="B137">
            <v>42.089736224807311</v>
          </cell>
        </row>
        <row r="139">
          <cell r="B139">
            <v>82500</v>
          </cell>
        </row>
        <row r="141">
          <cell r="B141">
            <v>83000</v>
          </cell>
        </row>
        <row r="143">
          <cell r="B143">
            <v>0</v>
          </cell>
        </row>
        <row r="154">
          <cell r="B154">
            <v>10</v>
          </cell>
        </row>
        <row r="155">
          <cell r="B155">
            <v>50</v>
          </cell>
        </row>
        <row r="156">
          <cell r="B156">
            <v>5</v>
          </cell>
        </row>
        <row r="157">
          <cell r="B157">
            <v>1</v>
          </cell>
        </row>
        <row r="167">
          <cell r="B167">
            <v>5.5732646064376223E-6</v>
          </cell>
        </row>
        <row r="169">
          <cell r="B169">
            <v>2.0000000000000001E-4</v>
          </cell>
        </row>
        <row r="170">
          <cell r="B170">
            <v>4.9821769605255535E-2</v>
          </cell>
        </row>
        <row r="173">
          <cell r="B173">
            <v>8.0000000000000004E-4</v>
          </cell>
        </row>
        <row r="174">
          <cell r="B174">
            <v>7.3564929434952802E-3</v>
          </cell>
        </row>
        <row r="183">
          <cell r="B183">
            <v>0.18</v>
          </cell>
        </row>
        <row r="187">
          <cell r="B187">
            <v>3.0864197530864198E-5</v>
          </cell>
        </row>
        <row r="189">
          <cell r="B189">
            <v>1E-4</v>
          </cell>
        </row>
        <row r="192">
          <cell r="B192">
            <v>1.0121657532779785E-2</v>
          </cell>
        </row>
        <row r="194">
          <cell r="B194">
            <v>2E-3</v>
          </cell>
        </row>
        <row r="198">
          <cell r="B198">
            <v>8.0145291780362865E-2</v>
          </cell>
        </row>
        <row r="203">
          <cell r="B203">
            <v>3.0000000000000001E-3</v>
          </cell>
        </row>
        <row r="204">
          <cell r="B204">
            <v>1.0000000000000001E-5</v>
          </cell>
        </row>
        <row r="205">
          <cell r="B205">
            <v>3.0000000000000004E-8</v>
          </cell>
        </row>
        <row r="206">
          <cell r="B206">
            <v>3.2999999999999998E-8</v>
          </cell>
        </row>
        <row r="210">
          <cell r="B210">
            <v>4.0999999999999996</v>
          </cell>
        </row>
        <row r="212">
          <cell r="B212">
            <v>75</v>
          </cell>
        </row>
        <row r="213">
          <cell r="B213">
            <v>39.263803680981603</v>
          </cell>
        </row>
        <row r="218">
          <cell r="B218">
            <v>1.28</v>
          </cell>
        </row>
        <row r="219">
          <cell r="B219">
            <v>1.23</v>
          </cell>
        </row>
        <row r="221">
          <cell r="B221">
            <v>5.0000000000000001E-3</v>
          </cell>
        </row>
        <row r="236">
          <cell r="B236">
            <v>3.1415926535897931</v>
          </cell>
        </row>
        <row r="237">
          <cell r="B237">
            <v>5</v>
          </cell>
        </row>
        <row r="238">
          <cell r="B238">
            <v>6.6666666666666662E-3</v>
          </cell>
        </row>
        <row r="239">
          <cell r="B239">
            <v>5.0000000000000001E-4</v>
          </cell>
        </row>
        <row r="240">
          <cell r="B240">
            <v>2.4999999999999998E-12</v>
          </cell>
        </row>
        <row r="241">
          <cell r="B241">
            <v>1.8749999999999999E-3</v>
          </cell>
        </row>
        <row r="242">
          <cell r="B242">
            <v>0</v>
          </cell>
        </row>
        <row r="244">
          <cell r="B244">
            <v>0</v>
          </cell>
        </row>
        <row r="245">
          <cell r="B245">
            <v>352409.63855421683</v>
          </cell>
        </row>
        <row r="246">
          <cell r="B246">
            <v>352409.63855421683</v>
          </cell>
        </row>
        <row r="248">
          <cell r="B248">
            <v>0</v>
          </cell>
        </row>
        <row r="251">
          <cell r="B251">
            <v>1666.6666666666665</v>
          </cell>
        </row>
        <row r="254">
          <cell r="B254">
            <v>52861445.783132531</v>
          </cell>
        </row>
        <row r="255">
          <cell r="B255">
            <v>17727272.727272727</v>
          </cell>
        </row>
        <row r="256">
          <cell r="B256">
            <v>2272727.2727272725</v>
          </cell>
        </row>
        <row r="262">
          <cell r="B262">
            <v>1.9697867298578197E-6</v>
          </cell>
        </row>
        <row r="264">
          <cell r="B264">
            <v>1.2763596004439511E-6</v>
          </cell>
        </row>
        <row r="273">
          <cell r="B273">
            <v>24.259036144578317</v>
          </cell>
        </row>
        <row r="274">
          <cell r="B274">
            <v>2.8183400064967539</v>
          </cell>
        </row>
        <row r="275">
          <cell r="B275">
            <v>3.9819277108433737</v>
          </cell>
        </row>
        <row r="276">
          <cell r="B276">
            <v>3.5193196293200675</v>
          </cell>
        </row>
        <row r="278">
          <cell r="B278">
            <v>24.259036144578317</v>
          </cell>
        </row>
        <row r="279">
          <cell r="B279">
            <v>2.8183400064967539</v>
          </cell>
        </row>
        <row r="280">
          <cell r="B280">
            <v>0.13730077783749636</v>
          </cell>
        </row>
        <row r="282">
          <cell r="B282">
            <v>5.1644682192855942E-3</v>
          </cell>
        </row>
        <row r="283">
          <cell r="B283">
            <v>22.49547210880371</v>
          </cell>
        </row>
        <row r="287">
          <cell r="B287">
            <v>13</v>
          </cell>
        </row>
        <row r="288">
          <cell r="B288">
            <v>6.1213439650728982E-12</v>
          </cell>
        </row>
        <row r="289">
          <cell r="B289">
            <v>10000000</v>
          </cell>
        </row>
        <row r="292">
          <cell r="B292">
            <v>5000</v>
          </cell>
        </row>
        <row r="293">
          <cell r="B293">
            <v>0.2</v>
          </cell>
        </row>
        <row r="294">
          <cell r="B294">
            <v>150</v>
          </cell>
        </row>
        <row r="295">
          <cell r="B295">
            <v>34.548220888889361</v>
          </cell>
        </row>
        <row r="296">
          <cell r="B296">
            <v>33.143365646773709</v>
          </cell>
        </row>
        <row r="297">
          <cell r="B297">
            <v>34.548220888889361</v>
          </cell>
        </row>
        <row r="303">
          <cell r="B303">
            <v>0.5</v>
          </cell>
        </row>
        <row r="306">
          <cell r="B306">
            <v>1591.5494309189535</v>
          </cell>
        </row>
        <row r="307">
          <cell r="B307">
            <v>3183.098861837907</v>
          </cell>
        </row>
        <row r="308">
          <cell r="B308">
            <v>1591.5494309189535</v>
          </cell>
        </row>
        <row r="310">
          <cell r="B310">
            <v>0.48219126808545959</v>
          </cell>
        </row>
        <row r="311">
          <cell r="B311">
            <v>36071.212385318155</v>
          </cell>
        </row>
        <row r="312">
          <cell r="B312">
            <v>994718.39432434586</v>
          </cell>
        </row>
        <row r="313">
          <cell r="B313">
            <v>28255.183747999388</v>
          </cell>
        </row>
        <row r="314">
          <cell r="B314">
            <v>11932.69613388343</v>
          </cell>
        </row>
        <row r="317">
          <cell r="B317">
            <v>20000</v>
          </cell>
        </row>
        <row r="318">
          <cell r="B318">
            <v>1675.516081914556</v>
          </cell>
        </row>
        <row r="319">
          <cell r="B319">
            <v>3.9788735772973844E-8</v>
          </cell>
        </row>
        <row r="320">
          <cell r="B320">
            <v>6.723687250684391E-10</v>
          </cell>
        </row>
        <row r="323">
          <cell r="B323">
            <v>2000</v>
          </cell>
        </row>
        <row r="324">
          <cell r="B324">
            <v>3.3000000000000004E-8</v>
          </cell>
        </row>
        <row r="325">
          <cell r="B325">
            <v>2.1999999999999998E-9</v>
          </cell>
        </row>
        <row r="330">
          <cell r="B330">
            <v>2411.438531695384</v>
          </cell>
        </row>
        <row r="333">
          <cell r="B333">
            <v>178700</v>
          </cell>
        </row>
        <row r="334">
          <cell r="B334">
            <v>44675</v>
          </cell>
        </row>
        <row r="335">
          <cell r="B335">
            <v>44200</v>
          </cell>
        </row>
        <row r="348">
          <cell r="B348">
            <v>25</v>
          </cell>
        </row>
        <row r="350">
          <cell r="B350">
            <v>4.0000000000000001E-3</v>
          </cell>
        </row>
        <row r="351">
          <cell r="B351">
            <v>20</v>
          </cell>
        </row>
        <row r="354">
          <cell r="B354">
            <v>7.5</v>
          </cell>
        </row>
        <row r="356">
          <cell r="B356">
            <v>1.5</v>
          </cell>
        </row>
        <row r="357">
          <cell r="B357">
            <v>1</v>
          </cell>
        </row>
        <row r="359">
          <cell r="B359">
            <v>1.5</v>
          </cell>
        </row>
        <row r="360">
          <cell r="B360">
            <v>1</v>
          </cell>
        </row>
        <row r="362">
          <cell r="B362">
            <v>4.9999999999999998E-8</v>
          </cell>
        </row>
        <row r="364">
          <cell r="B364">
            <v>3.0000000000000001E-3</v>
          </cell>
        </row>
        <row r="367">
          <cell r="B367">
            <v>3.5000000000000001E-3</v>
          </cell>
          <cell r="D367">
            <v>3.5000000000000001E-3</v>
          </cell>
        </row>
        <row r="368">
          <cell r="B368">
            <v>4.0000000000000001E-3</v>
          </cell>
        </row>
        <row r="369">
          <cell r="B369">
            <v>6.7000000000000004E-8</v>
          </cell>
          <cell r="D369">
            <v>6.7000000000000004E-8</v>
          </cell>
        </row>
        <row r="370">
          <cell r="B370">
            <v>1.0310000000000001E-8</v>
          </cell>
        </row>
        <row r="371">
          <cell r="B371">
            <v>1.125E-8</v>
          </cell>
        </row>
        <row r="372">
          <cell r="B372">
            <v>0.63</v>
          </cell>
          <cell r="D372">
            <v>0.63</v>
          </cell>
        </row>
        <row r="373">
          <cell r="B373">
            <v>117</v>
          </cell>
          <cell r="D373">
            <v>117</v>
          </cell>
        </row>
        <row r="374">
          <cell r="B374">
            <v>2</v>
          </cell>
          <cell r="D374">
            <v>2</v>
          </cell>
        </row>
        <row r="375">
          <cell r="B375">
            <v>2.0854700854700856</v>
          </cell>
        </row>
        <row r="377">
          <cell r="B377">
            <v>0.75</v>
          </cell>
          <cell r="D377">
            <v>0.75</v>
          </cell>
        </row>
        <row r="378">
          <cell r="D378">
            <v>4.4999999999999999E-8</v>
          </cell>
        </row>
        <row r="379">
          <cell r="D379">
            <v>4.0000000000000001E-8</v>
          </cell>
        </row>
        <row r="380">
          <cell r="B380">
            <v>65</v>
          </cell>
          <cell r="D380">
            <v>65</v>
          </cell>
        </row>
        <row r="384">
          <cell r="B384">
            <v>3.5000000000000001E-3</v>
          </cell>
          <cell r="D384">
            <v>3.5000000000000001E-3</v>
          </cell>
        </row>
        <row r="385">
          <cell r="B385">
            <v>4.0000000000000001E-3</v>
          </cell>
        </row>
        <row r="386">
          <cell r="B386">
            <v>6.7000000000000004E-8</v>
          </cell>
          <cell r="D386">
            <v>6.7000000000000004E-8</v>
          </cell>
        </row>
        <row r="387">
          <cell r="D387">
            <v>1.0310000000000001E-8</v>
          </cell>
        </row>
        <row r="388">
          <cell r="D388">
            <v>1.125E-8</v>
          </cell>
        </row>
        <row r="389">
          <cell r="D389">
            <v>1</v>
          </cell>
        </row>
        <row r="390">
          <cell r="B390">
            <v>117</v>
          </cell>
          <cell r="D390">
            <v>117</v>
          </cell>
        </row>
        <row r="391">
          <cell r="B391">
            <v>2</v>
          </cell>
          <cell r="D391">
            <v>2</v>
          </cell>
        </row>
        <row r="392">
          <cell r="D392">
            <v>2.0102236944342207</v>
          </cell>
        </row>
        <row r="394">
          <cell r="B394">
            <v>0.75</v>
          </cell>
          <cell r="D394">
            <v>0.75</v>
          </cell>
        </row>
        <row r="395">
          <cell r="B395">
            <v>5.5999999999999999E-8</v>
          </cell>
        </row>
        <row r="397">
          <cell r="B397">
            <v>65</v>
          </cell>
          <cell r="D397">
            <v>65</v>
          </cell>
        </row>
        <row r="400">
          <cell r="B400">
            <v>0</v>
          </cell>
          <cell r="D400">
            <v>0</v>
          </cell>
        </row>
        <row r="401">
          <cell r="B401">
            <v>0</v>
          </cell>
          <cell r="D401">
            <v>0</v>
          </cell>
        </row>
        <row r="402">
          <cell r="B402">
            <v>0</v>
          </cell>
        </row>
        <row r="405">
          <cell r="B405">
            <v>30.5</v>
          </cell>
        </row>
        <row r="408">
          <cell r="B408">
            <v>6.2686051302288858E-9</v>
          </cell>
          <cell r="D408">
            <v>7.2566709065378439E-9</v>
          </cell>
        </row>
        <row r="409">
          <cell r="B409">
            <v>1.2454769877049178E-8</v>
          </cell>
          <cell r="D409">
            <v>1.5853956994059729E-8</v>
          </cell>
        </row>
      </sheetData>
      <sheetData sheetId="5">
        <row r="2">
          <cell r="B2">
            <v>2E-8</v>
          </cell>
        </row>
        <row r="4">
          <cell r="B4">
            <v>1</v>
          </cell>
        </row>
        <row r="5">
          <cell r="B5">
            <v>0</v>
          </cell>
        </row>
        <row r="6">
          <cell r="B6">
            <v>1</v>
          </cell>
        </row>
        <row r="8">
          <cell r="B8">
            <v>9.9999999999999995E-7</v>
          </cell>
        </row>
        <row r="9">
          <cell r="B9">
            <v>9.9999999999999995E-7</v>
          </cell>
        </row>
        <row r="10">
          <cell r="B10">
            <v>7.4999999999999997E-8</v>
          </cell>
        </row>
        <row r="11">
          <cell r="B11">
            <v>7.4999999999999997E-8</v>
          </cell>
        </row>
        <row r="12">
          <cell r="B12">
            <v>1.0000000000000002E-6</v>
          </cell>
        </row>
        <row r="13">
          <cell r="B13">
            <v>1.0000000000000002E-6</v>
          </cell>
        </row>
        <row r="14">
          <cell r="B14">
            <v>2</v>
          </cell>
        </row>
        <row r="15">
          <cell r="B15">
            <v>0.91666800000000004</v>
          </cell>
        </row>
        <row r="17">
          <cell r="B17">
            <v>4.4999999999999998E-7</v>
          </cell>
        </row>
        <row r="18">
          <cell r="B18">
            <v>2.8958229999999996E-7</v>
          </cell>
        </row>
        <row r="20">
          <cell r="B20">
            <v>1.6666666666666665E-7</v>
          </cell>
        </row>
        <row r="21">
          <cell r="B21">
            <v>2.5899372993446077E-7</v>
          </cell>
        </row>
        <row r="22">
          <cell r="B22">
            <v>2.5899372993446077E-7</v>
          </cell>
        </row>
        <row r="25">
          <cell r="B25">
            <v>3.3333333333333334E-8</v>
          </cell>
        </row>
        <row r="26">
          <cell r="B26">
            <v>3.3333333333333334E-8</v>
          </cell>
        </row>
        <row r="28">
          <cell r="B28">
            <v>2.3899372993446075E-7</v>
          </cell>
        </row>
        <row r="29">
          <cell r="B29">
            <v>2.7899372993446079E-7</v>
          </cell>
        </row>
        <row r="30">
          <cell r="B30">
            <v>1.9432284922877611E-6</v>
          </cell>
        </row>
        <row r="32">
          <cell r="B32">
            <v>2.3899372993446075E-7</v>
          </cell>
        </row>
        <row r="33">
          <cell r="B33">
            <v>1.8666666666666664E-7</v>
          </cell>
        </row>
        <row r="34">
          <cell r="B34">
            <v>2.0355555555555556E-6</v>
          </cell>
        </row>
        <row r="35">
          <cell r="B35">
            <v>1.8666666666666643E-7</v>
          </cell>
        </row>
        <row r="36">
          <cell r="B36">
            <v>1.3333333333333334E-8</v>
          </cell>
        </row>
        <row r="37">
          <cell r="B37">
            <v>3.3333333333333334E-8</v>
          </cell>
        </row>
        <row r="39">
          <cell r="B39">
            <v>4.2566039660112745E-7</v>
          </cell>
        </row>
        <row r="40">
          <cell r="B40">
            <v>1.7965618256210947E-6</v>
          </cell>
        </row>
        <row r="41">
          <cell r="B41">
            <v>3.7232706326779411E-7</v>
          </cell>
        </row>
      </sheetData>
      <sheetData sheetId="6"/>
      <sheetData sheetId="7">
        <row r="2">
          <cell r="A2" t="str">
            <v>SCH_RCS</v>
          </cell>
        </row>
      </sheetData>
      <sheetData sheetId="8">
        <row r="2">
          <cell r="A2" t="str">
            <v>EFF_VIN</v>
          </cell>
        </row>
      </sheetData>
      <sheetData sheetId="9"/>
      <sheetData sheetId="10"/>
      <sheetData sheetId="11">
        <row r="3">
          <cell r="K3">
            <v>994718.39432434586</v>
          </cell>
          <cell r="N3">
            <v>225000</v>
          </cell>
          <cell r="Q3">
            <v>34548.220888889366</v>
          </cell>
        </row>
        <row r="4">
          <cell r="C4">
            <v>2411.438531695384</v>
          </cell>
          <cell r="K4">
            <v>1591.5494309189535</v>
          </cell>
          <cell r="N4">
            <v>30892.675013436681</v>
          </cell>
        </row>
        <row r="5">
          <cell r="C5">
            <v>0.48219126808545959</v>
          </cell>
          <cell r="K5">
            <v>10000000</v>
          </cell>
          <cell r="N5">
            <v>50625000000.010002</v>
          </cell>
        </row>
        <row r="6">
          <cell r="Q6">
            <v>57.295779513082323</v>
          </cell>
        </row>
        <row r="7">
          <cell r="C7">
            <v>36071.212385318155</v>
          </cell>
        </row>
      </sheetData>
      <sheetData sheetId="12">
        <row r="21">
          <cell r="O21">
            <v>4.99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noFill/>
        <a:ln w="9525">
          <a:noFill/>
          <a:miter lim="800000"/>
          <a:headEnd/>
          <a:tailEnd/>
        </a:ln>
      </a:spPr>
      <a:bodyPr vertOverflow="clip" wrap="square" lIns="27432" tIns="27432" rIns="0" bIns="0" anchor="t" upright="1"/>
      <a:lstStyle>
        <a:defPPr algn="l" rtl="0">
          <a:defRPr sz="1100" b="0" i="0" strike="noStrike">
            <a:solidFill>
              <a:srgbClr val="000000"/>
            </a:solidFill>
            <a:latin typeface="Calibri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www.ti.com/product/lm5176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.ti.com/pol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5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ti.com/nexfe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AI462"/>
  <sheetViews>
    <sheetView tabSelected="1" zoomScaleNormal="100" zoomScaleSheetLayoutView="100" workbookViewId="0">
      <selection activeCell="E98" sqref="E98"/>
    </sheetView>
  </sheetViews>
  <sheetFormatPr defaultColWidth="9.140625" defaultRowHeight="12.75" x14ac:dyDescent="0.2"/>
  <cols>
    <col min="1" max="1" width="8.28515625" style="199" customWidth="1"/>
    <col min="2" max="2" width="8.28515625" style="82" customWidth="1"/>
    <col min="3" max="3" width="13.5703125" style="82" customWidth="1"/>
    <col min="4" max="4" width="8.28515625" style="82" customWidth="1"/>
    <col min="5" max="5" width="6.85546875" style="82" customWidth="1"/>
    <col min="6" max="6" width="7.5703125" style="82" customWidth="1"/>
    <col min="7" max="8" width="11.85546875" style="82" customWidth="1"/>
    <col min="9" max="9" width="9.140625" style="82"/>
    <col min="10" max="10" width="12.42578125" style="82" bestFit="1" customWidth="1"/>
    <col min="11" max="11" width="9.140625" style="82"/>
    <col min="12" max="12" width="12.42578125" style="82" bestFit="1" customWidth="1"/>
    <col min="13" max="15" width="9.140625" style="82"/>
    <col min="16" max="16" width="10.140625" style="82" customWidth="1"/>
    <col min="17" max="17" width="37.28515625" style="82" customWidth="1"/>
    <col min="18" max="18" width="3.140625" style="82" customWidth="1"/>
    <col min="19" max="19" width="10" style="82" bestFit="1" customWidth="1"/>
    <col min="20" max="16384" width="9.140625" style="82"/>
  </cols>
  <sheetData>
    <row r="1" spans="1:18" ht="47.25" customHeight="1" x14ac:dyDescent="0.2">
      <c r="A1" s="643" t="s">
        <v>956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644"/>
      <c r="P1" s="644"/>
      <c r="Q1" s="644"/>
      <c r="R1" s="552"/>
    </row>
    <row r="2" spans="1:18" ht="14.1" customHeight="1" x14ac:dyDescent="0.45">
      <c r="A2" s="555"/>
      <c r="B2" s="556"/>
      <c r="C2" s="556"/>
      <c r="D2" s="556"/>
      <c r="E2" s="556"/>
      <c r="F2" s="556"/>
      <c r="G2" s="556"/>
      <c r="H2" s="556"/>
      <c r="I2" s="556"/>
      <c r="J2" s="556"/>
      <c r="K2" s="556"/>
      <c r="L2" s="556"/>
      <c r="M2" s="556"/>
      <c r="N2" s="556"/>
      <c r="O2" s="637" t="s">
        <v>959</v>
      </c>
      <c r="P2" s="556"/>
      <c r="Q2" s="556"/>
      <c r="R2" s="552"/>
    </row>
    <row r="3" spans="1:18" ht="15.95" customHeight="1" x14ac:dyDescent="0.45">
      <c r="A3" s="557" t="s">
        <v>299</v>
      </c>
      <c r="B3" s="558"/>
      <c r="C3" s="569" t="s">
        <v>300</v>
      </c>
      <c r="D3" s="559"/>
      <c r="E3" s="124"/>
      <c r="F3" s="563" t="s">
        <v>177</v>
      </c>
      <c r="G3" s="564"/>
      <c r="H3" s="556"/>
      <c r="I3" s="556"/>
      <c r="J3" s="564"/>
      <c r="K3" s="565"/>
      <c r="L3" s="566"/>
      <c r="M3" s="552"/>
      <c r="N3" s="552"/>
      <c r="O3" s="642" t="s">
        <v>55</v>
      </c>
      <c r="P3" s="642"/>
      <c r="Q3" s="552" t="s">
        <v>201</v>
      </c>
      <c r="R3" s="552"/>
    </row>
    <row r="4" spans="1:18" ht="13.5" customHeight="1" thickBot="1" x14ac:dyDescent="0.35">
      <c r="A4" s="560"/>
      <c r="B4" s="561"/>
      <c r="C4" s="562"/>
      <c r="D4" s="562"/>
      <c r="E4" s="562"/>
      <c r="F4" s="562"/>
      <c r="G4" s="562"/>
      <c r="H4" s="562"/>
      <c r="I4" s="562"/>
      <c r="J4" s="562"/>
      <c r="K4" s="562"/>
      <c r="L4" s="562"/>
      <c r="M4" s="567"/>
      <c r="N4" s="567"/>
      <c r="O4" s="567"/>
      <c r="P4" s="567"/>
      <c r="Q4" s="568"/>
      <c r="R4" s="552"/>
    </row>
    <row r="5" spans="1:18" ht="20.100000000000001" customHeight="1" thickBot="1" x14ac:dyDescent="0.35">
      <c r="A5" s="194" t="s">
        <v>281</v>
      </c>
      <c r="B5" s="123"/>
      <c r="C5" s="83"/>
      <c r="D5" s="83"/>
      <c r="E5" s="85"/>
      <c r="F5" s="83"/>
      <c r="G5" s="112"/>
      <c r="H5" s="86"/>
      <c r="I5" s="86"/>
      <c r="J5" s="86"/>
      <c r="K5" s="86"/>
      <c r="L5" s="639" t="s">
        <v>975</v>
      </c>
      <c r="M5" s="638" t="s">
        <v>979</v>
      </c>
      <c r="N5" s="86"/>
      <c r="O5" s="86"/>
      <c r="P5" s="86"/>
      <c r="Q5" s="111"/>
      <c r="R5" s="552"/>
    </row>
    <row r="6" spans="1:18" ht="13.5" customHeight="1" x14ac:dyDescent="0.2">
      <c r="A6" s="282"/>
      <c r="B6" s="283"/>
      <c r="C6" s="284"/>
      <c r="D6" s="285" t="s">
        <v>727</v>
      </c>
      <c r="E6" s="286">
        <v>9</v>
      </c>
      <c r="F6" s="287" t="s">
        <v>0</v>
      </c>
      <c r="G6" s="134"/>
      <c r="H6" s="132"/>
      <c r="I6" s="86"/>
      <c r="J6" s="86"/>
      <c r="K6" s="86"/>
      <c r="L6" s="86"/>
      <c r="M6" s="86"/>
      <c r="N6" s="86"/>
      <c r="O6" s="86"/>
      <c r="P6" s="86"/>
      <c r="Q6" s="111"/>
      <c r="R6" s="552"/>
    </row>
    <row r="7" spans="1:18" ht="13.5" customHeight="1" x14ac:dyDescent="0.2">
      <c r="A7" s="272"/>
      <c r="B7" s="271"/>
      <c r="C7" s="273"/>
      <c r="D7" s="288" t="s">
        <v>728</v>
      </c>
      <c r="E7" s="289">
        <v>12</v>
      </c>
      <c r="F7" s="305" t="s">
        <v>0</v>
      </c>
      <c r="G7" s="134"/>
      <c r="H7" s="132"/>
      <c r="I7" s="86"/>
      <c r="J7" s="86"/>
      <c r="K7" s="86"/>
      <c r="L7" s="86"/>
      <c r="M7" s="86"/>
      <c r="N7" s="86"/>
      <c r="O7" s="86"/>
      <c r="P7" s="86"/>
      <c r="Q7" s="111"/>
      <c r="R7" s="552"/>
    </row>
    <row r="8" spans="1:18" ht="13.5" customHeight="1" x14ac:dyDescent="0.2">
      <c r="A8" s="272"/>
      <c r="B8" s="271"/>
      <c r="C8" s="273"/>
      <c r="D8" s="288" t="s">
        <v>729</v>
      </c>
      <c r="E8" s="289">
        <v>36</v>
      </c>
      <c r="F8" s="290" t="s">
        <v>0</v>
      </c>
      <c r="G8" s="134"/>
      <c r="H8" s="132"/>
      <c r="I8" s="86"/>
      <c r="J8" s="86"/>
      <c r="K8" s="86"/>
      <c r="L8" s="86"/>
      <c r="M8" s="86"/>
      <c r="N8" s="86"/>
      <c r="O8" s="86"/>
      <c r="P8" s="86"/>
      <c r="Q8" s="111"/>
      <c r="R8" s="552"/>
    </row>
    <row r="9" spans="1:18" ht="13.5" customHeight="1" x14ac:dyDescent="0.2">
      <c r="A9" s="272"/>
      <c r="B9" s="271"/>
      <c r="C9" s="273"/>
      <c r="D9" s="288" t="s">
        <v>360</v>
      </c>
      <c r="E9" s="289">
        <v>12</v>
      </c>
      <c r="F9" s="290" t="s">
        <v>0</v>
      </c>
      <c r="G9" s="134"/>
      <c r="H9" s="132"/>
      <c r="I9" s="86"/>
      <c r="J9" s="86"/>
      <c r="K9" s="86"/>
      <c r="L9" s="86"/>
      <c r="M9" s="86"/>
      <c r="N9" s="86"/>
      <c r="O9" s="86"/>
      <c r="P9" s="86"/>
      <c r="Q9" s="111"/>
      <c r="R9" s="552"/>
    </row>
    <row r="10" spans="1:18" ht="13.5" customHeight="1" x14ac:dyDescent="0.2">
      <c r="A10" s="272"/>
      <c r="B10" s="271"/>
      <c r="C10" s="273"/>
      <c r="D10" s="288" t="s">
        <v>887</v>
      </c>
      <c r="E10" s="289">
        <v>4</v>
      </c>
      <c r="F10" s="290" t="s">
        <v>2</v>
      </c>
      <c r="G10" s="134"/>
      <c r="H10" s="132"/>
      <c r="I10" s="86"/>
      <c r="J10" s="86"/>
      <c r="K10" s="86"/>
      <c r="L10" s="86"/>
      <c r="M10" s="86"/>
      <c r="N10" s="86"/>
      <c r="O10" s="86"/>
      <c r="P10" s="86"/>
      <c r="Q10" s="111"/>
      <c r="R10" s="552"/>
    </row>
    <row r="11" spans="1:18" ht="13.5" customHeight="1" x14ac:dyDescent="0.2">
      <c r="A11" s="272"/>
      <c r="B11" s="271"/>
      <c r="C11" s="273"/>
      <c r="D11" s="288" t="s">
        <v>98</v>
      </c>
      <c r="E11" s="291">
        <v>370</v>
      </c>
      <c r="F11" s="290" t="s">
        <v>3</v>
      </c>
      <c r="G11" s="134"/>
      <c r="H11" s="132"/>
      <c r="I11" s="86"/>
      <c r="J11" s="86"/>
      <c r="K11" s="86"/>
      <c r="L11" s="86"/>
      <c r="M11" s="86"/>
      <c r="N11" s="86"/>
      <c r="O11" s="86"/>
      <c r="P11" s="86"/>
      <c r="Q11" s="111"/>
      <c r="R11" s="552"/>
    </row>
    <row r="12" spans="1:18" ht="17.25" customHeight="1" thickBot="1" x14ac:dyDescent="0.25">
      <c r="A12" s="277"/>
      <c r="B12" s="278"/>
      <c r="C12" s="279"/>
      <c r="D12" s="279" t="s">
        <v>362</v>
      </c>
      <c r="E12" s="279">
        <f>IF('Standard Value Calculator'!O4/1000&gt;288, "N/A",'Standard Value Calculator'!O4/1000)</f>
        <v>21.5</v>
      </c>
      <c r="F12" s="281" t="s">
        <v>54</v>
      </c>
      <c r="G12" s="134"/>
      <c r="H12" s="132"/>
      <c r="I12" s="86"/>
      <c r="J12" s="86"/>
      <c r="K12" s="86"/>
      <c r="L12" s="86"/>
      <c r="M12" s="86"/>
      <c r="N12" s="86"/>
      <c r="O12" s="86"/>
      <c r="P12" s="86"/>
      <c r="Q12" s="111"/>
      <c r="R12" s="552"/>
    </row>
    <row r="13" spans="1:18" ht="14.1" customHeight="1" x14ac:dyDescent="0.2">
      <c r="A13" s="131"/>
      <c r="B13" s="132"/>
      <c r="C13" s="132"/>
      <c r="D13" s="137"/>
      <c r="E13" s="138"/>
      <c r="F13" s="132"/>
      <c r="G13" s="134"/>
      <c r="H13" s="132"/>
      <c r="I13" s="86"/>
      <c r="J13" s="86"/>
      <c r="K13" s="86"/>
      <c r="L13" s="86"/>
      <c r="M13" s="86"/>
      <c r="N13" s="86"/>
      <c r="O13" s="86"/>
      <c r="P13" s="86"/>
      <c r="Q13" s="111"/>
      <c r="R13" s="552"/>
    </row>
    <row r="14" spans="1:18" ht="19.5" customHeight="1" thickBot="1" x14ac:dyDescent="0.35">
      <c r="A14" s="194" t="s">
        <v>280</v>
      </c>
      <c r="B14" s="139"/>
      <c r="C14" s="140"/>
      <c r="D14" s="140"/>
      <c r="E14" s="141"/>
      <c r="F14" s="140"/>
      <c r="G14" s="134"/>
      <c r="H14" s="132"/>
      <c r="I14" s="86"/>
      <c r="J14" s="86"/>
      <c r="K14" s="86"/>
      <c r="L14" s="86"/>
      <c r="M14" s="86"/>
      <c r="N14" s="86"/>
      <c r="O14" s="86"/>
      <c r="P14" s="86"/>
      <c r="Q14" s="111"/>
      <c r="R14" s="552"/>
    </row>
    <row r="15" spans="1:18" ht="13.5" customHeight="1" x14ac:dyDescent="0.2">
      <c r="A15" s="195"/>
      <c r="B15" s="161"/>
      <c r="C15" s="162"/>
      <c r="D15" s="162" t="s">
        <v>294</v>
      </c>
      <c r="E15" s="450">
        <f>Lopt*1000000</f>
        <v>5.0886824324324325</v>
      </c>
      <c r="F15" s="169" t="s">
        <v>270</v>
      </c>
      <c r="G15" s="134"/>
      <c r="H15" s="132"/>
      <c r="I15" s="86"/>
      <c r="J15" s="86"/>
      <c r="K15" s="86"/>
      <c r="L15" s="86"/>
      <c r="M15" s="86"/>
      <c r="N15" s="86"/>
      <c r="O15" s="86"/>
      <c r="P15" s="86"/>
      <c r="Q15" s="111"/>
      <c r="R15" s="552"/>
    </row>
    <row r="16" spans="1:18" ht="13.5" customHeight="1" x14ac:dyDescent="0.25">
      <c r="A16" s="131"/>
      <c r="B16" s="132"/>
      <c r="C16" s="129"/>
      <c r="D16" s="160" t="s">
        <v>361</v>
      </c>
      <c r="E16" s="133">
        <v>4.7</v>
      </c>
      <c r="F16" s="165" t="s">
        <v>270</v>
      </c>
      <c r="G16" s="134"/>
      <c r="H16" s="132"/>
      <c r="I16" s="86"/>
      <c r="J16" s="86"/>
      <c r="K16" s="86"/>
      <c r="L16" s="86"/>
      <c r="M16" s="86"/>
      <c r="N16" s="86"/>
      <c r="O16" s="86"/>
      <c r="P16" s="86"/>
      <c r="Q16" s="111"/>
      <c r="R16" s="552"/>
    </row>
    <row r="17" spans="1:18" ht="13.5" customHeight="1" x14ac:dyDescent="0.2">
      <c r="A17" s="131"/>
      <c r="B17" s="132"/>
      <c r="C17" s="129"/>
      <c r="D17" s="160" t="s">
        <v>295</v>
      </c>
      <c r="E17" s="133">
        <v>13.2</v>
      </c>
      <c r="F17" s="165" t="s">
        <v>53</v>
      </c>
      <c r="G17" s="134"/>
      <c r="H17" s="132"/>
      <c r="I17" s="86"/>
      <c r="J17" s="86"/>
      <c r="K17" s="86"/>
      <c r="L17" s="86"/>
      <c r="M17" s="86"/>
      <c r="N17" s="86"/>
      <c r="O17" s="86"/>
      <c r="P17" s="86"/>
      <c r="Q17" s="111"/>
      <c r="R17" s="552"/>
    </row>
    <row r="18" spans="1:18" ht="13.5" customHeight="1" x14ac:dyDescent="0.2">
      <c r="A18" s="272"/>
      <c r="B18" s="271"/>
      <c r="C18" s="273"/>
      <c r="D18" s="273" t="s">
        <v>730</v>
      </c>
      <c r="E18" s="274">
        <f>'Variable Management'!B78</f>
        <v>1.3374902371409199</v>
      </c>
      <c r="F18" s="275" t="s">
        <v>286</v>
      </c>
      <c r="G18" s="134"/>
      <c r="H18" s="132"/>
      <c r="I18" s="86"/>
      <c r="J18" s="86"/>
      <c r="K18" s="86"/>
      <c r="L18" s="86"/>
      <c r="M18" s="86"/>
      <c r="N18" s="86"/>
      <c r="O18" s="86"/>
      <c r="P18" s="86"/>
      <c r="Q18" s="111"/>
      <c r="R18" s="552"/>
    </row>
    <row r="19" spans="1:18" ht="13.5" customHeight="1" x14ac:dyDescent="0.2">
      <c r="A19" s="272"/>
      <c r="B19" s="271"/>
      <c r="C19" s="273"/>
      <c r="D19" s="273" t="s">
        <v>731</v>
      </c>
      <c r="E19" s="274">
        <f>'Variable Management'!B79</f>
        <v>3.3924332034399783E-2</v>
      </c>
      <c r="F19" s="275" t="s">
        <v>286</v>
      </c>
      <c r="G19" s="134"/>
      <c r="H19" s="132"/>
      <c r="I19" s="86"/>
      <c r="J19" s="86"/>
      <c r="K19" s="86"/>
      <c r="L19" s="86"/>
      <c r="M19" s="86"/>
      <c r="N19" s="86"/>
      <c r="O19" s="86"/>
      <c r="P19" s="86"/>
      <c r="Q19" s="111"/>
      <c r="R19" s="552"/>
    </row>
    <row r="20" spans="1:18" ht="13.5" customHeight="1" x14ac:dyDescent="0.2">
      <c r="A20" s="272"/>
      <c r="B20" s="271"/>
      <c r="C20" s="273"/>
      <c r="D20" s="273" t="s">
        <v>732</v>
      </c>
      <c r="E20" s="274">
        <f>'Variable Management'!B80</f>
        <v>4.6358618327322976</v>
      </c>
      <c r="F20" s="275" t="s">
        <v>286</v>
      </c>
      <c r="G20" s="134"/>
      <c r="H20" s="132"/>
      <c r="I20" s="86"/>
      <c r="J20" s="86"/>
      <c r="K20" s="86"/>
      <c r="L20" s="86"/>
      <c r="M20" s="86"/>
      <c r="N20" s="86"/>
      <c r="O20" s="86"/>
      <c r="P20" s="86"/>
      <c r="Q20" s="111"/>
      <c r="R20" s="552"/>
    </row>
    <row r="21" spans="1:18" ht="15" customHeight="1" x14ac:dyDescent="0.2">
      <c r="A21" s="272"/>
      <c r="B21" s="271"/>
      <c r="C21" s="273"/>
      <c r="D21" s="273" t="s">
        <v>413</v>
      </c>
      <c r="E21" s="276">
        <f>'Variable Management'!B90*100</f>
        <v>22.570147751753026</v>
      </c>
      <c r="F21" s="275" t="s">
        <v>187</v>
      </c>
      <c r="G21" s="134"/>
      <c r="H21" s="132"/>
      <c r="I21" s="86"/>
      <c r="J21" s="86"/>
      <c r="K21" s="86"/>
      <c r="L21" s="86"/>
      <c r="M21" s="86"/>
      <c r="N21" s="86"/>
      <c r="O21" s="86"/>
      <c r="P21" s="86"/>
      <c r="Q21" s="111"/>
      <c r="R21" s="552"/>
    </row>
    <row r="22" spans="1:18" ht="15" customHeight="1" x14ac:dyDescent="0.2">
      <c r="A22" s="272"/>
      <c r="B22" s="271"/>
      <c r="C22" s="273"/>
      <c r="D22" s="273" t="s">
        <v>414</v>
      </c>
      <c r="E22" s="276">
        <f>'Variable Management'!B91*100</f>
        <v>0.76329747077399523</v>
      </c>
      <c r="F22" s="275" t="s">
        <v>187</v>
      </c>
      <c r="G22" s="134"/>
      <c r="H22" s="132"/>
      <c r="I22" s="86"/>
      <c r="J22" s="86"/>
      <c r="K22" s="86"/>
      <c r="L22" s="86"/>
      <c r="M22" s="86"/>
      <c r="N22" s="86"/>
      <c r="O22" s="86"/>
      <c r="P22" s="86"/>
      <c r="Q22" s="111"/>
      <c r="R22" s="552"/>
    </row>
    <row r="23" spans="1:18" ht="15.75" customHeight="1" thickBot="1" x14ac:dyDescent="0.25">
      <c r="A23" s="277"/>
      <c r="B23" s="278"/>
      <c r="C23" s="279"/>
      <c r="D23" s="279" t="s">
        <v>415</v>
      </c>
      <c r="E23" s="280">
        <f>'Variable Management'!B92*100</f>
        <v>115.89654581830744</v>
      </c>
      <c r="F23" s="281" t="s">
        <v>187</v>
      </c>
      <c r="G23" s="134"/>
      <c r="H23" s="132"/>
      <c r="I23" s="86"/>
      <c r="J23" s="86"/>
      <c r="K23" s="86"/>
      <c r="L23" s="86"/>
      <c r="M23" s="86"/>
      <c r="N23" s="86"/>
      <c r="O23" s="86"/>
      <c r="P23" s="86"/>
      <c r="Q23" s="111"/>
      <c r="R23" s="552"/>
    </row>
    <row r="24" spans="1:18" ht="14.1" customHeight="1" x14ac:dyDescent="0.2">
      <c r="A24" s="131"/>
      <c r="B24" s="132"/>
      <c r="C24" s="132"/>
      <c r="D24" s="132"/>
      <c r="E24" s="132"/>
      <c r="F24" s="132"/>
      <c r="G24" s="134"/>
      <c r="H24" s="132"/>
      <c r="I24" s="86"/>
      <c r="J24" s="86"/>
      <c r="K24" s="86"/>
      <c r="L24" s="86"/>
      <c r="M24" s="86"/>
      <c r="N24" s="86"/>
      <c r="O24" s="86"/>
      <c r="P24" s="86"/>
      <c r="Q24" s="111"/>
      <c r="R24" s="552"/>
    </row>
    <row r="25" spans="1:18" ht="20.100000000000001" customHeight="1" thickBot="1" x14ac:dyDescent="0.35">
      <c r="A25" s="194" t="s">
        <v>671</v>
      </c>
      <c r="B25" s="139"/>
      <c r="C25" s="132"/>
      <c r="D25" s="132"/>
      <c r="E25" s="132"/>
      <c r="F25" s="132"/>
      <c r="G25" s="134"/>
      <c r="H25" s="132"/>
      <c r="I25" s="86"/>
      <c r="J25" s="86"/>
      <c r="K25" s="86"/>
      <c r="L25" s="86"/>
      <c r="M25" s="86"/>
      <c r="N25" s="86"/>
      <c r="O25" s="86"/>
      <c r="P25" s="86"/>
      <c r="Q25" s="111"/>
      <c r="R25" s="552"/>
    </row>
    <row r="26" spans="1:18" ht="15" customHeight="1" x14ac:dyDescent="0.25">
      <c r="A26" s="282"/>
      <c r="B26" s="161"/>
      <c r="C26" s="161"/>
      <c r="D26" s="163" t="s">
        <v>740</v>
      </c>
      <c r="E26" s="323">
        <v>15</v>
      </c>
      <c r="F26" s="164" t="s">
        <v>2</v>
      </c>
      <c r="G26" s="134"/>
      <c r="H26" s="132"/>
      <c r="I26" s="86"/>
      <c r="J26" s="86"/>
      <c r="K26" s="86"/>
      <c r="L26" s="86"/>
      <c r="M26" s="86"/>
      <c r="N26" s="86"/>
      <c r="O26" s="86"/>
      <c r="P26" s="86"/>
      <c r="Q26" s="111"/>
      <c r="R26" s="552"/>
    </row>
    <row r="27" spans="1:18" ht="15" customHeight="1" x14ac:dyDescent="0.2">
      <c r="A27" s="272"/>
      <c r="B27" s="132"/>
      <c r="C27" s="132"/>
      <c r="D27" s="129" t="s">
        <v>419</v>
      </c>
      <c r="E27" s="325">
        <f>Rs_ideal*1000</f>
        <v>5.2422424187445706</v>
      </c>
      <c r="F27" s="170" t="s">
        <v>53</v>
      </c>
      <c r="G27" s="134"/>
      <c r="H27" s="132"/>
      <c r="I27" s="86"/>
      <c r="J27" s="86"/>
      <c r="K27" s="86"/>
      <c r="L27" s="86"/>
      <c r="M27" s="86"/>
      <c r="N27" s="86"/>
      <c r="O27" s="86"/>
      <c r="P27" s="86"/>
      <c r="Q27" s="111"/>
      <c r="R27" s="552"/>
    </row>
    <row r="28" spans="1:18" ht="13.7" customHeight="1" x14ac:dyDescent="0.25">
      <c r="A28" s="272"/>
      <c r="B28" s="132"/>
      <c r="C28" s="132"/>
      <c r="D28" s="160" t="s">
        <v>417</v>
      </c>
      <c r="E28" s="133">
        <v>15</v>
      </c>
      <c r="F28" s="165" t="s">
        <v>53</v>
      </c>
      <c r="G28" s="134"/>
      <c r="H28" s="132"/>
      <c r="I28" s="86"/>
      <c r="J28" s="86"/>
      <c r="K28" s="86"/>
      <c r="L28" s="86"/>
      <c r="M28" s="86"/>
      <c r="N28" s="86"/>
      <c r="O28" s="86"/>
      <c r="P28" s="86"/>
      <c r="Q28" s="111"/>
      <c r="R28" s="552"/>
    </row>
    <row r="29" spans="1:18" ht="13.5" customHeight="1" x14ac:dyDescent="0.3">
      <c r="A29" s="272"/>
      <c r="B29" s="132"/>
      <c r="C29" s="132"/>
      <c r="D29" s="591" t="s">
        <v>940</v>
      </c>
      <c r="E29" s="617">
        <f>'Variable Management'!B135</f>
        <v>9.9691951660656315</v>
      </c>
      <c r="F29" s="170" t="s">
        <v>2</v>
      </c>
      <c r="G29" s="134"/>
      <c r="H29" s="132"/>
      <c r="I29" s="86"/>
      <c r="J29" s="86"/>
      <c r="K29" s="86"/>
      <c r="L29" s="86"/>
      <c r="M29" s="86"/>
      <c r="N29" s="86"/>
      <c r="O29" s="86"/>
      <c r="P29" s="86"/>
      <c r="Q29" s="111"/>
      <c r="R29" s="552"/>
    </row>
    <row r="30" spans="1:18" ht="13.7" customHeight="1" x14ac:dyDescent="0.2">
      <c r="A30" s="272"/>
      <c r="B30" s="132"/>
      <c r="C30" s="132"/>
      <c r="D30" s="591" t="str">
        <f>IF('Variable Management'!B85&gt;'Variable Management'!B83, "Power Loss in Rs at Full Load (Max VIN)", "Power Loss in Rs at Full Load (Min VIN)")</f>
        <v>Power Loss in Rs at Full Load (Max VIN)</v>
      </c>
      <c r="E30" s="592">
        <f>'Variable Management'!B86</f>
        <v>0.17722257425901269</v>
      </c>
      <c r="F30" s="170" t="s">
        <v>120</v>
      </c>
      <c r="G30" s="134"/>
      <c r="H30" s="132"/>
      <c r="I30" s="86"/>
      <c r="J30" s="86"/>
      <c r="K30" s="86"/>
      <c r="L30" s="86"/>
      <c r="M30" s="86"/>
      <c r="N30" s="86"/>
      <c r="O30" s="86"/>
      <c r="P30" s="86"/>
      <c r="Q30" s="111"/>
      <c r="R30" s="552"/>
    </row>
    <row r="31" spans="1:18" ht="13.7" customHeight="1" x14ac:dyDescent="0.2">
      <c r="A31" s="272"/>
      <c r="B31" s="132"/>
      <c r="C31" s="129"/>
      <c r="D31" s="129" t="s">
        <v>416</v>
      </c>
      <c r="E31" s="159">
        <f>'Standard Value Calculator'!O14</f>
        <v>120</v>
      </c>
      <c r="F31" s="170" t="s">
        <v>32</v>
      </c>
      <c r="G31" s="134"/>
      <c r="H31" s="132"/>
      <c r="I31" s="86"/>
      <c r="J31" s="86"/>
      <c r="K31" s="86"/>
      <c r="L31" s="86"/>
      <c r="M31" s="86"/>
      <c r="N31" s="86"/>
      <c r="O31" s="86"/>
      <c r="P31" s="86"/>
      <c r="Q31" s="111"/>
      <c r="R31" s="552"/>
    </row>
    <row r="32" spans="1:18" ht="13.7" customHeight="1" x14ac:dyDescent="0.25">
      <c r="A32" s="272"/>
      <c r="B32" s="132"/>
      <c r="C32" s="132"/>
      <c r="D32" s="160" t="s">
        <v>420</v>
      </c>
      <c r="E32" s="133">
        <v>120</v>
      </c>
      <c r="F32" s="165" t="s">
        <v>32</v>
      </c>
      <c r="G32" s="134"/>
      <c r="H32" s="132"/>
      <c r="I32" s="86"/>
      <c r="J32" s="86"/>
      <c r="K32" s="86"/>
      <c r="L32" s="86"/>
      <c r="M32" s="86"/>
      <c r="N32" s="86"/>
      <c r="O32" s="86"/>
      <c r="P32" s="86"/>
      <c r="Q32" s="111"/>
      <c r="R32" s="552"/>
    </row>
    <row r="33" spans="1:18" ht="13.5" customHeight="1" x14ac:dyDescent="0.3">
      <c r="A33" s="272"/>
      <c r="B33" s="132"/>
      <c r="C33" s="117"/>
      <c r="D33" s="324" t="s">
        <v>369</v>
      </c>
      <c r="E33" s="274">
        <f>'Variable Management'!B127</f>
        <v>5.4366178922959216</v>
      </c>
      <c r="F33" s="275" t="s">
        <v>2</v>
      </c>
      <c r="G33" s="134"/>
      <c r="H33" s="132"/>
      <c r="I33" s="86"/>
      <c r="J33" s="86"/>
      <c r="K33" s="86"/>
      <c r="L33" s="86"/>
      <c r="M33" s="86"/>
      <c r="N33" s="86"/>
      <c r="O33" s="86"/>
      <c r="P33" s="86"/>
      <c r="Q33" s="111"/>
      <c r="R33" s="552"/>
    </row>
    <row r="34" spans="1:18" ht="15" customHeight="1" x14ac:dyDescent="0.3">
      <c r="A34" s="272"/>
      <c r="B34" s="132"/>
      <c r="C34" s="129" t="s">
        <v>737</v>
      </c>
      <c r="D34" s="324" t="s">
        <v>370</v>
      </c>
      <c r="E34" s="274">
        <f>'Variable Management'!B128</f>
        <v>5.290234817443296</v>
      </c>
      <c r="F34" s="275" t="s">
        <v>2</v>
      </c>
      <c r="G34" s="134"/>
      <c r="H34" s="132"/>
      <c r="I34" s="86"/>
      <c r="J34" s="86"/>
      <c r="K34" s="86"/>
      <c r="L34" s="86"/>
      <c r="M34" s="86"/>
      <c r="N34" s="86"/>
      <c r="O34" s="86"/>
      <c r="P34" s="86"/>
      <c r="Q34" s="111"/>
      <c r="R34" s="552"/>
    </row>
    <row r="35" spans="1:18" ht="15.75" customHeight="1" x14ac:dyDescent="0.3">
      <c r="A35" s="272"/>
      <c r="B35" s="132"/>
      <c r="C35" s="132"/>
      <c r="D35" s="324" t="s">
        <v>371</v>
      </c>
      <c r="E35" s="274">
        <f>'Variable Management'!B129</f>
        <v>7.6512642496994827</v>
      </c>
      <c r="F35" s="275" t="s">
        <v>2</v>
      </c>
      <c r="G35" s="134"/>
      <c r="H35" s="132"/>
      <c r="I35" s="86"/>
      <c r="J35" s="86"/>
      <c r="K35" s="86"/>
      <c r="L35" s="86"/>
      <c r="M35" s="86"/>
      <c r="N35" s="86"/>
      <c r="O35" s="86"/>
      <c r="P35" s="86"/>
      <c r="Q35" s="111"/>
      <c r="R35" s="552"/>
    </row>
    <row r="36" spans="1:18" ht="13.7" customHeight="1" x14ac:dyDescent="0.2">
      <c r="A36" s="272"/>
      <c r="B36" s="132"/>
      <c r="C36" s="132"/>
      <c r="D36" s="160" t="s">
        <v>963</v>
      </c>
      <c r="E36" s="297">
        <v>12</v>
      </c>
      <c r="F36" s="165" t="s">
        <v>2</v>
      </c>
      <c r="G36" s="134"/>
      <c r="H36" s="132"/>
      <c r="I36" s="86"/>
      <c r="J36" s="86"/>
      <c r="K36" s="86"/>
      <c r="L36" s="86"/>
      <c r="M36" s="86"/>
      <c r="N36" s="86"/>
      <c r="O36" s="86"/>
      <c r="P36" s="86"/>
      <c r="Q36" s="111"/>
      <c r="R36" s="552"/>
    </row>
    <row r="37" spans="1:18" ht="16.5" customHeight="1" thickBot="1" x14ac:dyDescent="0.35">
      <c r="A37" s="277"/>
      <c r="B37" s="167"/>
      <c r="C37" s="167"/>
      <c r="D37" s="130" t="s">
        <v>790</v>
      </c>
      <c r="E37" s="538">
        <f>Rshunt</f>
        <v>4.166666666666667</v>
      </c>
      <c r="F37" s="168" t="s">
        <v>53</v>
      </c>
      <c r="G37" s="136"/>
      <c r="H37" s="132"/>
      <c r="I37" s="86"/>
      <c r="J37" s="86"/>
      <c r="K37" s="86"/>
      <c r="L37" s="86"/>
      <c r="M37" s="86"/>
      <c r="N37" s="86"/>
      <c r="O37" s="86"/>
      <c r="P37" s="86"/>
      <c r="Q37" s="111"/>
      <c r="R37" s="552"/>
    </row>
    <row r="38" spans="1:18" ht="14.1" customHeight="1" x14ac:dyDescent="0.2">
      <c r="A38" s="131"/>
      <c r="B38" s="132"/>
      <c r="C38" s="142"/>
      <c r="D38" s="142"/>
      <c r="E38" s="142"/>
      <c r="F38" s="142"/>
      <c r="G38" s="132"/>
      <c r="H38" s="132"/>
      <c r="I38" s="86"/>
      <c r="J38" s="86"/>
      <c r="K38" s="86"/>
      <c r="L38" s="86"/>
      <c r="M38" s="86"/>
      <c r="N38" s="86"/>
      <c r="O38" s="86"/>
      <c r="P38" s="86"/>
      <c r="Q38" s="111"/>
      <c r="R38" s="552"/>
    </row>
    <row r="39" spans="1:18" ht="19.5" thickBot="1" x14ac:dyDescent="0.35">
      <c r="A39" s="194" t="s">
        <v>170</v>
      </c>
      <c r="B39" s="139"/>
      <c r="C39" s="140"/>
      <c r="D39" s="140"/>
      <c r="E39" s="141"/>
      <c r="F39" s="140"/>
      <c r="G39" s="132"/>
      <c r="H39" s="132"/>
      <c r="I39" s="86"/>
      <c r="J39" s="86"/>
      <c r="K39" s="86"/>
      <c r="L39" s="86"/>
      <c r="M39" s="86"/>
      <c r="N39" s="86"/>
      <c r="O39" s="86"/>
      <c r="P39" s="86"/>
      <c r="Q39" s="111"/>
      <c r="R39" s="552"/>
    </row>
    <row r="40" spans="1:18" ht="15.75" customHeight="1" x14ac:dyDescent="0.25">
      <c r="A40" s="181"/>
      <c r="B40" s="172"/>
      <c r="C40" s="162"/>
      <c r="D40" s="173" t="s">
        <v>846</v>
      </c>
      <c r="E40" s="174">
        <v>200</v>
      </c>
      <c r="F40" s="164" t="s">
        <v>287</v>
      </c>
      <c r="G40" s="132"/>
      <c r="H40" s="132"/>
      <c r="I40" s="86"/>
      <c r="J40" s="86"/>
      <c r="K40" s="86"/>
      <c r="L40" s="86"/>
      <c r="M40" s="86"/>
      <c r="N40" s="86"/>
      <c r="O40" s="86"/>
      <c r="P40" s="86"/>
      <c r="Q40" s="111"/>
      <c r="R40" s="552"/>
    </row>
    <row r="41" spans="1:18" ht="14.1" customHeight="1" x14ac:dyDescent="0.2">
      <c r="A41" s="131"/>
      <c r="B41" s="132"/>
      <c r="C41" s="129"/>
      <c r="D41" s="129" t="s">
        <v>605</v>
      </c>
      <c r="E41" s="582">
        <f>'Variable Management'!B168</f>
        <v>22</v>
      </c>
      <c r="F41" s="170" t="s">
        <v>271</v>
      </c>
      <c r="G41" s="132"/>
      <c r="H41" s="132"/>
      <c r="I41" s="86"/>
      <c r="J41" s="86"/>
      <c r="K41" s="86"/>
      <c r="L41" s="86"/>
      <c r="M41" s="86"/>
      <c r="N41" s="86"/>
      <c r="O41" s="86"/>
      <c r="P41" s="86"/>
      <c r="Q41" s="111"/>
      <c r="R41" s="552"/>
    </row>
    <row r="42" spans="1:18" ht="14.1" customHeight="1" x14ac:dyDescent="0.25">
      <c r="A42" s="131"/>
      <c r="B42" s="132"/>
      <c r="C42" s="129"/>
      <c r="D42" s="128" t="s">
        <v>363</v>
      </c>
      <c r="E42" s="135">
        <v>220</v>
      </c>
      <c r="F42" s="165" t="s">
        <v>271</v>
      </c>
      <c r="G42" s="134"/>
      <c r="H42" s="132"/>
      <c r="I42" s="86"/>
      <c r="J42" s="86"/>
      <c r="K42" s="86"/>
      <c r="L42" s="86"/>
      <c r="M42" s="86"/>
      <c r="N42" s="86"/>
      <c r="O42" s="86"/>
      <c r="P42" s="86"/>
      <c r="Q42" s="111"/>
      <c r="R42" s="552"/>
    </row>
    <row r="43" spans="1:18" ht="14.1" customHeight="1" x14ac:dyDescent="0.2">
      <c r="A43" s="131"/>
      <c r="B43" s="132"/>
      <c r="C43" s="129"/>
      <c r="D43" s="129" t="s">
        <v>296</v>
      </c>
      <c r="E43" s="581">
        <f>'Variable Management'!B172</f>
        <v>46.825149437089735</v>
      </c>
      <c r="F43" s="170" t="s">
        <v>53</v>
      </c>
      <c r="G43" s="134"/>
      <c r="H43" s="132"/>
      <c r="I43" s="86"/>
      <c r="J43" s="86"/>
      <c r="K43" s="86"/>
      <c r="L43" s="86"/>
      <c r="M43" s="86"/>
      <c r="N43" s="86"/>
      <c r="O43" s="86"/>
      <c r="P43" s="86"/>
      <c r="Q43" s="111"/>
      <c r="R43" s="552"/>
    </row>
    <row r="44" spans="1:18" ht="14.1" customHeight="1" x14ac:dyDescent="0.2">
      <c r="A44" s="131"/>
      <c r="B44" s="132"/>
      <c r="C44" s="129"/>
      <c r="D44" s="128" t="s">
        <v>297</v>
      </c>
      <c r="E44" s="135">
        <v>27</v>
      </c>
      <c r="F44" s="165" t="s">
        <v>53</v>
      </c>
      <c r="G44" s="134"/>
      <c r="H44" s="132"/>
      <c r="I44" s="86"/>
      <c r="J44" s="86"/>
      <c r="K44" s="86"/>
      <c r="L44" s="86"/>
      <c r="M44" s="86"/>
      <c r="N44" s="86"/>
      <c r="O44" s="86"/>
      <c r="P44" s="86"/>
      <c r="Q44" s="111"/>
      <c r="R44" s="552"/>
    </row>
    <row r="45" spans="1:18" ht="14.1" customHeight="1" x14ac:dyDescent="0.3">
      <c r="A45" s="131"/>
      <c r="B45" s="132"/>
      <c r="C45" s="132"/>
      <c r="D45" s="129" t="s">
        <v>840</v>
      </c>
      <c r="E45" s="159">
        <f>Vripple2*1000</f>
        <v>120.69940225164105</v>
      </c>
      <c r="F45" s="170" t="s">
        <v>290</v>
      </c>
      <c r="G45" s="134"/>
      <c r="H45" s="132"/>
      <c r="I45" s="86"/>
      <c r="J45" s="86"/>
      <c r="K45" s="86"/>
      <c r="L45" s="86"/>
      <c r="M45" s="86"/>
      <c r="N45" s="86"/>
      <c r="O45" s="86"/>
      <c r="P45" s="86"/>
      <c r="Q45" s="111"/>
      <c r="R45" s="552"/>
    </row>
    <row r="46" spans="1:18" ht="14.1" customHeight="1" thickBot="1" x14ac:dyDescent="0.25">
      <c r="A46" s="166"/>
      <c r="B46" s="167"/>
      <c r="C46" s="167"/>
      <c r="D46" s="130" t="s">
        <v>841</v>
      </c>
      <c r="E46" s="171">
        <f>'Variable Management'!B163</f>
        <v>2.3094010767585029</v>
      </c>
      <c r="F46" s="168" t="s">
        <v>176</v>
      </c>
      <c r="G46" s="136"/>
      <c r="H46" s="132"/>
      <c r="I46" s="86"/>
      <c r="J46" s="86"/>
      <c r="K46" s="86"/>
      <c r="L46" s="86"/>
      <c r="M46" s="86"/>
      <c r="N46" s="86"/>
      <c r="O46" s="86"/>
      <c r="P46" s="86"/>
      <c r="Q46" s="111"/>
      <c r="R46" s="552"/>
    </row>
    <row r="47" spans="1:18" ht="17.100000000000001" customHeight="1" x14ac:dyDescent="0.2">
      <c r="A47" s="196"/>
      <c r="B47" s="142"/>
      <c r="C47" s="142"/>
      <c r="D47" s="142"/>
      <c r="E47" s="142"/>
      <c r="F47" s="142"/>
      <c r="G47" s="132"/>
      <c r="H47" s="132"/>
      <c r="I47" s="86"/>
      <c r="J47" s="86"/>
      <c r="K47" s="86"/>
      <c r="L47" s="86"/>
      <c r="M47" s="288" t="s">
        <v>941</v>
      </c>
      <c r="N47" s="619" t="str">
        <f>VIN_nom&amp;"V"</f>
        <v>12V</v>
      </c>
      <c r="O47" s="86"/>
      <c r="P47" s="86"/>
      <c r="Q47" s="111"/>
      <c r="R47" s="552"/>
    </row>
    <row r="48" spans="1:18" ht="19.5" thickBot="1" x14ac:dyDescent="0.35">
      <c r="A48" s="194" t="s">
        <v>171</v>
      </c>
      <c r="B48" s="139"/>
      <c r="C48" s="140"/>
      <c r="D48" s="140"/>
      <c r="E48" s="132"/>
      <c r="F48" s="132"/>
      <c r="G48" s="132"/>
      <c r="H48" s="132"/>
      <c r="I48" s="86"/>
      <c r="J48" s="86"/>
      <c r="K48" s="86"/>
      <c r="L48" s="113"/>
      <c r="M48" s="117"/>
      <c r="N48" s="117"/>
      <c r="O48" s="86"/>
      <c r="P48" s="86"/>
      <c r="Q48" s="111"/>
      <c r="R48" s="552"/>
    </row>
    <row r="49" spans="1:18" ht="14.1" customHeight="1" x14ac:dyDescent="0.25">
      <c r="A49" s="181"/>
      <c r="B49" s="172"/>
      <c r="C49" s="161"/>
      <c r="D49" s="163" t="s">
        <v>847</v>
      </c>
      <c r="E49" s="174">
        <v>300</v>
      </c>
      <c r="F49" s="164" t="s">
        <v>287</v>
      </c>
      <c r="G49" s="132"/>
      <c r="H49" s="132"/>
      <c r="I49" s="86"/>
      <c r="J49" s="114"/>
      <c r="K49" s="86"/>
      <c r="L49" s="86"/>
      <c r="M49" s="86"/>
      <c r="N49" s="86"/>
      <c r="O49" s="86"/>
      <c r="P49" s="86"/>
      <c r="Q49" s="111"/>
      <c r="R49" s="552"/>
    </row>
    <row r="50" spans="1:18" ht="14.1" customHeight="1" x14ac:dyDescent="0.2">
      <c r="A50" s="143"/>
      <c r="B50" s="140"/>
      <c r="C50" s="132"/>
      <c r="D50" s="129" t="s">
        <v>848</v>
      </c>
      <c r="E50" s="581">
        <f>'Variable Management'!B188</f>
        <v>10</v>
      </c>
      <c r="F50" s="170" t="s">
        <v>271</v>
      </c>
      <c r="G50" s="132"/>
      <c r="H50" s="132"/>
      <c r="I50" s="86"/>
      <c r="J50" s="114"/>
      <c r="K50" s="86"/>
      <c r="L50" s="86"/>
      <c r="M50" s="86"/>
      <c r="N50" s="86"/>
      <c r="O50" s="86"/>
      <c r="P50" s="86"/>
      <c r="Q50" s="111"/>
      <c r="R50" s="552"/>
    </row>
    <row r="51" spans="1:18" ht="14.1" customHeight="1" x14ac:dyDescent="0.25">
      <c r="A51" s="131"/>
      <c r="B51" s="132"/>
      <c r="C51" s="140"/>
      <c r="D51" s="160" t="s">
        <v>364</v>
      </c>
      <c r="E51" s="133">
        <v>120</v>
      </c>
      <c r="F51" s="165" t="s">
        <v>271</v>
      </c>
      <c r="G51" s="132"/>
      <c r="H51" s="132"/>
      <c r="I51" s="86"/>
      <c r="J51" s="114"/>
      <c r="K51" s="86"/>
      <c r="L51" s="86"/>
      <c r="M51" s="86"/>
      <c r="N51" s="86"/>
      <c r="O51" s="86"/>
      <c r="P51" s="86"/>
      <c r="Q51" s="111"/>
      <c r="R51" s="552"/>
    </row>
    <row r="52" spans="1:18" ht="14.1" customHeight="1" x14ac:dyDescent="0.2">
      <c r="A52" s="131"/>
      <c r="B52" s="132"/>
      <c r="C52" s="140"/>
      <c r="D52" s="129" t="s">
        <v>296</v>
      </c>
      <c r="E52" s="581">
        <f>'Variable Management'!B193</f>
        <v>43.91904266611904</v>
      </c>
      <c r="F52" s="170" t="s">
        <v>53</v>
      </c>
      <c r="G52" s="132"/>
      <c r="H52" s="132"/>
      <c r="I52" s="86"/>
      <c r="J52" s="115"/>
      <c r="K52" s="86"/>
      <c r="L52" s="86"/>
      <c r="M52" s="86"/>
      <c r="N52" s="86"/>
      <c r="O52" s="86"/>
      <c r="P52" s="86"/>
      <c r="Q52" s="111" t="s">
        <v>214</v>
      </c>
      <c r="R52" s="552"/>
    </row>
    <row r="53" spans="1:18" ht="14.1" customHeight="1" x14ac:dyDescent="0.2">
      <c r="A53" s="131"/>
      <c r="B53" s="132"/>
      <c r="C53" s="140"/>
      <c r="D53" s="160" t="s">
        <v>298</v>
      </c>
      <c r="E53" s="133">
        <v>32</v>
      </c>
      <c r="F53" s="165" t="s">
        <v>53</v>
      </c>
      <c r="G53" s="132"/>
      <c r="H53" s="132"/>
      <c r="I53" s="86"/>
      <c r="J53" s="115"/>
      <c r="K53" s="86"/>
      <c r="L53" s="86"/>
      <c r="M53" s="86"/>
      <c r="N53" s="86"/>
      <c r="O53" s="86"/>
      <c r="P53" s="86"/>
      <c r="Q53" s="111"/>
      <c r="R53" s="552"/>
    </row>
    <row r="54" spans="1:18" ht="14.1" customHeight="1" x14ac:dyDescent="0.3">
      <c r="A54" s="131"/>
      <c r="B54" s="132"/>
      <c r="C54" s="140"/>
      <c r="D54" s="129" t="s">
        <v>839</v>
      </c>
      <c r="E54" s="159">
        <f>Vinripple2*1000</f>
        <v>224.69631184623927</v>
      </c>
      <c r="F54" s="170" t="s">
        <v>290</v>
      </c>
      <c r="G54" s="132"/>
      <c r="H54" s="132"/>
      <c r="I54" s="86"/>
      <c r="J54" s="115"/>
      <c r="K54" s="86"/>
      <c r="L54" s="86"/>
      <c r="M54" s="86"/>
      <c r="N54" s="86"/>
      <c r="O54" s="86"/>
      <c r="P54" s="86"/>
      <c r="Q54" s="111"/>
      <c r="R54" s="552"/>
    </row>
    <row r="55" spans="1:18" ht="14.1" customHeight="1" thickBot="1" x14ac:dyDescent="0.25">
      <c r="A55" s="166"/>
      <c r="B55" s="167"/>
      <c r="C55" s="167"/>
      <c r="D55" s="130" t="s">
        <v>842</v>
      </c>
      <c r="E55" s="171">
        <f>'Variable Management'!B181</f>
        <v>1.8892259956790638</v>
      </c>
      <c r="F55" s="168" t="s">
        <v>176</v>
      </c>
      <c r="G55" s="132"/>
      <c r="H55" s="132"/>
      <c r="I55" s="86"/>
      <c r="J55" s="86"/>
      <c r="K55" s="86"/>
      <c r="L55" s="86"/>
      <c r="M55" s="86"/>
      <c r="N55" s="86"/>
      <c r="O55" s="86"/>
      <c r="P55" s="86"/>
      <c r="Q55" s="111"/>
      <c r="R55" s="552"/>
    </row>
    <row r="56" spans="1:18" ht="14.1" customHeight="1" x14ac:dyDescent="0.2">
      <c r="A56" s="131"/>
      <c r="B56" s="132"/>
      <c r="C56" s="132"/>
      <c r="D56" s="129"/>
      <c r="E56" s="132"/>
      <c r="F56" s="132"/>
      <c r="G56" s="132"/>
      <c r="H56" s="132"/>
      <c r="I56" s="86"/>
      <c r="J56" s="86"/>
      <c r="K56" s="86"/>
      <c r="L56" s="86"/>
      <c r="M56" s="86"/>
      <c r="N56" s="86"/>
      <c r="O56" s="86"/>
      <c r="P56" s="86"/>
      <c r="Q56" s="111"/>
      <c r="R56" s="552"/>
    </row>
    <row r="57" spans="1:18" ht="19.5" thickBot="1" x14ac:dyDescent="0.35">
      <c r="A57" s="194" t="s">
        <v>418</v>
      </c>
      <c r="B57" s="139"/>
      <c r="C57" s="132"/>
      <c r="D57" s="129"/>
      <c r="E57" s="132"/>
      <c r="F57" s="132"/>
      <c r="G57" s="132"/>
      <c r="H57" s="144"/>
      <c r="I57" s="117"/>
      <c r="J57" s="117"/>
      <c r="K57" s="117"/>
      <c r="L57" s="117"/>
      <c r="M57" s="117"/>
      <c r="N57" s="86"/>
      <c r="O57" s="86"/>
      <c r="P57" s="86"/>
      <c r="Q57" s="111"/>
      <c r="R57" s="552"/>
    </row>
    <row r="58" spans="1:18" ht="13.7" customHeight="1" x14ac:dyDescent="0.2">
      <c r="A58" s="282"/>
      <c r="B58" s="283"/>
      <c r="C58" s="283"/>
      <c r="D58" s="292" t="s">
        <v>366</v>
      </c>
      <c r="E58" s="286">
        <v>35</v>
      </c>
      <c r="F58" s="287" t="s">
        <v>180</v>
      </c>
      <c r="G58" s="132"/>
      <c r="H58" s="142"/>
      <c r="I58" s="117"/>
      <c r="J58" s="117"/>
      <c r="K58" s="117"/>
      <c r="L58" s="117"/>
      <c r="M58" s="117"/>
      <c r="N58" s="86"/>
      <c r="O58" s="86"/>
      <c r="P58" s="86"/>
      <c r="Q58" s="111"/>
      <c r="R58" s="552"/>
    </row>
    <row r="59" spans="1:18" ht="13.7" customHeight="1" x14ac:dyDescent="0.2">
      <c r="A59" s="272"/>
      <c r="B59" s="271"/>
      <c r="C59" s="271"/>
      <c r="D59" s="273" t="s">
        <v>365</v>
      </c>
      <c r="E59" s="293">
        <f>IF(Tss&gt;1.28/1000,Css_u*1000000000,"N/A")</f>
        <v>220</v>
      </c>
      <c r="F59" s="275" t="s">
        <v>172</v>
      </c>
      <c r="G59" s="132"/>
      <c r="H59" s="142"/>
      <c r="I59" s="117"/>
      <c r="J59" s="117"/>
      <c r="K59" s="117"/>
      <c r="L59" s="117"/>
      <c r="M59" s="117"/>
      <c r="N59" s="86"/>
      <c r="O59" s="86"/>
      <c r="P59" s="86"/>
      <c r="Q59" s="111"/>
      <c r="R59" s="552"/>
    </row>
    <row r="60" spans="1:18" ht="13.7" customHeight="1" x14ac:dyDescent="0.2">
      <c r="A60" s="272"/>
      <c r="B60" s="271"/>
      <c r="C60" s="271"/>
      <c r="D60" s="294" t="s">
        <v>938</v>
      </c>
      <c r="E60" s="297">
        <v>0.9</v>
      </c>
      <c r="F60" s="290" t="str">
        <f>IF(DITHER=1, "kHz", "")</f>
        <v>kHz</v>
      </c>
      <c r="G60" s="132"/>
      <c r="H60" s="132"/>
      <c r="I60" s="86"/>
      <c r="J60" s="84"/>
      <c r="K60" s="127"/>
      <c r="L60" s="86"/>
      <c r="M60" s="117"/>
      <c r="N60" s="86"/>
      <c r="O60" s="86"/>
      <c r="P60" s="86"/>
      <c r="Q60" s="111"/>
      <c r="R60" s="552"/>
    </row>
    <row r="61" spans="1:18" ht="13.7" customHeight="1" x14ac:dyDescent="0.2">
      <c r="A61" s="272"/>
      <c r="B61" s="271"/>
      <c r="C61" s="271"/>
      <c r="D61" s="273" t="str">
        <f>IF(DITHER=1, "DITH Capacitance, Cd", "*Short DITH pin to GND")</f>
        <v>DITH Capacitance, Cd</v>
      </c>
      <c r="E61" s="273">
        <f>IF(DITHER=1,IF(E60&gt;0,'Standard Value Calculator'!O19*1000000000,"N/A"),"")</f>
        <v>47</v>
      </c>
      <c r="F61" s="275" t="str">
        <f>IF(DITHER=1, "nF", "")</f>
        <v>nF</v>
      </c>
      <c r="G61" s="132"/>
      <c r="H61" s="132"/>
      <c r="I61" s="86"/>
      <c r="J61" s="84"/>
      <c r="K61" s="127"/>
      <c r="L61" s="86"/>
      <c r="M61" s="117"/>
      <c r="N61" s="86"/>
      <c r="O61" s="86"/>
      <c r="P61" s="86"/>
      <c r="Q61" s="111"/>
      <c r="R61" s="552"/>
    </row>
    <row r="62" spans="1:18" ht="13.7" customHeight="1" x14ac:dyDescent="0.2">
      <c r="A62" s="272"/>
      <c r="B62" s="271"/>
      <c r="C62" s="295"/>
      <c r="D62" s="296" t="s">
        <v>384</v>
      </c>
      <c r="E62" s="297">
        <v>9</v>
      </c>
      <c r="F62" s="290" t="s">
        <v>0</v>
      </c>
      <c r="G62" s="132"/>
      <c r="H62" s="132"/>
      <c r="I62" s="86"/>
      <c r="J62" s="84"/>
      <c r="K62" s="127"/>
      <c r="L62" s="86"/>
      <c r="M62" s="117"/>
      <c r="N62" s="86"/>
      <c r="O62" s="86"/>
      <c r="P62" s="86"/>
      <c r="Q62" s="111"/>
      <c r="R62" s="552"/>
    </row>
    <row r="63" spans="1:18" ht="13.7" customHeight="1" x14ac:dyDescent="0.2">
      <c r="A63" s="272"/>
      <c r="B63" s="271"/>
      <c r="C63" s="271"/>
      <c r="D63" s="273" t="s">
        <v>346</v>
      </c>
      <c r="E63" s="299">
        <f>'Variable Management'!B216</f>
        <v>8.3101897260273976</v>
      </c>
      <c r="F63" s="275" t="s">
        <v>0</v>
      </c>
      <c r="G63" s="132"/>
      <c r="H63" s="132"/>
      <c r="I63" s="86"/>
      <c r="J63" s="84"/>
      <c r="K63" s="127"/>
      <c r="L63" s="86"/>
      <c r="M63" s="117"/>
      <c r="N63" s="86"/>
      <c r="O63" s="86"/>
      <c r="P63" s="86"/>
      <c r="Q63" s="111"/>
      <c r="R63" s="552"/>
    </row>
    <row r="64" spans="1:18" ht="13.7" customHeight="1" x14ac:dyDescent="0.2">
      <c r="A64" s="272"/>
      <c r="B64" s="271"/>
      <c r="C64" s="295"/>
      <c r="D64" s="296" t="s">
        <v>383</v>
      </c>
      <c r="E64" s="297">
        <v>249</v>
      </c>
      <c r="F64" s="275" t="s">
        <v>54</v>
      </c>
      <c r="G64" s="132"/>
      <c r="H64" s="132"/>
      <c r="I64" s="86"/>
      <c r="J64" s="84"/>
      <c r="K64" s="127"/>
      <c r="L64" s="86"/>
      <c r="M64" s="117"/>
      <c r="N64" s="86"/>
      <c r="O64" s="86"/>
      <c r="P64" s="86"/>
      <c r="Q64" s="111"/>
      <c r="R64" s="552"/>
    </row>
    <row r="65" spans="1:35" ht="15" customHeight="1" thickBot="1" x14ac:dyDescent="0.25">
      <c r="A65" s="300"/>
      <c r="B65" s="301"/>
      <c r="C65" s="301"/>
      <c r="D65" s="298" t="s">
        <v>382</v>
      </c>
      <c r="E65" s="298">
        <f>'Variable Management'!E213</f>
        <v>36.5</v>
      </c>
      <c r="F65" s="302" t="s">
        <v>54</v>
      </c>
      <c r="G65" s="132"/>
      <c r="H65" s="132"/>
      <c r="I65" s="86"/>
      <c r="J65" s="84"/>
      <c r="K65" s="127"/>
      <c r="L65" s="86"/>
      <c r="M65" s="117"/>
      <c r="N65" s="86"/>
      <c r="O65" s="86"/>
      <c r="P65" s="86"/>
      <c r="Q65" s="111"/>
      <c r="R65" s="552"/>
    </row>
    <row r="66" spans="1:35" ht="14.1" customHeight="1" x14ac:dyDescent="0.2">
      <c r="A66" s="131"/>
      <c r="B66" s="132"/>
      <c r="C66" s="132"/>
      <c r="D66" s="129"/>
      <c r="E66" s="145"/>
      <c r="F66" s="132"/>
      <c r="G66" s="132"/>
      <c r="H66" s="132"/>
      <c r="I66" s="86"/>
      <c r="J66" s="84"/>
      <c r="K66" s="127"/>
      <c r="L66" s="86"/>
      <c r="M66" s="117"/>
      <c r="N66" s="86"/>
      <c r="O66" s="86"/>
      <c r="P66" s="86"/>
      <c r="Q66" s="111"/>
      <c r="R66" s="552"/>
    </row>
    <row r="67" spans="1:35" ht="19.5" customHeight="1" thickBot="1" x14ac:dyDescent="0.25">
      <c r="A67" s="194" t="s">
        <v>292</v>
      </c>
      <c r="B67" s="147"/>
      <c r="C67" s="140"/>
      <c r="D67" s="618"/>
      <c r="E67" s="141"/>
      <c r="F67" s="140"/>
      <c r="G67" s="132"/>
      <c r="H67" s="132"/>
      <c r="I67" s="86"/>
      <c r="J67" s="86"/>
      <c r="K67" s="86"/>
      <c r="L67" s="86"/>
      <c r="M67" s="86"/>
      <c r="N67" s="86"/>
      <c r="O67" s="86"/>
      <c r="P67" s="86"/>
      <c r="Q67" s="111"/>
      <c r="R67" s="551"/>
      <c r="S67" s="54"/>
      <c r="T67" s="54"/>
      <c r="W67" s="54"/>
      <c r="X67" s="54"/>
      <c r="Y67" s="54"/>
      <c r="AB67" s="54"/>
      <c r="AC67" s="54"/>
      <c r="AD67" s="54"/>
      <c r="AG67" s="54"/>
      <c r="AH67" s="54"/>
      <c r="AI67" s="54"/>
    </row>
    <row r="68" spans="1:35" ht="15" customHeight="1" x14ac:dyDescent="0.2">
      <c r="A68" s="282"/>
      <c r="B68" s="283"/>
      <c r="C68" s="284"/>
      <c r="D68" s="284" t="s">
        <v>386</v>
      </c>
      <c r="E68" s="395">
        <f>Fp_dominant</f>
        <v>761.06805460157761</v>
      </c>
      <c r="F68" s="303" t="s">
        <v>10</v>
      </c>
      <c r="G68" s="132"/>
      <c r="H68" s="132"/>
      <c r="I68" s="86"/>
      <c r="J68" s="86"/>
      <c r="K68" s="86"/>
      <c r="L68" s="86"/>
      <c r="M68" s="86"/>
      <c r="N68" s="86"/>
      <c r="O68" s="86"/>
      <c r="P68" s="86"/>
      <c r="Q68" s="111"/>
      <c r="R68" s="551"/>
      <c r="S68" s="54"/>
      <c r="T68" s="54"/>
      <c r="W68" s="54"/>
      <c r="X68" s="54"/>
      <c r="Y68" s="54"/>
      <c r="AB68" s="54"/>
      <c r="AC68" s="54"/>
      <c r="AD68" s="54"/>
      <c r="AG68" s="54"/>
      <c r="AH68" s="54"/>
      <c r="AI68" s="54"/>
    </row>
    <row r="69" spans="1:35" ht="15" customHeight="1" x14ac:dyDescent="0.2">
      <c r="A69" s="272"/>
      <c r="B69" s="271"/>
      <c r="C69" s="273"/>
      <c r="D69" s="273" t="s">
        <v>385</v>
      </c>
      <c r="E69" s="276">
        <f>Fesr/1000</f>
        <v>26.79376149389838</v>
      </c>
      <c r="F69" s="275" t="s">
        <v>3</v>
      </c>
      <c r="G69" s="132"/>
      <c r="H69" s="132"/>
      <c r="I69" s="86"/>
      <c r="J69" s="86"/>
      <c r="K69" s="86"/>
      <c r="L69" s="86"/>
      <c r="M69" s="86"/>
      <c r="N69" s="86"/>
      <c r="O69" s="86"/>
      <c r="P69" s="86"/>
      <c r="Q69" s="111"/>
      <c r="R69" s="551"/>
      <c r="S69" s="54"/>
      <c r="T69" s="54"/>
      <c r="W69" s="54"/>
      <c r="X69" s="54"/>
      <c r="Y69" s="54"/>
      <c r="AB69" s="54"/>
      <c r="AC69" s="54"/>
      <c r="AD69" s="54"/>
      <c r="AG69" s="54"/>
      <c r="AH69" s="54"/>
      <c r="AI69" s="54"/>
    </row>
    <row r="70" spans="1:35" ht="15" customHeight="1" x14ac:dyDescent="0.2">
      <c r="A70" s="272"/>
      <c r="B70" s="271"/>
      <c r="C70" s="273"/>
      <c r="D70" s="273" t="s">
        <v>468</v>
      </c>
      <c r="E70" s="276">
        <f>Frhp/1000</f>
        <v>100.5918603031927</v>
      </c>
      <c r="F70" s="275" t="s">
        <v>3</v>
      </c>
      <c r="G70" s="132"/>
      <c r="H70" s="132"/>
      <c r="I70" s="86"/>
      <c r="J70" s="86"/>
      <c r="K70" s="86"/>
      <c r="L70" s="86"/>
      <c r="M70" s="86"/>
      <c r="N70" s="86"/>
      <c r="O70" s="86"/>
      <c r="P70" s="86"/>
      <c r="Q70" s="111"/>
      <c r="R70" s="551"/>
      <c r="S70" s="54"/>
      <c r="T70" s="54"/>
      <c r="W70" s="54"/>
      <c r="X70" s="54"/>
      <c r="Y70" s="54"/>
      <c r="AB70" s="54"/>
      <c r="AC70" s="54"/>
      <c r="AD70" s="54"/>
      <c r="AG70" s="54"/>
      <c r="AH70" s="54"/>
      <c r="AI70" s="54"/>
    </row>
    <row r="71" spans="1:35" ht="15" customHeight="1" x14ac:dyDescent="0.2">
      <c r="A71" s="272"/>
      <c r="B71" s="271"/>
      <c r="C71" s="273"/>
      <c r="D71" s="296" t="s">
        <v>304</v>
      </c>
      <c r="E71" s="304">
        <v>4</v>
      </c>
      <c r="F71" s="305" t="str">
        <f>"     kHz "</f>
        <v xml:space="preserve">     kHz </v>
      </c>
      <c r="G71" s="132"/>
      <c r="H71" s="132"/>
      <c r="I71" s="86"/>
      <c r="J71" s="86"/>
      <c r="K71" s="86"/>
      <c r="L71" s="86"/>
      <c r="M71" s="86"/>
      <c r="N71" s="86"/>
      <c r="O71" s="86"/>
      <c r="P71" s="86"/>
      <c r="Q71" s="111"/>
      <c r="R71" s="551"/>
      <c r="S71" s="54"/>
      <c r="T71" s="54"/>
      <c r="W71" s="54"/>
      <c r="X71" s="54"/>
      <c r="Y71" s="54"/>
      <c r="AB71" s="54"/>
      <c r="AC71" s="54"/>
      <c r="AD71" s="54"/>
      <c r="AG71" s="54"/>
      <c r="AH71" s="54"/>
      <c r="AI71" s="54"/>
    </row>
    <row r="72" spans="1:35" ht="15" customHeight="1" x14ac:dyDescent="0.2">
      <c r="A72" s="272"/>
      <c r="B72" s="271"/>
      <c r="C72" s="273"/>
      <c r="D72" s="273" t="s">
        <v>524</v>
      </c>
      <c r="E72" s="276">
        <f>Fp1_u</f>
        <v>0.29465962681375302</v>
      </c>
      <c r="F72" s="275" t="s">
        <v>10</v>
      </c>
      <c r="G72" s="132"/>
      <c r="H72" s="132"/>
      <c r="I72" s="86"/>
      <c r="J72" s="86"/>
      <c r="K72" s="86"/>
      <c r="L72" s="86"/>
      <c r="M72" s="86"/>
      <c r="N72" s="86"/>
      <c r="O72" s="86"/>
      <c r="P72" s="86"/>
      <c r="Q72" s="111"/>
      <c r="R72" s="551"/>
      <c r="S72" s="54"/>
      <c r="T72" s="54"/>
      <c r="W72" s="54"/>
      <c r="X72" s="54"/>
      <c r="Y72" s="54"/>
      <c r="AB72" s="54"/>
      <c r="AC72" s="54"/>
      <c r="AD72" s="54"/>
      <c r="AG72" s="54"/>
      <c r="AH72" s="54"/>
      <c r="AI72" s="54"/>
    </row>
    <row r="73" spans="1:35" ht="15" customHeight="1" x14ac:dyDescent="0.2">
      <c r="A73" s="272"/>
      <c r="B73" s="271"/>
      <c r="C73" s="273"/>
      <c r="D73" s="296" t="s">
        <v>367</v>
      </c>
      <c r="E73" s="306">
        <v>280</v>
      </c>
      <c r="F73" s="290" t="s">
        <v>54</v>
      </c>
      <c r="G73" s="132"/>
      <c r="H73" s="132"/>
      <c r="I73" s="86"/>
      <c r="J73" s="86"/>
      <c r="K73" s="86"/>
      <c r="L73" s="86"/>
      <c r="M73" s="86"/>
      <c r="N73" s="86"/>
      <c r="O73" s="86"/>
      <c r="P73" s="86"/>
      <c r="Q73" s="111"/>
      <c r="R73" s="551"/>
      <c r="S73" s="54"/>
      <c r="T73" s="54"/>
      <c r="W73" s="54"/>
      <c r="X73" s="54"/>
      <c r="Y73" s="54"/>
      <c r="AB73" s="54"/>
      <c r="AC73" s="54"/>
      <c r="AD73" s="54"/>
      <c r="AG73" s="54"/>
      <c r="AH73" s="54"/>
      <c r="AI73" s="54"/>
    </row>
    <row r="74" spans="1:35" ht="17.25" customHeight="1" thickBot="1" x14ac:dyDescent="0.25">
      <c r="A74" s="277"/>
      <c r="B74" s="278"/>
      <c r="C74" s="279"/>
      <c r="D74" s="279" t="s">
        <v>368</v>
      </c>
      <c r="E74" s="279">
        <f>IF(Vout=Vref,"OPEN",Rfb2_u/1000)</f>
        <v>20</v>
      </c>
      <c r="F74" s="281" t="str">
        <f>IF(Vout=Vref,"","kΩ")</f>
        <v>kΩ</v>
      </c>
      <c r="G74" s="132"/>
      <c r="H74" s="132"/>
      <c r="I74" s="86"/>
      <c r="J74" s="86"/>
      <c r="K74" s="86"/>
      <c r="L74" s="86"/>
      <c r="M74" s="86"/>
      <c r="N74" s="86"/>
      <c r="O74" s="86"/>
      <c r="P74" s="86"/>
      <c r="Q74" s="111"/>
      <c r="R74" s="551"/>
      <c r="S74" s="54"/>
      <c r="T74" s="54"/>
      <c r="W74" s="54"/>
      <c r="X74" s="54"/>
      <c r="Y74" s="54"/>
      <c r="AB74" s="54"/>
      <c r="AC74" s="54"/>
      <c r="AD74" s="54"/>
      <c r="AG74" s="54"/>
      <c r="AH74" s="54"/>
      <c r="AI74" s="54"/>
    </row>
    <row r="75" spans="1:35" ht="13.5" customHeight="1" x14ac:dyDescent="0.2">
      <c r="A75" s="197"/>
      <c r="B75" s="612"/>
      <c r="C75" s="153"/>
      <c r="D75" s="142"/>
      <c r="E75" s="142"/>
      <c r="F75" s="142"/>
      <c r="G75" s="152"/>
      <c r="H75" s="151"/>
      <c r="I75" s="86"/>
      <c r="J75" s="86"/>
      <c r="K75" s="86"/>
      <c r="L75" s="86"/>
      <c r="M75" s="86"/>
      <c r="N75" s="86"/>
      <c r="O75" s="86"/>
      <c r="P75" s="86"/>
      <c r="Q75" s="111"/>
      <c r="R75" s="551"/>
      <c r="S75" s="54"/>
      <c r="T75" s="54"/>
      <c r="W75" s="54"/>
      <c r="X75" s="54"/>
      <c r="Y75" s="54"/>
      <c r="AB75" s="54"/>
      <c r="AC75" s="54"/>
      <c r="AD75" s="54"/>
      <c r="AG75" s="54"/>
      <c r="AH75" s="54"/>
      <c r="AI75" s="54"/>
    </row>
    <row r="76" spans="1:35" ht="15.75" customHeight="1" x14ac:dyDescent="0.25">
      <c r="A76" s="518" t="s">
        <v>284</v>
      </c>
      <c r="B76" s="154"/>
      <c r="C76" s="129"/>
      <c r="D76" s="148"/>
      <c r="E76" s="149"/>
      <c r="F76" s="150"/>
      <c r="G76" s="155"/>
      <c r="H76" s="132"/>
      <c r="I76" s="86"/>
      <c r="J76" s="86"/>
      <c r="K76" s="86"/>
      <c r="L76" s="86"/>
      <c r="M76" s="86"/>
      <c r="N76" s="86"/>
      <c r="O76" s="86"/>
      <c r="P76" s="86"/>
      <c r="Q76" s="111"/>
      <c r="R76" s="551"/>
      <c r="S76" s="200"/>
      <c r="T76" s="200"/>
      <c r="U76" s="201"/>
      <c r="V76" s="201"/>
      <c r="W76" s="200"/>
      <c r="X76" s="200"/>
      <c r="Y76" s="200"/>
      <c r="Z76" s="201"/>
      <c r="AA76" s="201"/>
      <c r="AB76" s="200"/>
      <c r="AC76" s="200"/>
      <c r="AD76" s="200"/>
      <c r="AE76" s="201"/>
      <c r="AF76" s="201"/>
      <c r="AG76" s="54"/>
      <c r="AH76" s="54"/>
      <c r="AI76" s="54"/>
    </row>
    <row r="77" spans="1:35" s="213" customFormat="1" ht="13.5" customHeight="1" thickBot="1" x14ac:dyDescent="0.25">
      <c r="A77" s="218"/>
      <c r="B77" s="219" t="s">
        <v>293</v>
      </c>
      <c r="C77" s="221" t="s">
        <v>283</v>
      </c>
      <c r="D77" s="220" t="str">
        <f>"    Selected"</f>
        <v xml:space="preserve">    Selected</v>
      </c>
      <c r="E77" s="618"/>
      <c r="F77" s="641" t="s">
        <v>285</v>
      </c>
      <c r="G77" s="641"/>
      <c r="H77" s="641"/>
      <c r="I77" s="208"/>
      <c r="J77" s="208"/>
      <c r="K77" s="208"/>
      <c r="L77" s="208"/>
      <c r="M77" s="208"/>
      <c r="N77" s="208"/>
      <c r="O77" s="208"/>
      <c r="P77" s="208"/>
      <c r="Q77" s="209"/>
      <c r="R77" s="553"/>
      <c r="S77" s="210"/>
      <c r="T77" s="210"/>
      <c r="U77" s="211"/>
      <c r="V77" s="211"/>
      <c r="W77" s="210"/>
      <c r="X77" s="210"/>
      <c r="Y77" s="210"/>
      <c r="Z77" s="211"/>
      <c r="AA77" s="211"/>
      <c r="AB77" s="210"/>
      <c r="AC77" s="210"/>
      <c r="AD77" s="210"/>
      <c r="AE77" s="211"/>
      <c r="AF77" s="211"/>
      <c r="AG77" s="212"/>
      <c r="AH77" s="212"/>
      <c r="AI77" s="212"/>
    </row>
    <row r="78" spans="1:35" ht="15.75" x14ac:dyDescent="0.3">
      <c r="A78" s="179" t="s">
        <v>467</v>
      </c>
      <c r="B78" s="192">
        <f>Rcea1/1000</f>
        <v>4.9182273216044052</v>
      </c>
      <c r="C78" s="175">
        <f>'Standard Value Calculator'!O27</f>
        <v>4.87</v>
      </c>
      <c r="D78" s="176">
        <f>C78</f>
        <v>4.87</v>
      </c>
      <c r="E78" s="177" t="s">
        <v>54</v>
      </c>
      <c r="F78" s="571">
        <f>Fp1_u</f>
        <v>0.29465962681375302</v>
      </c>
      <c r="G78" s="468" t="s">
        <v>629</v>
      </c>
      <c r="H78" s="142"/>
      <c r="I78" s="129" t="s">
        <v>799</v>
      </c>
      <c r="J78" s="545" t="str">
        <f>ROUND('Variable Management'!B269,2)&amp;"V"</f>
        <v>0.65V</v>
      </c>
      <c r="K78" s="132"/>
      <c r="L78" s="86"/>
      <c r="M78" s="86"/>
      <c r="N78" s="86"/>
      <c r="O78" s="86"/>
      <c r="P78" s="86"/>
      <c r="Q78" s="111"/>
      <c r="R78" s="551"/>
      <c r="S78" s="200"/>
      <c r="T78" s="200"/>
      <c r="U78" s="201"/>
      <c r="V78" s="201"/>
      <c r="W78" s="200"/>
      <c r="X78" s="200"/>
      <c r="Y78" s="200"/>
      <c r="Z78" s="201"/>
      <c r="AA78" s="201"/>
      <c r="AB78" s="200"/>
      <c r="AC78" s="200"/>
      <c r="AD78" s="200"/>
      <c r="AE78" s="201"/>
      <c r="AF78" s="201"/>
      <c r="AG78" s="54"/>
      <c r="AH78" s="54"/>
      <c r="AI78" s="54"/>
    </row>
    <row r="79" spans="1:35" ht="15.75" x14ac:dyDescent="0.3">
      <c r="A79" s="180" t="s">
        <v>288</v>
      </c>
      <c r="B79" s="529">
        <f>Cc1ea*1000000000</f>
        <v>28.346326293472508</v>
      </c>
      <c r="C79" s="151">
        <f>'Standard Value Calculator'!O28</f>
        <v>27</v>
      </c>
      <c r="D79" s="156">
        <f>C79</f>
        <v>27</v>
      </c>
      <c r="E79" s="178" t="s">
        <v>172</v>
      </c>
      <c r="F79" s="469">
        <f>Fz1_u/1000</f>
        <v>1.2103957964389414</v>
      </c>
      <c r="G79" s="470" t="s">
        <v>722</v>
      </c>
      <c r="H79" s="142"/>
      <c r="I79" s="129" t="s">
        <v>798</v>
      </c>
      <c r="J79" s="545" t="str">
        <f>ROUND('Variable Management'!B270,2)&amp;"V"</f>
        <v>2.15V</v>
      </c>
      <c r="K79" s="132"/>
      <c r="L79" s="86"/>
      <c r="M79" s="86"/>
      <c r="N79" s="86"/>
      <c r="O79" s="86"/>
      <c r="P79" s="86"/>
      <c r="Q79" s="111"/>
      <c r="R79" s="551"/>
      <c r="S79" s="200"/>
      <c r="T79" s="200"/>
      <c r="U79" s="201"/>
      <c r="V79" s="201"/>
      <c r="W79" s="200"/>
      <c r="X79" s="200"/>
      <c r="Y79" s="200"/>
      <c r="Z79" s="201"/>
      <c r="AA79" s="201"/>
      <c r="AB79" s="200"/>
      <c r="AC79" s="200"/>
      <c r="AD79" s="200"/>
      <c r="AE79" s="201"/>
      <c r="AF79" s="201"/>
      <c r="AG79" s="54"/>
      <c r="AH79" s="54"/>
      <c r="AI79" s="54"/>
    </row>
    <row r="80" spans="1:35" ht="16.5" thickBot="1" x14ac:dyDescent="0.35">
      <c r="A80" s="396" t="s">
        <v>289</v>
      </c>
      <c r="B80" s="193">
        <f>IF(Cc2ea*1000000000000&lt;0, 0, Cc2ea*1000000000000)</f>
        <v>849.33483142858881</v>
      </c>
      <c r="C80" s="189">
        <f>'Standard Value Calculator'!O29</f>
        <v>820</v>
      </c>
      <c r="D80" s="190">
        <f>C80</f>
        <v>820</v>
      </c>
      <c r="E80" s="191" t="s">
        <v>32</v>
      </c>
      <c r="F80" s="476">
        <f>Fp2_u/1000</f>
        <v>38.66320473065344</v>
      </c>
      <c r="G80" s="471" t="s">
        <v>723</v>
      </c>
      <c r="H80" s="142"/>
      <c r="I80" s="86"/>
      <c r="J80" s="86"/>
      <c r="K80" s="86"/>
      <c r="L80" s="86"/>
      <c r="M80" s="86"/>
      <c r="N80" s="86"/>
      <c r="O80" s="86"/>
      <c r="P80" s="86"/>
      <c r="Q80" s="111"/>
      <c r="R80" s="551"/>
      <c r="S80" s="200"/>
      <c r="T80" s="200"/>
      <c r="U80" s="201"/>
      <c r="V80" s="201"/>
      <c r="W80" s="200"/>
      <c r="X80" s="200"/>
      <c r="Y80" s="200"/>
      <c r="Z80" s="201"/>
      <c r="AA80" s="201"/>
      <c r="AB80" s="200"/>
      <c r="AC80" s="200"/>
      <c r="AD80" s="200"/>
      <c r="AE80" s="201"/>
      <c r="AF80" s="201"/>
      <c r="AG80" s="54"/>
      <c r="AH80" s="54"/>
      <c r="AI80" s="54"/>
    </row>
    <row r="81" spans="1:35" ht="13.5" thickBot="1" x14ac:dyDescent="0.25">
      <c r="A81" s="131"/>
      <c r="B81" s="129"/>
      <c r="C81" s="129"/>
      <c r="D81" s="640"/>
      <c r="E81" s="132"/>
      <c r="F81" s="132"/>
      <c r="G81" s="132"/>
      <c r="H81" s="132"/>
      <c r="I81" s="86"/>
      <c r="J81" s="86"/>
      <c r="K81" s="86"/>
      <c r="L81" s="86"/>
      <c r="M81" s="86"/>
      <c r="N81" s="86"/>
      <c r="O81" s="86"/>
      <c r="P81" s="86"/>
      <c r="Q81" s="111"/>
      <c r="R81" s="551"/>
      <c r="S81" s="200"/>
      <c r="T81" s="200"/>
      <c r="U81" s="201"/>
      <c r="V81" s="201"/>
      <c r="W81" s="200"/>
      <c r="X81" s="200"/>
      <c r="Y81" s="200"/>
      <c r="Z81" s="201"/>
      <c r="AA81" s="201"/>
      <c r="AB81" s="200"/>
      <c r="AC81" s="200"/>
      <c r="AD81" s="200"/>
      <c r="AE81" s="201"/>
      <c r="AF81" s="201"/>
      <c r="AG81" s="54"/>
      <c r="AH81" s="54"/>
      <c r="AI81" s="54"/>
    </row>
    <row r="82" spans="1:35" s="89" customFormat="1" ht="18.75" thickBot="1" x14ac:dyDescent="0.3">
      <c r="A82" s="198" t="s">
        <v>291</v>
      </c>
      <c r="B82" s="146"/>
      <c r="C82" s="157"/>
      <c r="D82" s="157"/>
      <c r="E82" s="157"/>
      <c r="F82" s="157"/>
      <c r="G82" s="157"/>
      <c r="H82" s="157"/>
      <c r="I82" s="87"/>
      <c r="J82" s="87"/>
      <c r="K82" s="87"/>
      <c r="L82" s="87"/>
      <c r="M82" s="87"/>
      <c r="N82" s="87"/>
      <c r="O82" s="87"/>
      <c r="P82" s="87"/>
      <c r="Q82" s="88"/>
      <c r="R82" s="554"/>
      <c r="S82" s="202"/>
      <c r="T82" s="202"/>
      <c r="U82" s="203"/>
      <c r="V82" s="203"/>
      <c r="W82" s="202"/>
      <c r="X82" s="202"/>
      <c r="Y82" s="202"/>
      <c r="Z82" s="203"/>
      <c r="AA82" s="203"/>
      <c r="AB82" s="202"/>
      <c r="AC82" s="202"/>
      <c r="AD82" s="202"/>
      <c r="AE82" s="203"/>
      <c r="AF82" s="203"/>
      <c r="AG82" s="55"/>
      <c r="AH82" s="55"/>
      <c r="AI82" s="55"/>
    </row>
    <row r="83" spans="1:35" x14ac:dyDescent="0.2">
      <c r="A83" s="196"/>
      <c r="B83" s="142"/>
      <c r="C83" s="132"/>
      <c r="D83" s="132"/>
      <c r="E83" s="132"/>
      <c r="F83" s="132"/>
      <c r="G83" s="132"/>
      <c r="H83" s="132"/>
      <c r="I83" s="86"/>
      <c r="J83" s="86"/>
      <c r="K83" s="86"/>
      <c r="L83" s="86"/>
      <c r="M83" s="86"/>
      <c r="N83" s="86"/>
      <c r="O83" s="86"/>
      <c r="P83" s="86"/>
      <c r="Q83" s="111"/>
      <c r="R83" s="551"/>
      <c r="S83" s="200"/>
      <c r="T83" s="200"/>
      <c r="U83" s="201"/>
      <c r="V83" s="201"/>
      <c r="W83" s="200"/>
      <c r="X83" s="200"/>
      <c r="Y83" s="200"/>
      <c r="Z83" s="201"/>
      <c r="AA83" s="201"/>
      <c r="AB83" s="200"/>
      <c r="AC83" s="200"/>
      <c r="AD83" s="200"/>
      <c r="AE83" s="201"/>
      <c r="AF83" s="201"/>
      <c r="AG83" s="54"/>
      <c r="AH83" s="54"/>
      <c r="AI83" s="54"/>
    </row>
    <row r="84" spans="1:35" ht="19.5" thickBot="1" x14ac:dyDescent="0.35">
      <c r="A84" s="158" t="s">
        <v>229</v>
      </c>
      <c r="B84" s="139"/>
      <c r="C84" s="132"/>
      <c r="D84" s="132"/>
      <c r="E84" s="132"/>
      <c r="F84" s="132"/>
      <c r="G84" s="132"/>
      <c r="H84" s="132"/>
      <c r="I84" s="86"/>
      <c r="J84" s="86"/>
      <c r="K84" s="86"/>
      <c r="L84" s="86"/>
      <c r="M84" s="635" t="s">
        <v>941</v>
      </c>
      <c r="N84" s="636" t="str">
        <f>VIN_nom&amp;"V"</f>
        <v>12V</v>
      </c>
      <c r="O84" s="86"/>
      <c r="P84" s="86"/>
      <c r="Q84" s="111"/>
      <c r="R84" s="551"/>
      <c r="S84" s="200"/>
      <c r="T84" s="200"/>
      <c r="U84" s="201"/>
      <c r="V84" s="201"/>
      <c r="W84" s="200"/>
      <c r="X84" s="200"/>
      <c r="Y84" s="200"/>
      <c r="Z84" s="201"/>
      <c r="AA84" s="201"/>
      <c r="AB84" s="200"/>
      <c r="AC84" s="200"/>
      <c r="AD84" s="200"/>
      <c r="AE84" s="201"/>
      <c r="AF84" s="201"/>
      <c r="AG84" s="54"/>
      <c r="AH84" s="54"/>
      <c r="AI84" s="54"/>
    </row>
    <row r="85" spans="1:35" ht="18" customHeight="1" x14ac:dyDescent="0.25">
      <c r="A85" s="181"/>
      <c r="B85" s="182"/>
      <c r="C85" s="183"/>
      <c r="D85" s="214" t="s">
        <v>793</v>
      </c>
      <c r="E85" s="269" t="s">
        <v>980</v>
      </c>
      <c r="F85" s="183"/>
      <c r="G85" s="184"/>
      <c r="H85" s="132"/>
      <c r="I85" s="86"/>
      <c r="J85" s="86"/>
      <c r="K85" s="86"/>
      <c r="L85" s="86"/>
      <c r="M85" s="86"/>
      <c r="N85" s="86"/>
      <c r="O85" s="86"/>
      <c r="P85" s="86"/>
      <c r="Q85" s="111"/>
      <c r="R85" s="551"/>
      <c r="S85" s="200"/>
      <c r="T85" s="125"/>
      <c r="U85" s="125"/>
      <c r="V85" s="201"/>
      <c r="W85" s="200"/>
      <c r="X85" s="200"/>
      <c r="Y85" s="200"/>
      <c r="Z85" s="201"/>
      <c r="AA85" s="201"/>
      <c r="AB85" s="200"/>
      <c r="AC85" s="200"/>
      <c r="AD85" s="200"/>
      <c r="AE85" s="201"/>
      <c r="AF85" s="201"/>
      <c r="AG85" s="54"/>
      <c r="AH85" s="54"/>
      <c r="AI85" s="54"/>
    </row>
    <row r="86" spans="1:35" ht="14.45" customHeight="1" x14ac:dyDescent="0.2">
      <c r="A86" s="527"/>
      <c r="B86" s="117"/>
      <c r="C86" s="117"/>
      <c r="D86" s="117"/>
      <c r="E86" s="528" t="s">
        <v>765</v>
      </c>
      <c r="F86" s="645" t="s">
        <v>794</v>
      </c>
      <c r="G86" s="646"/>
      <c r="H86" s="132"/>
      <c r="I86" s="86"/>
      <c r="J86" s="86"/>
      <c r="K86" s="86"/>
      <c r="L86" s="86"/>
      <c r="M86" s="86"/>
      <c r="N86" s="86"/>
      <c r="O86" s="86"/>
      <c r="P86" s="86"/>
      <c r="Q86" s="111"/>
      <c r="R86" s="551"/>
      <c r="S86" s="200"/>
      <c r="T86" s="125"/>
      <c r="U86" s="125"/>
      <c r="V86" s="201"/>
      <c r="W86" s="200"/>
      <c r="X86" s="200"/>
      <c r="Y86" s="200"/>
      <c r="Z86" s="201"/>
      <c r="AA86" s="201"/>
      <c r="AB86" s="200"/>
      <c r="AC86" s="200"/>
      <c r="AD86" s="200"/>
      <c r="AE86" s="201"/>
      <c r="AF86" s="201"/>
      <c r="AG86" s="54"/>
      <c r="AH86" s="54"/>
      <c r="AI86" s="54"/>
    </row>
    <row r="87" spans="1:35" ht="14.45" customHeight="1" x14ac:dyDescent="0.25">
      <c r="A87" s="131"/>
      <c r="B87" s="132"/>
      <c r="C87" s="140"/>
      <c r="D87" s="128" t="s">
        <v>351</v>
      </c>
      <c r="E87" s="267">
        <v>10</v>
      </c>
      <c r="F87" s="267">
        <v>10</v>
      </c>
      <c r="G87" s="170" t="s">
        <v>53</v>
      </c>
      <c r="H87" s="132"/>
      <c r="I87" s="86"/>
      <c r="J87" s="86"/>
      <c r="K87" s="86"/>
      <c r="L87" s="86"/>
      <c r="M87" s="86"/>
      <c r="N87" s="86"/>
      <c r="O87" s="86"/>
      <c r="P87" s="86"/>
      <c r="Q87" s="111"/>
      <c r="R87" s="551"/>
      <c r="S87" s="200"/>
      <c r="T87" s="125"/>
      <c r="U87" s="125"/>
      <c r="V87" s="201"/>
      <c r="W87" s="200"/>
      <c r="X87" s="200"/>
      <c r="Y87" s="200"/>
      <c r="Z87" s="201"/>
      <c r="AA87" s="201"/>
      <c r="AB87" s="200"/>
      <c r="AC87" s="200"/>
      <c r="AD87" s="200"/>
      <c r="AE87" s="201"/>
      <c r="AF87" s="201"/>
      <c r="AG87" s="54"/>
      <c r="AH87" s="54"/>
      <c r="AI87" s="54"/>
    </row>
    <row r="88" spans="1:35" ht="14.45" customHeight="1" x14ac:dyDescent="0.25">
      <c r="A88" s="131"/>
      <c r="B88" s="132"/>
      <c r="C88" s="140"/>
      <c r="D88" s="128" t="s">
        <v>352</v>
      </c>
      <c r="E88" s="133">
        <v>45.3</v>
      </c>
      <c r="F88" s="133">
        <v>45.3</v>
      </c>
      <c r="G88" s="170" t="s">
        <v>69</v>
      </c>
      <c r="H88" s="132"/>
      <c r="I88" s="86"/>
      <c r="J88" s="86"/>
      <c r="K88" s="86"/>
      <c r="L88" s="86"/>
      <c r="M88" s="86"/>
      <c r="N88" s="86"/>
      <c r="O88" s="86"/>
      <c r="P88" s="86"/>
      <c r="Q88" s="111"/>
      <c r="R88" s="551"/>
      <c r="S88" s="200"/>
      <c r="T88" s="125"/>
      <c r="U88" s="125"/>
      <c r="V88" s="201"/>
      <c r="W88" s="200"/>
      <c r="X88" s="200"/>
      <c r="Y88" s="200"/>
      <c r="Z88" s="201"/>
      <c r="AA88" s="201"/>
      <c r="AB88" s="200"/>
      <c r="AC88" s="200"/>
      <c r="AD88" s="200"/>
      <c r="AE88" s="201"/>
      <c r="AF88" s="201"/>
      <c r="AG88" s="54"/>
      <c r="AH88" s="54"/>
      <c r="AI88" s="54"/>
    </row>
    <row r="89" spans="1:35" ht="14.45" customHeight="1" x14ac:dyDescent="0.25">
      <c r="A89" s="131"/>
      <c r="B89" s="132"/>
      <c r="C89" s="140"/>
      <c r="D89" s="128" t="s">
        <v>353</v>
      </c>
      <c r="E89" s="133">
        <v>13.3</v>
      </c>
      <c r="F89" s="133">
        <v>13.3</v>
      </c>
      <c r="G89" s="170" t="s">
        <v>69</v>
      </c>
      <c r="H89" s="132"/>
      <c r="I89" s="86"/>
      <c r="J89" s="86"/>
      <c r="K89" s="86"/>
      <c r="L89" s="86"/>
      <c r="M89" s="86"/>
      <c r="N89" s="86"/>
      <c r="O89" s="86"/>
      <c r="P89" s="86"/>
      <c r="Q89" s="111"/>
      <c r="R89" s="551"/>
      <c r="S89" s="200"/>
      <c r="T89" s="125"/>
      <c r="U89" s="125"/>
      <c r="V89" s="201"/>
      <c r="W89" s="200"/>
      <c r="X89" s="200"/>
      <c r="Y89" s="200"/>
      <c r="Z89" s="201"/>
      <c r="AA89" s="201"/>
      <c r="AB89" s="200"/>
      <c r="AC89" s="200"/>
      <c r="AD89" s="200"/>
      <c r="AE89" s="201"/>
      <c r="AF89" s="201"/>
      <c r="AG89" s="54"/>
      <c r="AH89" s="54"/>
      <c r="AI89" s="54"/>
    </row>
    <row r="90" spans="1:35" ht="14.45" customHeight="1" x14ac:dyDescent="0.25">
      <c r="A90" s="131"/>
      <c r="B90" s="132"/>
      <c r="C90" s="140"/>
      <c r="D90" s="128" t="s">
        <v>354</v>
      </c>
      <c r="E90" s="133">
        <v>5.3</v>
      </c>
      <c r="F90" s="133">
        <v>5.3</v>
      </c>
      <c r="G90" s="170" t="s">
        <v>69</v>
      </c>
      <c r="H90" s="132"/>
      <c r="I90" s="86"/>
      <c r="J90" s="86"/>
      <c r="K90" s="86"/>
      <c r="L90" s="86"/>
      <c r="M90" s="86"/>
      <c r="N90" s="86"/>
      <c r="O90" s="86"/>
      <c r="P90" s="86"/>
      <c r="Q90" s="111"/>
      <c r="R90" s="551"/>
      <c r="S90" s="200"/>
      <c r="T90" s="125"/>
      <c r="U90" s="125"/>
      <c r="V90" s="201"/>
      <c r="W90" s="200"/>
      <c r="X90" s="200"/>
      <c r="Y90" s="200"/>
      <c r="Z90" s="201"/>
      <c r="AA90" s="201"/>
      <c r="AB90" s="200"/>
      <c r="AC90" s="200"/>
      <c r="AD90" s="200"/>
      <c r="AE90" s="201"/>
      <c r="AF90" s="201"/>
      <c r="AG90" s="54"/>
      <c r="AH90" s="54"/>
      <c r="AI90" s="54"/>
    </row>
    <row r="91" spans="1:35" ht="14.45" customHeight="1" x14ac:dyDescent="0.25">
      <c r="A91" s="131"/>
      <c r="B91" s="132"/>
      <c r="C91" s="140"/>
      <c r="D91" s="128" t="s">
        <v>355</v>
      </c>
      <c r="E91" s="133">
        <v>0.8</v>
      </c>
      <c r="F91" s="133">
        <v>0.8</v>
      </c>
      <c r="G91" s="170" t="s">
        <v>169</v>
      </c>
      <c r="H91" s="132"/>
      <c r="I91" s="86"/>
      <c r="J91" s="86"/>
      <c r="K91" s="86"/>
      <c r="L91" s="86"/>
      <c r="M91" s="86"/>
      <c r="N91" s="86"/>
      <c r="O91" s="86"/>
      <c r="P91" s="86"/>
      <c r="Q91" s="111"/>
      <c r="R91" s="551"/>
      <c r="S91" s="200"/>
      <c r="T91" s="125"/>
      <c r="U91" s="125"/>
      <c r="V91" s="201"/>
      <c r="W91" s="200"/>
      <c r="X91" s="200"/>
      <c r="Y91" s="200"/>
      <c r="Z91" s="201"/>
      <c r="AA91" s="201"/>
      <c r="AB91" s="200"/>
      <c r="AC91" s="200"/>
      <c r="AD91" s="200"/>
      <c r="AE91" s="201"/>
      <c r="AF91" s="201"/>
      <c r="AG91" s="54"/>
      <c r="AH91" s="54"/>
      <c r="AI91" s="54"/>
    </row>
    <row r="92" spans="1:35" ht="14.45" customHeight="1" x14ac:dyDescent="0.25">
      <c r="A92" s="131"/>
      <c r="B92" s="132"/>
      <c r="C92" s="140"/>
      <c r="D92" s="128" t="s">
        <v>356</v>
      </c>
      <c r="E92" s="133">
        <v>44</v>
      </c>
      <c r="F92" s="133">
        <v>44</v>
      </c>
      <c r="G92" s="170" t="s">
        <v>70</v>
      </c>
      <c r="H92" s="132"/>
      <c r="I92" s="86"/>
      <c r="J92" s="86"/>
      <c r="K92" s="86"/>
      <c r="L92" s="86"/>
      <c r="M92" s="86"/>
      <c r="N92" s="86"/>
      <c r="O92" s="86"/>
      <c r="P92" s="86"/>
      <c r="Q92" s="111"/>
      <c r="R92" s="551"/>
      <c r="S92" s="200"/>
      <c r="T92" s="125"/>
      <c r="U92" s="125"/>
      <c r="V92" s="201"/>
      <c r="W92" s="200"/>
      <c r="X92" s="200"/>
      <c r="Y92" s="200"/>
      <c r="Z92" s="201"/>
      <c r="AA92" s="201"/>
      <c r="AB92" s="200"/>
      <c r="AC92" s="200"/>
      <c r="AD92" s="200"/>
      <c r="AE92" s="201"/>
      <c r="AF92" s="201"/>
      <c r="AG92" s="54"/>
      <c r="AH92" s="54"/>
      <c r="AI92" s="54"/>
    </row>
    <row r="93" spans="1:35" ht="14.45" customHeight="1" x14ac:dyDescent="0.25">
      <c r="A93" s="131"/>
      <c r="B93" s="132"/>
      <c r="C93" s="140"/>
      <c r="D93" s="128" t="s">
        <v>788</v>
      </c>
      <c r="E93" s="133">
        <v>1.8</v>
      </c>
      <c r="F93" s="133">
        <v>1.8</v>
      </c>
      <c r="G93" s="170" t="s">
        <v>0</v>
      </c>
      <c r="H93" s="132"/>
      <c r="I93" s="86"/>
      <c r="J93" s="86"/>
      <c r="K93" s="86"/>
      <c r="L93" s="86"/>
      <c r="M93" s="86"/>
      <c r="N93" s="86"/>
      <c r="O93" s="86"/>
      <c r="P93" s="86"/>
      <c r="Q93" s="111"/>
      <c r="R93" s="551"/>
      <c r="S93" s="200"/>
      <c r="T93" s="125"/>
      <c r="U93" s="125"/>
      <c r="V93" s="201"/>
      <c r="W93" s="200"/>
      <c r="X93" s="200"/>
      <c r="Y93" s="200"/>
      <c r="Z93" s="201"/>
      <c r="AA93" s="201"/>
      <c r="AB93" s="200"/>
      <c r="AC93" s="200"/>
      <c r="AD93" s="200"/>
      <c r="AE93" s="201"/>
      <c r="AF93" s="201"/>
      <c r="AG93" s="54"/>
      <c r="AH93" s="54"/>
      <c r="AI93" s="54"/>
    </row>
    <row r="94" spans="1:35" ht="14.45" customHeight="1" x14ac:dyDescent="0.25">
      <c r="A94" s="131"/>
      <c r="B94" s="132"/>
      <c r="C94" s="140"/>
      <c r="D94" s="128" t="s">
        <v>785</v>
      </c>
      <c r="E94" s="133">
        <v>1.3</v>
      </c>
      <c r="F94" s="133">
        <v>1.3</v>
      </c>
      <c r="G94" s="170" t="s">
        <v>0</v>
      </c>
      <c r="H94" s="132"/>
      <c r="I94" s="86"/>
      <c r="J94" s="86"/>
      <c r="K94" s="86"/>
      <c r="L94" s="86"/>
      <c r="M94" s="86"/>
      <c r="N94" s="86"/>
      <c r="O94" s="86"/>
      <c r="P94" s="86"/>
      <c r="Q94" s="111"/>
      <c r="R94" s="551"/>
      <c r="S94" s="200"/>
      <c r="T94" s="125"/>
      <c r="U94" s="125"/>
      <c r="V94" s="201"/>
      <c r="W94" s="200"/>
      <c r="X94" s="200"/>
      <c r="Y94" s="200"/>
      <c r="Z94" s="201"/>
      <c r="AA94" s="201"/>
      <c r="AB94" s="200"/>
      <c r="AC94" s="200"/>
      <c r="AD94" s="200"/>
      <c r="AE94" s="201"/>
      <c r="AF94" s="201"/>
      <c r="AG94" s="54"/>
      <c r="AH94" s="54"/>
      <c r="AI94" s="54"/>
    </row>
    <row r="95" spans="1:35" ht="14.45" customHeight="1" x14ac:dyDescent="0.25">
      <c r="A95" s="131"/>
      <c r="B95" s="132"/>
      <c r="C95" s="132"/>
      <c r="D95" s="128" t="s">
        <v>787</v>
      </c>
      <c r="E95" s="2"/>
      <c r="F95" s="133">
        <v>10</v>
      </c>
      <c r="G95" s="170" t="s">
        <v>69</v>
      </c>
      <c r="H95" s="132"/>
      <c r="I95" s="86"/>
      <c r="J95" s="86"/>
      <c r="K95" s="86"/>
      <c r="L95" s="86"/>
      <c r="M95" s="86"/>
      <c r="N95" s="86"/>
      <c r="O95" s="86"/>
      <c r="P95" s="86"/>
      <c r="Q95" s="111"/>
      <c r="R95" s="551"/>
      <c r="S95" s="200"/>
      <c r="T95" s="125"/>
      <c r="U95" s="125"/>
      <c r="V95" s="201"/>
      <c r="W95" s="200"/>
      <c r="X95" s="200"/>
      <c r="Y95" s="200"/>
      <c r="Z95" s="201"/>
      <c r="AA95" s="201"/>
      <c r="AB95" s="200"/>
      <c r="AC95" s="200"/>
      <c r="AD95" s="200"/>
      <c r="AE95" s="201"/>
      <c r="AF95" s="201"/>
      <c r="AG95" s="54"/>
      <c r="AH95" s="54"/>
      <c r="AI95" s="54"/>
    </row>
    <row r="96" spans="1:35" ht="14.45" customHeight="1" thickBot="1" x14ac:dyDescent="0.3">
      <c r="A96" s="205"/>
      <c r="B96" s="186"/>
      <c r="C96" s="206"/>
      <c r="D96" s="187" t="s">
        <v>357</v>
      </c>
      <c r="E96" s="263">
        <v>58</v>
      </c>
      <c r="F96" s="263">
        <v>58</v>
      </c>
      <c r="G96" s="188" t="s">
        <v>241</v>
      </c>
      <c r="H96" s="132"/>
      <c r="I96" s="86"/>
      <c r="J96" s="86"/>
      <c r="K96" s="86"/>
      <c r="L96" s="86"/>
      <c r="M96" s="86"/>
      <c r="N96" s="86"/>
      <c r="O96" s="86"/>
      <c r="P96" s="86"/>
      <c r="Q96" s="111"/>
      <c r="R96" s="551"/>
      <c r="S96" s="200"/>
      <c r="T96" s="125"/>
      <c r="U96" s="125"/>
      <c r="V96" s="201"/>
      <c r="W96" s="200"/>
      <c r="X96" s="200"/>
      <c r="Y96" s="200"/>
      <c r="Z96" s="201"/>
      <c r="AA96" s="201"/>
      <c r="AB96" s="200"/>
      <c r="AC96" s="200"/>
      <c r="AD96" s="200"/>
      <c r="AE96" s="201"/>
      <c r="AF96" s="201"/>
      <c r="AG96" s="54"/>
      <c r="AH96" s="54"/>
      <c r="AI96" s="54"/>
    </row>
    <row r="97" spans="1:35" ht="18" customHeight="1" thickBot="1" x14ac:dyDescent="0.25">
      <c r="A97" s="131"/>
      <c r="B97" s="132"/>
      <c r="C97" s="140"/>
      <c r="D97" s="128"/>
      <c r="E97" s="204"/>
      <c r="F97" s="207"/>
      <c r="G97" s="132"/>
      <c r="H97" s="132"/>
      <c r="I97" s="86"/>
      <c r="J97" s="86"/>
      <c r="K97" s="86"/>
      <c r="L97" s="86"/>
      <c r="M97" s="86"/>
      <c r="N97" s="86"/>
      <c r="O97" s="86"/>
      <c r="P97" s="86"/>
      <c r="Q97" s="111"/>
      <c r="R97" s="551"/>
      <c r="S97" s="200"/>
      <c r="T97" s="125"/>
      <c r="U97" s="125"/>
      <c r="V97" s="201"/>
      <c r="W97" s="200"/>
      <c r="X97" s="200"/>
      <c r="Y97" s="200"/>
      <c r="Z97" s="201"/>
      <c r="AA97" s="201"/>
      <c r="AB97" s="200"/>
      <c r="AC97" s="200"/>
      <c r="AD97" s="200"/>
      <c r="AE97" s="201"/>
      <c r="AF97" s="201"/>
      <c r="AG97" s="54"/>
      <c r="AH97" s="54"/>
      <c r="AI97" s="54"/>
    </row>
    <row r="98" spans="1:35" ht="14.45" customHeight="1" x14ac:dyDescent="0.25">
      <c r="A98" s="181"/>
      <c r="B98" s="182"/>
      <c r="C98" s="185"/>
      <c r="D98" s="214" t="s">
        <v>792</v>
      </c>
      <c r="E98" s="269" t="s">
        <v>980</v>
      </c>
      <c r="F98" s="183"/>
      <c r="G98" s="184"/>
      <c r="H98" s="132"/>
      <c r="I98" s="86"/>
      <c r="J98" s="86"/>
      <c r="K98" s="86"/>
      <c r="L98" s="86"/>
      <c r="M98" s="86"/>
      <c r="N98" s="86"/>
      <c r="O98" s="86"/>
      <c r="P98" s="86"/>
      <c r="Q98" s="111"/>
      <c r="R98" s="551"/>
      <c r="S98" s="200"/>
      <c r="T98" s="125"/>
      <c r="U98" s="125"/>
      <c r="V98" s="201"/>
      <c r="W98" s="200"/>
      <c r="X98" s="200"/>
      <c r="Y98" s="200"/>
      <c r="Z98" s="201"/>
      <c r="AA98" s="201"/>
      <c r="AB98" s="200"/>
      <c r="AC98" s="200"/>
      <c r="AD98" s="200"/>
      <c r="AE98" s="201"/>
      <c r="AF98" s="201"/>
      <c r="AG98" s="54"/>
      <c r="AH98" s="54"/>
      <c r="AI98" s="54"/>
    </row>
    <row r="99" spans="1:35" ht="14.45" customHeight="1" x14ac:dyDescent="0.2">
      <c r="A99" s="527"/>
      <c r="B99" s="117"/>
      <c r="C99" s="117"/>
      <c r="D99" s="117"/>
      <c r="E99" s="539" t="s">
        <v>765</v>
      </c>
      <c r="F99" s="537" t="s">
        <v>794</v>
      </c>
      <c r="G99" s="275"/>
      <c r="H99" s="132"/>
      <c r="I99" s="86"/>
      <c r="J99" s="86"/>
      <c r="K99" s="86"/>
      <c r="L99" s="86"/>
      <c r="M99" s="86"/>
      <c r="N99" s="86"/>
      <c r="O99" s="86"/>
      <c r="P99" s="86"/>
      <c r="Q99" s="111"/>
      <c r="R99" s="551"/>
      <c r="S99" s="200"/>
      <c r="T99" s="125"/>
      <c r="U99" s="125"/>
      <c r="V99" s="201"/>
      <c r="W99" s="200"/>
      <c r="X99" s="200"/>
      <c r="Y99" s="200"/>
      <c r="Z99" s="201"/>
      <c r="AA99" s="201"/>
      <c r="AB99" s="200"/>
      <c r="AC99" s="200"/>
      <c r="AD99" s="200"/>
      <c r="AE99" s="201"/>
      <c r="AF99" s="201"/>
      <c r="AG99" s="54"/>
      <c r="AH99" s="54"/>
      <c r="AI99" s="54"/>
    </row>
    <row r="100" spans="1:35" ht="14.45" customHeight="1" x14ac:dyDescent="0.25">
      <c r="A100" s="131"/>
      <c r="B100" s="132"/>
      <c r="C100" s="132"/>
      <c r="D100" s="128" t="s">
        <v>351</v>
      </c>
      <c r="E100" s="133">
        <v>10</v>
      </c>
      <c r="F100" s="133">
        <v>10</v>
      </c>
      <c r="G100" s="170" t="s">
        <v>53</v>
      </c>
      <c r="H100" s="132"/>
      <c r="I100" s="86"/>
      <c r="J100" s="86"/>
      <c r="K100" s="86"/>
      <c r="L100" s="86"/>
      <c r="M100" s="86"/>
      <c r="N100" s="86"/>
      <c r="O100" s="86"/>
      <c r="P100" s="86"/>
      <c r="Q100" s="111"/>
      <c r="R100" s="551"/>
      <c r="S100" s="200"/>
      <c r="T100" s="125"/>
      <c r="U100" s="125"/>
      <c r="V100" s="201"/>
      <c r="W100" s="200"/>
      <c r="X100" s="200"/>
      <c r="Y100" s="200"/>
      <c r="Z100" s="201"/>
      <c r="AA100" s="201"/>
      <c r="AB100" s="200"/>
      <c r="AC100" s="200"/>
      <c r="AD100" s="200"/>
      <c r="AE100" s="201"/>
      <c r="AF100" s="201"/>
      <c r="AG100" s="54"/>
      <c r="AH100" s="54"/>
      <c r="AI100" s="54"/>
    </row>
    <row r="101" spans="1:35" ht="14.45" customHeight="1" x14ac:dyDescent="0.25">
      <c r="A101" s="131"/>
      <c r="B101" s="132"/>
      <c r="C101" s="132"/>
      <c r="D101" s="128" t="s">
        <v>352</v>
      </c>
      <c r="E101" s="133">
        <v>45.3</v>
      </c>
      <c r="F101" s="133">
        <v>45.3</v>
      </c>
      <c r="G101" s="170" t="s">
        <v>69</v>
      </c>
      <c r="H101" s="132"/>
      <c r="I101" s="86"/>
      <c r="J101" s="86"/>
      <c r="K101" s="86"/>
      <c r="L101" s="86"/>
      <c r="M101" s="86"/>
      <c r="N101" s="86"/>
      <c r="O101" s="86"/>
      <c r="P101" s="86"/>
      <c r="Q101" s="111"/>
      <c r="R101" s="551"/>
      <c r="S101" s="200"/>
      <c r="T101" s="125"/>
      <c r="U101" s="125"/>
      <c r="V101" s="201"/>
      <c r="W101" s="200"/>
      <c r="X101" s="200"/>
      <c r="Y101" s="200"/>
      <c r="Z101" s="201"/>
      <c r="AA101" s="201"/>
      <c r="AB101" s="200"/>
      <c r="AC101" s="200"/>
      <c r="AD101" s="200"/>
      <c r="AE101" s="201"/>
      <c r="AF101" s="201"/>
      <c r="AG101" s="54"/>
      <c r="AH101" s="54"/>
      <c r="AI101" s="54"/>
    </row>
    <row r="102" spans="1:35" ht="14.45" customHeight="1" x14ac:dyDescent="0.25">
      <c r="A102" s="131"/>
      <c r="B102" s="132"/>
      <c r="C102" s="140"/>
      <c r="D102" s="128" t="s">
        <v>353</v>
      </c>
      <c r="E102" s="133">
        <v>13.3</v>
      </c>
      <c r="F102" s="133">
        <v>13.3</v>
      </c>
      <c r="G102" s="170" t="s">
        <v>69</v>
      </c>
      <c r="H102" s="132"/>
      <c r="I102" s="86"/>
      <c r="J102" s="86"/>
      <c r="K102" s="86"/>
      <c r="L102" s="86"/>
      <c r="M102" s="86"/>
      <c r="N102" s="86"/>
      <c r="O102" s="86"/>
      <c r="P102" s="86"/>
      <c r="Q102" s="111"/>
      <c r="R102" s="551"/>
      <c r="S102" s="200"/>
      <c r="T102" s="125"/>
      <c r="U102" s="125"/>
      <c r="V102" s="201"/>
      <c r="W102" s="200"/>
      <c r="X102" s="200"/>
      <c r="Y102" s="200"/>
      <c r="Z102" s="201"/>
      <c r="AA102" s="201"/>
      <c r="AB102" s="200"/>
      <c r="AC102" s="200"/>
      <c r="AD102" s="200"/>
      <c r="AE102" s="201"/>
      <c r="AF102" s="201"/>
      <c r="AG102" s="54"/>
      <c r="AH102" s="54"/>
      <c r="AI102" s="54"/>
    </row>
    <row r="103" spans="1:35" ht="14.45" customHeight="1" x14ac:dyDescent="0.25">
      <c r="A103" s="131"/>
      <c r="B103" s="132"/>
      <c r="C103" s="140"/>
      <c r="D103" s="128" t="s">
        <v>354</v>
      </c>
      <c r="E103" s="133">
        <v>5.3</v>
      </c>
      <c r="F103" s="133">
        <v>5.3</v>
      </c>
      <c r="G103" s="170" t="s">
        <v>69</v>
      </c>
      <c r="H103" s="132"/>
      <c r="I103" s="86"/>
      <c r="J103" s="86"/>
      <c r="K103" s="86"/>
      <c r="L103" s="86"/>
      <c r="M103" s="86"/>
      <c r="N103" s="86"/>
      <c r="O103" s="86"/>
      <c r="P103" s="86"/>
      <c r="Q103" s="111"/>
      <c r="R103" s="551"/>
      <c r="S103" s="200"/>
      <c r="T103" s="125"/>
      <c r="U103" s="125"/>
      <c r="V103" s="201"/>
      <c r="W103" s="200"/>
      <c r="X103" s="200"/>
      <c r="Y103" s="200"/>
      <c r="Z103" s="201"/>
      <c r="AA103" s="201"/>
      <c r="AB103" s="200"/>
      <c r="AC103" s="200"/>
      <c r="AD103" s="200"/>
      <c r="AE103" s="201"/>
      <c r="AF103" s="201"/>
      <c r="AG103" s="54"/>
      <c r="AH103" s="54"/>
      <c r="AI103" s="54"/>
    </row>
    <row r="104" spans="1:35" ht="14.45" customHeight="1" x14ac:dyDescent="0.25">
      <c r="A104" s="131"/>
      <c r="B104" s="132"/>
      <c r="C104" s="140"/>
      <c r="D104" s="128" t="s">
        <v>355</v>
      </c>
      <c r="E104" s="133">
        <v>0.8</v>
      </c>
      <c r="F104" s="133">
        <v>0.8</v>
      </c>
      <c r="G104" s="170" t="s">
        <v>169</v>
      </c>
      <c r="H104" s="132"/>
      <c r="I104" s="86"/>
      <c r="J104" s="86"/>
      <c r="K104" s="86"/>
      <c r="L104" s="86"/>
      <c r="M104" s="86"/>
      <c r="N104" s="86"/>
      <c r="O104" s="86"/>
      <c r="P104" s="86"/>
      <c r="Q104" s="111"/>
      <c r="R104" s="551"/>
      <c r="S104" s="200"/>
      <c r="T104" s="125"/>
      <c r="U104" s="125"/>
      <c r="V104" s="201"/>
      <c r="W104" s="200"/>
      <c r="X104" s="200"/>
      <c r="Y104" s="200"/>
      <c r="Z104" s="201"/>
      <c r="AA104" s="201"/>
      <c r="AB104" s="200"/>
      <c r="AC104" s="200"/>
      <c r="AD104" s="200"/>
      <c r="AE104" s="201"/>
      <c r="AF104" s="201"/>
      <c r="AG104" s="54"/>
      <c r="AH104" s="54"/>
      <c r="AI104" s="54"/>
    </row>
    <row r="105" spans="1:35" ht="14.45" customHeight="1" x14ac:dyDescent="0.25">
      <c r="A105" s="131"/>
      <c r="B105" s="132"/>
      <c r="C105" s="140"/>
      <c r="D105" s="128" t="s">
        <v>356</v>
      </c>
      <c r="E105" s="133">
        <v>44</v>
      </c>
      <c r="F105" s="133">
        <v>44</v>
      </c>
      <c r="G105" s="170" t="s">
        <v>70</v>
      </c>
      <c r="H105" s="132"/>
      <c r="I105" s="86"/>
      <c r="J105" s="86"/>
      <c r="K105" s="86"/>
      <c r="L105" s="86"/>
      <c r="M105" s="86"/>
      <c r="N105" s="86"/>
      <c r="O105" s="86"/>
      <c r="P105" s="86"/>
      <c r="Q105" s="111"/>
      <c r="R105" s="551"/>
      <c r="S105" s="54"/>
      <c r="T105" s="6"/>
      <c r="U105" s="6"/>
      <c r="W105" s="54"/>
      <c r="X105" s="54"/>
      <c r="Y105" s="54"/>
      <c r="AB105" s="54"/>
      <c r="AC105" s="54"/>
      <c r="AD105" s="54"/>
      <c r="AG105" s="54"/>
      <c r="AH105" s="54"/>
      <c r="AI105" s="54"/>
    </row>
    <row r="106" spans="1:35" ht="14.45" customHeight="1" x14ac:dyDescent="0.25">
      <c r="A106" s="131"/>
      <c r="B106" s="132"/>
      <c r="C106" s="140"/>
      <c r="D106" s="128" t="s">
        <v>788</v>
      </c>
      <c r="E106" s="133">
        <v>1.8</v>
      </c>
      <c r="F106" s="133">
        <v>1.8</v>
      </c>
      <c r="G106" s="170" t="s">
        <v>0</v>
      </c>
      <c r="H106" s="132"/>
      <c r="I106" s="86"/>
      <c r="J106" s="86"/>
      <c r="K106" s="86"/>
      <c r="L106" s="86"/>
      <c r="M106" s="86"/>
      <c r="N106" s="86"/>
      <c r="O106" s="86"/>
      <c r="P106" s="86"/>
      <c r="Q106" s="111"/>
      <c r="R106" s="551"/>
      <c r="S106" s="54"/>
      <c r="T106" s="54"/>
      <c r="W106" s="54"/>
      <c r="X106" s="54"/>
      <c r="Y106" s="54"/>
      <c r="AB106" s="54"/>
      <c r="AC106" s="54"/>
      <c r="AD106" s="54"/>
      <c r="AG106" s="54"/>
      <c r="AH106" s="54"/>
      <c r="AI106" s="54"/>
    </row>
    <row r="107" spans="1:35" ht="14.45" customHeight="1" x14ac:dyDescent="0.25">
      <c r="A107" s="131"/>
      <c r="B107" s="132"/>
      <c r="C107" s="132"/>
      <c r="D107" s="128" t="s">
        <v>785</v>
      </c>
      <c r="E107" s="133">
        <v>1.3</v>
      </c>
      <c r="F107" s="133">
        <v>1.3</v>
      </c>
      <c r="G107" s="170" t="s">
        <v>0</v>
      </c>
      <c r="H107" s="132"/>
      <c r="I107" s="86"/>
      <c r="J107" s="86"/>
      <c r="K107" s="86"/>
      <c r="L107" s="86"/>
      <c r="M107" s="86"/>
      <c r="N107" s="86"/>
      <c r="O107" s="86"/>
      <c r="P107" s="86"/>
      <c r="Q107" s="111"/>
      <c r="R107" s="551"/>
      <c r="S107" s="54"/>
      <c r="T107" s="54"/>
      <c r="W107" s="54"/>
      <c r="X107" s="54"/>
      <c r="Y107" s="54"/>
      <c r="AB107" s="54"/>
      <c r="AC107" s="54"/>
      <c r="AD107" s="54"/>
      <c r="AG107" s="54"/>
      <c r="AH107" s="54"/>
      <c r="AI107" s="54"/>
    </row>
    <row r="108" spans="1:35" ht="14.45" customHeight="1" x14ac:dyDescent="0.25">
      <c r="A108" s="131"/>
      <c r="B108" s="132"/>
      <c r="C108" s="132"/>
      <c r="D108" s="128" t="s">
        <v>787</v>
      </c>
      <c r="E108" s="133">
        <v>10</v>
      </c>
      <c r="F108" s="2"/>
      <c r="G108" s="170" t="s">
        <v>69</v>
      </c>
      <c r="H108" s="132"/>
      <c r="I108" s="86"/>
      <c r="J108" s="86"/>
      <c r="K108" s="86"/>
      <c r="L108" s="86"/>
      <c r="M108" s="86"/>
      <c r="N108" s="86"/>
      <c r="O108" s="86"/>
      <c r="P108" s="86"/>
      <c r="Q108" s="111"/>
      <c r="R108" s="551"/>
      <c r="S108" s="54"/>
      <c r="T108" s="54"/>
      <c r="W108" s="54"/>
      <c r="X108" s="54"/>
      <c r="Y108" s="54"/>
      <c r="AB108" s="54"/>
      <c r="AC108" s="54"/>
      <c r="AD108" s="54"/>
      <c r="AG108" s="54"/>
      <c r="AH108" s="54"/>
      <c r="AI108" s="54"/>
    </row>
    <row r="109" spans="1:35" ht="14.25" customHeight="1" thickBot="1" x14ac:dyDescent="0.3">
      <c r="A109" s="205"/>
      <c r="B109" s="186"/>
      <c r="C109" s="186"/>
      <c r="D109" s="187" t="s">
        <v>357</v>
      </c>
      <c r="E109" s="263">
        <v>58</v>
      </c>
      <c r="F109" s="263">
        <v>58</v>
      </c>
      <c r="G109" s="188" t="s">
        <v>241</v>
      </c>
      <c r="H109" s="132"/>
      <c r="I109" s="86"/>
      <c r="J109" s="86"/>
      <c r="K109" s="86"/>
      <c r="L109" s="86"/>
      <c r="M109" s="86"/>
      <c r="N109" s="86"/>
      <c r="O109" s="86"/>
      <c r="P109" s="86"/>
      <c r="Q109" s="111"/>
      <c r="R109" s="551"/>
      <c r="S109" s="54"/>
      <c r="T109" s="54"/>
      <c r="W109" s="54"/>
      <c r="X109" s="54"/>
      <c r="Y109" s="54"/>
      <c r="AB109" s="54"/>
      <c r="AC109" s="54"/>
      <c r="AD109" s="54"/>
      <c r="AG109" s="54"/>
      <c r="AH109" s="54"/>
      <c r="AI109" s="54"/>
    </row>
    <row r="110" spans="1:35" ht="14.45" customHeight="1" thickBot="1" x14ac:dyDescent="0.25">
      <c r="A110" s="131"/>
      <c r="B110" s="132"/>
      <c r="C110" s="132"/>
      <c r="D110" s="128"/>
      <c r="E110" s="514"/>
      <c r="F110" s="207"/>
      <c r="G110" s="132"/>
      <c r="H110" s="132"/>
      <c r="I110" s="90"/>
      <c r="J110" s="91"/>
      <c r="K110" s="86"/>
      <c r="L110" s="86"/>
      <c r="M110" s="86"/>
      <c r="N110" s="86"/>
      <c r="O110" s="86"/>
      <c r="P110" s="86"/>
      <c r="Q110" s="111"/>
      <c r="R110" s="551"/>
      <c r="S110" s="54"/>
      <c r="T110" s="54"/>
      <c r="W110" s="54"/>
      <c r="X110" s="54"/>
      <c r="Y110" s="54"/>
      <c r="AB110" s="54"/>
      <c r="AC110" s="54"/>
      <c r="AD110" s="54"/>
      <c r="AG110" s="54"/>
      <c r="AH110" s="54"/>
      <c r="AI110" s="54"/>
    </row>
    <row r="111" spans="1:35" ht="14.45" customHeight="1" x14ac:dyDescent="0.2">
      <c r="A111" s="530" t="s">
        <v>721</v>
      </c>
      <c r="B111" s="515"/>
      <c r="C111" s="516"/>
      <c r="D111" s="530"/>
      <c r="E111" s="535" t="s">
        <v>784</v>
      </c>
      <c r="F111" s="536" t="s">
        <v>795</v>
      </c>
      <c r="G111" s="517"/>
      <c r="H111" s="132"/>
      <c r="I111" s="86"/>
      <c r="J111" s="86"/>
      <c r="K111" s="86"/>
      <c r="L111" s="86"/>
      <c r="M111" s="86"/>
      <c r="N111" s="86"/>
      <c r="O111" s="86"/>
      <c r="P111" s="86"/>
      <c r="Q111" s="111"/>
      <c r="R111" s="551"/>
      <c r="S111" s="54"/>
      <c r="T111" s="54"/>
      <c r="W111" s="54"/>
      <c r="X111" s="54"/>
      <c r="Y111" s="54"/>
      <c r="AB111" s="54"/>
      <c r="AC111" s="54"/>
      <c r="AD111" s="54"/>
      <c r="AG111" s="54"/>
      <c r="AH111" s="54"/>
      <c r="AI111" s="54"/>
    </row>
    <row r="112" spans="1:35" ht="14.45" customHeight="1" x14ac:dyDescent="0.25">
      <c r="A112" s="131"/>
      <c r="B112" s="132"/>
      <c r="C112" s="132"/>
      <c r="D112" s="128" t="s">
        <v>789</v>
      </c>
      <c r="E112" s="264">
        <v>0</v>
      </c>
      <c r="F112" s="264">
        <v>0</v>
      </c>
      <c r="G112" s="170" t="s">
        <v>0</v>
      </c>
      <c r="H112" s="132"/>
      <c r="I112" s="86"/>
      <c r="J112" s="86"/>
      <c r="K112" s="86"/>
      <c r="L112" s="86"/>
      <c r="M112" s="86"/>
      <c r="N112" s="86"/>
      <c r="O112" s="86"/>
      <c r="P112" s="86"/>
      <c r="Q112" s="111"/>
      <c r="R112" s="551"/>
      <c r="S112" s="54"/>
      <c r="T112" s="54"/>
      <c r="W112" s="54"/>
      <c r="X112" s="54"/>
      <c r="Y112" s="54"/>
      <c r="AB112" s="54"/>
      <c r="AC112" s="54"/>
      <c r="AD112" s="54"/>
      <c r="AG112" s="54"/>
      <c r="AH112" s="54"/>
      <c r="AI112" s="54"/>
    </row>
    <row r="113" spans="1:35" ht="14.45" customHeight="1" thickBot="1" x14ac:dyDescent="0.3">
      <c r="A113" s="205"/>
      <c r="B113" s="186"/>
      <c r="C113" s="186"/>
      <c r="D113" s="187" t="s">
        <v>786</v>
      </c>
      <c r="E113" s="265">
        <v>0</v>
      </c>
      <c r="F113" s="265">
        <v>0</v>
      </c>
      <c r="G113" s="188" t="s">
        <v>69</v>
      </c>
      <c r="H113" s="132"/>
      <c r="I113" s="86"/>
      <c r="J113" s="86"/>
      <c r="K113" s="86"/>
      <c r="L113" s="86"/>
      <c r="M113" s="86"/>
      <c r="N113" s="86"/>
      <c r="O113" s="86"/>
      <c r="P113" s="86"/>
      <c r="Q113" s="111"/>
      <c r="R113" s="551"/>
      <c r="S113" s="54"/>
      <c r="T113" s="54"/>
      <c r="W113" s="54"/>
      <c r="X113" s="54"/>
      <c r="Y113" s="54"/>
      <c r="AB113" s="54"/>
      <c r="AC113" s="54"/>
      <c r="AD113" s="54"/>
      <c r="AG113" s="54"/>
      <c r="AH113" s="54"/>
      <c r="AI113" s="54"/>
    </row>
    <row r="114" spans="1:35" ht="13.5" thickBot="1" x14ac:dyDescent="0.25">
      <c r="A114" s="166"/>
      <c r="B114" s="167"/>
      <c r="C114" s="167"/>
      <c r="D114" s="167"/>
      <c r="E114" s="215"/>
      <c r="F114" s="167"/>
      <c r="G114" s="167"/>
      <c r="H114" s="167"/>
      <c r="I114" s="216"/>
      <c r="J114" s="216"/>
      <c r="K114" s="216"/>
      <c r="L114" s="216"/>
      <c r="M114" s="216"/>
      <c r="N114" s="216"/>
      <c r="O114" s="216"/>
      <c r="P114" s="216"/>
      <c r="Q114" s="217"/>
      <c r="R114" s="551"/>
      <c r="S114" s="54"/>
      <c r="T114" s="54"/>
      <c r="W114" s="54"/>
      <c r="X114" s="54"/>
      <c r="Y114" s="54"/>
      <c r="AB114" s="54"/>
      <c r="AC114" s="54"/>
      <c r="AD114" s="54"/>
      <c r="AG114" s="54"/>
      <c r="AH114" s="54"/>
      <c r="AI114" s="54"/>
    </row>
    <row r="115" spans="1:35" x14ac:dyDescent="0.2">
      <c r="A115" s="548"/>
      <c r="B115" s="549"/>
      <c r="C115" s="550"/>
      <c r="D115" s="550"/>
      <c r="E115" s="550"/>
      <c r="F115" s="550"/>
      <c r="G115" s="550"/>
      <c r="H115" s="550"/>
      <c r="I115" s="550"/>
      <c r="J115" s="550"/>
      <c r="K115" s="550"/>
      <c r="L115" s="550"/>
      <c r="M115" s="550"/>
      <c r="N115" s="550"/>
      <c r="O115" s="550"/>
      <c r="P115" s="550"/>
      <c r="Q115" s="550"/>
      <c r="R115" s="551"/>
      <c r="S115" s="54"/>
      <c r="T115" s="54"/>
      <c r="W115" s="54"/>
      <c r="X115" s="54"/>
      <c r="Y115" s="54"/>
      <c r="AB115" s="54"/>
      <c r="AC115" s="54"/>
      <c r="AD115" s="54"/>
      <c r="AG115" s="54"/>
      <c r="AH115" s="54"/>
      <c r="AI115" s="54"/>
    </row>
    <row r="116" spans="1:35" x14ac:dyDescent="0.2">
      <c r="A116" s="82"/>
      <c r="R116" s="54"/>
      <c r="S116" s="54"/>
      <c r="T116" s="54"/>
      <c r="W116" s="54"/>
      <c r="X116" s="54"/>
      <c r="Y116" s="54"/>
      <c r="AB116" s="54"/>
      <c r="AC116" s="54"/>
      <c r="AD116" s="54"/>
      <c r="AG116" s="54"/>
      <c r="AH116" s="54"/>
      <c r="AI116" s="54"/>
    </row>
    <row r="117" spans="1:35" x14ac:dyDescent="0.2">
      <c r="R117" s="54"/>
      <c r="S117" s="54"/>
      <c r="T117" s="54"/>
      <c r="W117" s="54"/>
      <c r="X117" s="54"/>
      <c r="Y117" s="54"/>
      <c r="AB117" s="54"/>
      <c r="AC117" s="54"/>
      <c r="AD117" s="54"/>
      <c r="AG117" s="54"/>
      <c r="AH117" s="54"/>
      <c r="AI117" s="54"/>
    </row>
    <row r="118" spans="1:35" x14ac:dyDescent="0.2">
      <c r="R118" s="54"/>
      <c r="S118" s="54"/>
      <c r="T118" s="54"/>
      <c r="W118" s="54"/>
      <c r="X118" s="54"/>
      <c r="Y118" s="54"/>
      <c r="AB118" s="54"/>
      <c r="AC118" s="54"/>
      <c r="AD118" s="54"/>
      <c r="AG118" s="54"/>
      <c r="AH118" s="54"/>
      <c r="AI118" s="54"/>
    </row>
    <row r="119" spans="1:35" x14ac:dyDescent="0.2">
      <c r="R119" s="54"/>
      <c r="S119" s="54"/>
      <c r="T119" s="54"/>
      <c r="W119" s="54"/>
      <c r="X119" s="54"/>
      <c r="Y119" s="54"/>
      <c r="AB119" s="54"/>
      <c r="AC119" s="54"/>
      <c r="AD119" s="54"/>
      <c r="AG119" s="54"/>
      <c r="AH119" s="54"/>
      <c r="AI119" s="54"/>
    </row>
    <row r="120" spans="1:35" x14ac:dyDescent="0.2">
      <c r="R120" s="54"/>
      <c r="S120" s="54"/>
      <c r="T120" s="54"/>
      <c r="W120" s="54"/>
      <c r="X120" s="54"/>
      <c r="Y120" s="54"/>
      <c r="AB120" s="54"/>
      <c r="AC120" s="54"/>
      <c r="AD120" s="54"/>
      <c r="AG120" s="54"/>
      <c r="AH120" s="54"/>
      <c r="AI120" s="54"/>
    </row>
    <row r="121" spans="1:35" x14ac:dyDescent="0.2">
      <c r="R121" s="54"/>
      <c r="S121" s="54"/>
      <c r="T121" s="54"/>
      <c r="W121" s="54"/>
      <c r="X121" s="54"/>
      <c r="Y121" s="54"/>
      <c r="AB121" s="54"/>
      <c r="AC121" s="54"/>
      <c r="AD121" s="54"/>
      <c r="AG121" s="54"/>
      <c r="AH121" s="54"/>
      <c r="AI121" s="54"/>
    </row>
    <row r="122" spans="1:35" x14ac:dyDescent="0.2">
      <c r="R122" s="54"/>
      <c r="S122" s="54"/>
      <c r="T122" s="54"/>
      <c r="W122" s="54"/>
      <c r="X122" s="54"/>
      <c r="Y122" s="54"/>
      <c r="AB122" s="54"/>
      <c r="AC122" s="54"/>
      <c r="AD122" s="54"/>
      <c r="AG122" s="54"/>
      <c r="AH122" s="54"/>
      <c r="AI122" s="54"/>
    </row>
    <row r="123" spans="1:35" x14ac:dyDescent="0.2">
      <c r="R123" s="54"/>
      <c r="S123" s="54"/>
      <c r="T123" s="54"/>
      <c r="W123" s="54"/>
      <c r="X123" s="54"/>
      <c r="Y123" s="54"/>
      <c r="AB123" s="54"/>
      <c r="AC123" s="54"/>
      <c r="AD123" s="54"/>
      <c r="AG123" s="54"/>
      <c r="AH123" s="54"/>
      <c r="AI123" s="54"/>
    </row>
    <row r="124" spans="1:35" x14ac:dyDescent="0.2">
      <c r="R124" s="54"/>
      <c r="S124" s="54"/>
      <c r="T124" s="54"/>
      <c r="W124" s="54"/>
      <c r="X124" s="54"/>
      <c r="Y124" s="54"/>
      <c r="AB124" s="54"/>
      <c r="AC124" s="54"/>
      <c r="AD124" s="54"/>
      <c r="AG124" s="54"/>
      <c r="AH124" s="54"/>
      <c r="AI124" s="54"/>
    </row>
    <row r="125" spans="1:35" x14ac:dyDescent="0.2">
      <c r="R125" s="54"/>
      <c r="S125" s="54"/>
      <c r="T125" s="54"/>
      <c r="W125" s="54"/>
      <c r="X125" s="54"/>
      <c r="Y125" s="54"/>
      <c r="AB125" s="54"/>
      <c r="AC125" s="54"/>
      <c r="AD125" s="54"/>
      <c r="AG125" s="54"/>
      <c r="AH125" s="54"/>
      <c r="AI125" s="54"/>
    </row>
    <row r="126" spans="1:35" x14ac:dyDescent="0.2">
      <c r="R126" s="54"/>
      <c r="S126" s="54"/>
      <c r="T126" s="54"/>
      <c r="W126" s="54"/>
      <c r="X126" s="54"/>
      <c r="Y126" s="54"/>
      <c r="AB126" s="54"/>
      <c r="AC126" s="54"/>
      <c r="AD126" s="54"/>
      <c r="AG126" s="54"/>
      <c r="AH126" s="54"/>
      <c r="AI126" s="54"/>
    </row>
    <row r="127" spans="1:35" x14ac:dyDescent="0.2">
      <c r="R127" s="54"/>
      <c r="S127" s="54"/>
      <c r="T127" s="54"/>
      <c r="W127" s="54"/>
      <c r="X127" s="54"/>
      <c r="Y127" s="54"/>
      <c r="AB127" s="54"/>
      <c r="AC127" s="54"/>
      <c r="AD127" s="54"/>
      <c r="AG127" s="54"/>
      <c r="AH127" s="54"/>
      <c r="AI127" s="54"/>
    </row>
    <row r="128" spans="1:35" x14ac:dyDescent="0.2">
      <c r="R128" s="54"/>
      <c r="S128" s="54"/>
      <c r="T128" s="54"/>
      <c r="W128" s="54"/>
      <c r="X128" s="54"/>
      <c r="Y128" s="54"/>
      <c r="AB128" s="54"/>
      <c r="AC128" s="54"/>
      <c r="AD128" s="54"/>
      <c r="AG128" s="54"/>
      <c r="AH128" s="54"/>
      <c r="AI128" s="54"/>
    </row>
    <row r="129" spans="18:35" x14ac:dyDescent="0.2">
      <c r="R129" s="54"/>
      <c r="S129" s="54"/>
      <c r="T129" s="54"/>
      <c r="W129" s="54"/>
      <c r="X129" s="54"/>
      <c r="Y129" s="54"/>
      <c r="AB129" s="54"/>
      <c r="AC129" s="54"/>
      <c r="AD129" s="54"/>
      <c r="AG129" s="54"/>
      <c r="AH129" s="54"/>
      <c r="AI129" s="54"/>
    </row>
    <row r="130" spans="18:35" x14ac:dyDescent="0.2">
      <c r="R130" s="54"/>
      <c r="S130" s="54"/>
      <c r="T130" s="54"/>
      <c r="W130" s="54"/>
      <c r="X130" s="54"/>
      <c r="Y130" s="54"/>
      <c r="AB130" s="54"/>
      <c r="AC130" s="54"/>
      <c r="AD130" s="54"/>
      <c r="AG130" s="54"/>
      <c r="AH130" s="54"/>
      <c r="AI130" s="54"/>
    </row>
    <row r="131" spans="18:35" x14ac:dyDescent="0.2">
      <c r="R131" s="54"/>
      <c r="S131" s="54"/>
      <c r="T131" s="54"/>
      <c r="W131" s="54"/>
      <c r="X131" s="54"/>
      <c r="Y131" s="54"/>
      <c r="AB131" s="54"/>
      <c r="AC131" s="54"/>
      <c r="AD131" s="54"/>
      <c r="AG131" s="54"/>
      <c r="AH131" s="54"/>
      <c r="AI131" s="54"/>
    </row>
    <row r="132" spans="18:35" x14ac:dyDescent="0.2">
      <c r="R132" s="54"/>
      <c r="S132" s="54"/>
      <c r="T132" s="54"/>
      <c r="W132" s="54"/>
      <c r="X132" s="54"/>
      <c r="Y132" s="54"/>
      <c r="AB132" s="54"/>
      <c r="AC132" s="54"/>
      <c r="AD132" s="54"/>
      <c r="AG132" s="54"/>
      <c r="AH132" s="54"/>
      <c r="AI132" s="54"/>
    </row>
    <row r="133" spans="18:35" x14ac:dyDescent="0.2">
      <c r="R133" s="54"/>
      <c r="S133" s="54"/>
      <c r="T133" s="54"/>
      <c r="W133" s="54"/>
      <c r="X133" s="54"/>
      <c r="Y133" s="54"/>
      <c r="AB133" s="54"/>
      <c r="AC133" s="54"/>
      <c r="AD133" s="54"/>
      <c r="AG133" s="54"/>
      <c r="AH133" s="54"/>
      <c r="AI133" s="54"/>
    </row>
    <row r="134" spans="18:35" x14ac:dyDescent="0.2">
      <c r="R134" s="54"/>
      <c r="S134" s="54"/>
      <c r="T134" s="54"/>
      <c r="W134" s="54"/>
      <c r="X134" s="54"/>
      <c r="Y134" s="54"/>
      <c r="AB134" s="54"/>
      <c r="AC134" s="54"/>
      <c r="AD134" s="54"/>
      <c r="AG134" s="54"/>
      <c r="AH134" s="54"/>
      <c r="AI134" s="54"/>
    </row>
    <row r="135" spans="18:35" x14ac:dyDescent="0.2">
      <c r="R135" s="54"/>
      <c r="S135" s="54"/>
      <c r="T135" s="54"/>
      <c r="W135" s="54"/>
      <c r="X135" s="54"/>
      <c r="Y135" s="54"/>
      <c r="AB135" s="54"/>
      <c r="AC135" s="54"/>
      <c r="AD135" s="54"/>
      <c r="AG135" s="54"/>
      <c r="AH135" s="54"/>
      <c r="AI135" s="54"/>
    </row>
    <row r="136" spans="18:35" x14ac:dyDescent="0.2">
      <c r="R136" s="54"/>
      <c r="S136" s="54"/>
      <c r="T136" s="54"/>
      <c r="W136" s="54"/>
      <c r="X136" s="54"/>
      <c r="Y136" s="54"/>
      <c r="AB136" s="54"/>
      <c r="AC136" s="54"/>
      <c r="AD136" s="54"/>
      <c r="AG136" s="54"/>
      <c r="AH136" s="54"/>
      <c r="AI136" s="54"/>
    </row>
    <row r="137" spans="18:35" x14ac:dyDescent="0.2">
      <c r="R137" s="54"/>
      <c r="S137" s="54"/>
      <c r="T137" s="54"/>
      <c r="W137" s="54"/>
      <c r="X137" s="54"/>
      <c r="Y137" s="54"/>
      <c r="AB137" s="54"/>
      <c r="AC137" s="54"/>
      <c r="AD137" s="54"/>
      <c r="AG137" s="54"/>
      <c r="AH137" s="54"/>
      <c r="AI137" s="54"/>
    </row>
    <row r="138" spans="18:35" x14ac:dyDescent="0.2">
      <c r="R138" s="54"/>
      <c r="S138" s="54"/>
      <c r="T138" s="54"/>
      <c r="W138" s="54"/>
      <c r="X138" s="54"/>
      <c r="Y138" s="54"/>
      <c r="AB138" s="54"/>
      <c r="AC138" s="54"/>
      <c r="AD138" s="54"/>
      <c r="AG138" s="54"/>
      <c r="AH138" s="54"/>
      <c r="AI138" s="54"/>
    </row>
    <row r="139" spans="18:35" x14ac:dyDescent="0.2">
      <c r="R139" s="54"/>
      <c r="S139" s="54"/>
      <c r="T139" s="54"/>
      <c r="W139" s="54"/>
      <c r="X139" s="54"/>
      <c r="Y139" s="54"/>
      <c r="AB139" s="54"/>
      <c r="AC139" s="54"/>
      <c r="AD139" s="54"/>
      <c r="AG139" s="54"/>
      <c r="AH139" s="54"/>
      <c r="AI139" s="54"/>
    </row>
    <row r="140" spans="18:35" x14ac:dyDescent="0.2">
      <c r="R140" s="54"/>
      <c r="S140" s="54"/>
      <c r="T140" s="54"/>
      <c r="W140" s="54"/>
      <c r="X140" s="54"/>
      <c r="Y140" s="54"/>
      <c r="AB140" s="54"/>
      <c r="AC140" s="54"/>
      <c r="AD140" s="54"/>
      <c r="AG140" s="54"/>
      <c r="AH140" s="54"/>
      <c r="AI140" s="54"/>
    </row>
    <row r="141" spans="18:35" x14ac:dyDescent="0.2">
      <c r="R141" s="54"/>
      <c r="S141" s="54"/>
      <c r="T141" s="54"/>
      <c r="W141" s="54"/>
      <c r="X141" s="54"/>
      <c r="Y141" s="54"/>
      <c r="AB141" s="54"/>
      <c r="AC141" s="54"/>
      <c r="AD141" s="54"/>
      <c r="AG141" s="54"/>
      <c r="AH141" s="54"/>
      <c r="AI141" s="54"/>
    </row>
    <row r="142" spans="18:35" x14ac:dyDescent="0.2">
      <c r="R142" s="54"/>
      <c r="S142" s="54"/>
      <c r="T142" s="54"/>
      <c r="W142" s="54"/>
      <c r="X142" s="54"/>
      <c r="Y142" s="54"/>
      <c r="AB142" s="54"/>
      <c r="AC142" s="54"/>
      <c r="AD142" s="54"/>
      <c r="AG142" s="54"/>
      <c r="AH142" s="54"/>
      <c r="AI142" s="54"/>
    </row>
    <row r="143" spans="18:35" x14ac:dyDescent="0.2">
      <c r="R143" s="54"/>
      <c r="S143" s="54"/>
      <c r="T143" s="54"/>
      <c r="W143" s="54"/>
      <c r="X143" s="54"/>
      <c r="Y143" s="54"/>
      <c r="AB143" s="54"/>
      <c r="AC143" s="54"/>
      <c r="AD143" s="54"/>
      <c r="AG143" s="54"/>
      <c r="AH143" s="54"/>
      <c r="AI143" s="54"/>
    </row>
    <row r="144" spans="18:35" x14ac:dyDescent="0.2">
      <c r="R144" s="54"/>
      <c r="S144" s="54"/>
      <c r="T144" s="54"/>
      <c r="W144" s="54"/>
      <c r="X144" s="54"/>
      <c r="Y144" s="54"/>
      <c r="AB144" s="54"/>
      <c r="AC144" s="54"/>
      <c r="AD144" s="54"/>
      <c r="AG144" s="54"/>
      <c r="AH144" s="54"/>
      <c r="AI144" s="54"/>
    </row>
    <row r="145" spans="18:35" x14ac:dyDescent="0.2">
      <c r="R145" s="54"/>
      <c r="S145" s="54"/>
      <c r="T145" s="54"/>
      <c r="W145" s="54"/>
      <c r="X145" s="54"/>
      <c r="Y145" s="54"/>
      <c r="AB145" s="54"/>
      <c r="AC145" s="54"/>
      <c r="AD145" s="54"/>
      <c r="AG145" s="54"/>
      <c r="AH145" s="54"/>
      <c r="AI145" s="54"/>
    </row>
    <row r="146" spans="18:35" x14ac:dyDescent="0.2">
      <c r="R146" s="54"/>
      <c r="S146" s="54"/>
      <c r="T146" s="54"/>
      <c r="W146" s="54"/>
      <c r="X146" s="54"/>
      <c r="Y146" s="54"/>
      <c r="AB146" s="54"/>
      <c r="AC146" s="54"/>
      <c r="AD146" s="54"/>
      <c r="AG146" s="54"/>
      <c r="AH146" s="54"/>
      <c r="AI146" s="54"/>
    </row>
    <row r="147" spans="18:35" x14ac:dyDescent="0.2">
      <c r="R147" s="54"/>
      <c r="S147" s="54"/>
      <c r="T147" s="54"/>
      <c r="W147" s="54"/>
      <c r="X147" s="54"/>
      <c r="Y147" s="54"/>
      <c r="AB147" s="54"/>
      <c r="AC147" s="54"/>
      <c r="AD147" s="54"/>
      <c r="AG147" s="54"/>
      <c r="AH147" s="54"/>
      <c r="AI147" s="54"/>
    </row>
    <row r="148" spans="18:35" x14ac:dyDescent="0.2">
      <c r="R148" s="54"/>
      <c r="S148" s="54"/>
      <c r="T148" s="54"/>
      <c r="W148" s="54"/>
      <c r="X148" s="54"/>
      <c r="Y148" s="54"/>
      <c r="AB148" s="54"/>
      <c r="AC148" s="54"/>
      <c r="AD148" s="54"/>
      <c r="AG148" s="54"/>
      <c r="AH148" s="54"/>
      <c r="AI148" s="54"/>
    </row>
    <row r="149" spans="18:35" x14ac:dyDescent="0.2">
      <c r="R149" s="54"/>
      <c r="S149" s="54"/>
      <c r="T149" s="54"/>
      <c r="W149" s="54"/>
      <c r="X149" s="54"/>
      <c r="Y149" s="54"/>
      <c r="AB149" s="54"/>
      <c r="AC149" s="54"/>
      <c r="AD149" s="54"/>
      <c r="AG149" s="54"/>
      <c r="AH149" s="54"/>
      <c r="AI149" s="54"/>
    </row>
    <row r="150" spans="18:35" x14ac:dyDescent="0.2">
      <c r="R150" s="54"/>
      <c r="S150" s="54"/>
      <c r="T150" s="54"/>
      <c r="W150" s="54"/>
      <c r="X150" s="54"/>
      <c r="Y150" s="54"/>
      <c r="AB150" s="54"/>
      <c r="AC150" s="54"/>
      <c r="AD150" s="54"/>
      <c r="AG150" s="54"/>
      <c r="AH150" s="54"/>
      <c r="AI150" s="54"/>
    </row>
    <row r="151" spans="18:35" x14ac:dyDescent="0.2">
      <c r="R151" s="54"/>
      <c r="S151" s="54"/>
      <c r="T151" s="54"/>
      <c r="W151" s="54"/>
      <c r="X151" s="54"/>
      <c r="Y151" s="54"/>
      <c r="AB151" s="54"/>
      <c r="AC151" s="54"/>
      <c r="AD151" s="54"/>
      <c r="AG151" s="54"/>
      <c r="AH151" s="54"/>
      <c r="AI151" s="54"/>
    </row>
    <row r="152" spans="18:35" x14ac:dyDescent="0.2">
      <c r="R152" s="54"/>
      <c r="S152" s="54"/>
      <c r="T152" s="54"/>
      <c r="W152" s="54"/>
      <c r="X152" s="54"/>
      <c r="Y152" s="54"/>
      <c r="AB152" s="54"/>
      <c r="AC152" s="54"/>
      <c r="AD152" s="54"/>
      <c r="AG152" s="54"/>
      <c r="AH152" s="54"/>
      <c r="AI152" s="54"/>
    </row>
    <row r="153" spans="18:35" x14ac:dyDescent="0.2">
      <c r="R153" s="54"/>
      <c r="S153" s="54"/>
      <c r="T153" s="54"/>
      <c r="W153" s="54"/>
      <c r="X153" s="54"/>
      <c r="Y153" s="54"/>
      <c r="AB153" s="54"/>
      <c r="AC153" s="54"/>
      <c r="AD153" s="54"/>
      <c r="AG153" s="54"/>
      <c r="AH153" s="54"/>
      <c r="AI153" s="54"/>
    </row>
    <row r="154" spans="18:35" x14ac:dyDescent="0.2">
      <c r="R154" s="54"/>
      <c r="S154" s="54"/>
      <c r="T154" s="54"/>
      <c r="W154" s="54"/>
      <c r="X154" s="54"/>
      <c r="Y154" s="54"/>
      <c r="AB154" s="54"/>
      <c r="AC154" s="54"/>
      <c r="AD154" s="54"/>
      <c r="AG154" s="54"/>
      <c r="AH154" s="54"/>
      <c r="AI154" s="54"/>
    </row>
    <row r="155" spans="18:35" x14ac:dyDescent="0.2">
      <c r="R155" s="54"/>
      <c r="S155" s="54"/>
      <c r="T155" s="54"/>
      <c r="W155" s="54"/>
      <c r="X155" s="54"/>
      <c r="Y155" s="54"/>
      <c r="AB155" s="54"/>
      <c r="AC155" s="54"/>
      <c r="AD155" s="54"/>
      <c r="AG155" s="54"/>
      <c r="AH155" s="54"/>
      <c r="AI155" s="54"/>
    </row>
    <row r="156" spans="18:35" x14ac:dyDescent="0.2">
      <c r="R156" s="54"/>
      <c r="S156" s="54"/>
      <c r="T156" s="54"/>
      <c r="W156" s="54"/>
      <c r="X156" s="54"/>
      <c r="Y156" s="54"/>
      <c r="AB156" s="54"/>
      <c r="AC156" s="54"/>
      <c r="AD156" s="54"/>
      <c r="AG156" s="54"/>
      <c r="AH156" s="54"/>
      <c r="AI156" s="54"/>
    </row>
    <row r="157" spans="18:35" x14ac:dyDescent="0.2">
      <c r="R157" s="54"/>
      <c r="S157" s="54"/>
      <c r="T157" s="54"/>
      <c r="W157" s="54"/>
      <c r="X157" s="54"/>
      <c r="Y157" s="54"/>
      <c r="AB157" s="54"/>
      <c r="AC157" s="54"/>
      <c r="AD157" s="54"/>
      <c r="AG157" s="54"/>
      <c r="AH157" s="54"/>
      <c r="AI157" s="54"/>
    </row>
    <row r="158" spans="18:35" x14ac:dyDescent="0.2">
      <c r="R158" s="54"/>
      <c r="S158" s="54"/>
      <c r="T158" s="54"/>
      <c r="W158" s="54"/>
      <c r="X158" s="54"/>
      <c r="Y158" s="54"/>
      <c r="AB158" s="54"/>
      <c r="AC158" s="54"/>
      <c r="AD158" s="54"/>
      <c r="AG158" s="54"/>
      <c r="AH158" s="54"/>
      <c r="AI158" s="54"/>
    </row>
    <row r="159" spans="18:35" x14ac:dyDescent="0.2">
      <c r="R159" s="54"/>
      <c r="S159" s="54"/>
      <c r="T159" s="54"/>
      <c r="W159" s="54"/>
      <c r="X159" s="54"/>
      <c r="Y159" s="54"/>
      <c r="AB159" s="54"/>
      <c r="AC159" s="54"/>
      <c r="AD159" s="54"/>
      <c r="AG159" s="54"/>
      <c r="AH159" s="54"/>
      <c r="AI159" s="54"/>
    </row>
    <row r="160" spans="18:35" x14ac:dyDescent="0.2">
      <c r="R160" s="54"/>
      <c r="S160" s="54"/>
      <c r="T160" s="54"/>
      <c r="W160" s="54"/>
      <c r="X160" s="54"/>
      <c r="Y160" s="54"/>
      <c r="AB160" s="54"/>
      <c r="AC160" s="54"/>
      <c r="AD160" s="54"/>
      <c r="AG160" s="54"/>
      <c r="AH160" s="54"/>
      <c r="AI160" s="54"/>
    </row>
    <row r="161" spans="18:35" x14ac:dyDescent="0.2">
      <c r="R161" s="54"/>
      <c r="S161" s="54"/>
      <c r="T161" s="54"/>
      <c r="W161" s="54"/>
      <c r="X161" s="54"/>
      <c r="Y161" s="54"/>
      <c r="AB161" s="54"/>
      <c r="AC161" s="54"/>
      <c r="AD161" s="54"/>
      <c r="AG161" s="54"/>
      <c r="AH161" s="54"/>
      <c r="AI161" s="54"/>
    </row>
    <row r="162" spans="18:35" x14ac:dyDescent="0.2">
      <c r="R162" s="54"/>
      <c r="S162" s="54"/>
      <c r="T162" s="54"/>
      <c r="W162" s="54"/>
      <c r="X162" s="54"/>
      <c r="Y162" s="54"/>
      <c r="AB162" s="54"/>
      <c r="AC162" s="54"/>
      <c r="AD162" s="54"/>
      <c r="AG162" s="54"/>
      <c r="AH162" s="54"/>
      <c r="AI162" s="54"/>
    </row>
    <row r="163" spans="18:35" x14ac:dyDescent="0.2">
      <c r="R163" s="54"/>
      <c r="S163" s="54"/>
      <c r="T163" s="54"/>
      <c r="W163" s="54"/>
      <c r="X163" s="54"/>
      <c r="Y163" s="54"/>
      <c r="AB163" s="54"/>
      <c r="AC163" s="54"/>
      <c r="AD163" s="54"/>
      <c r="AG163" s="54"/>
      <c r="AH163" s="54"/>
      <c r="AI163" s="54"/>
    </row>
    <row r="164" spans="18:35" x14ac:dyDescent="0.2">
      <c r="R164" s="54"/>
      <c r="S164" s="54"/>
      <c r="T164" s="54"/>
      <c r="W164" s="54"/>
      <c r="X164" s="54"/>
      <c r="Y164" s="54"/>
      <c r="AB164" s="54"/>
      <c r="AC164" s="54"/>
      <c r="AD164" s="54"/>
      <c r="AG164" s="54"/>
      <c r="AH164" s="54"/>
      <c r="AI164" s="54"/>
    </row>
    <row r="165" spans="18:35" x14ac:dyDescent="0.2">
      <c r="R165" s="54"/>
      <c r="S165" s="54"/>
      <c r="T165" s="54"/>
      <c r="W165" s="54"/>
      <c r="X165" s="54"/>
      <c r="Y165" s="54"/>
      <c r="AB165" s="54"/>
      <c r="AC165" s="54"/>
      <c r="AD165" s="54"/>
      <c r="AG165" s="54"/>
      <c r="AH165" s="54"/>
      <c r="AI165" s="54"/>
    </row>
    <row r="166" spans="18:35" x14ac:dyDescent="0.2">
      <c r="R166" s="54"/>
      <c r="S166" s="54"/>
      <c r="T166" s="54"/>
      <c r="W166" s="54"/>
      <c r="X166" s="54"/>
      <c r="Y166" s="54"/>
      <c r="AB166" s="54"/>
      <c r="AC166" s="54"/>
      <c r="AD166" s="54"/>
      <c r="AG166" s="54"/>
      <c r="AH166" s="54"/>
      <c r="AI166" s="54"/>
    </row>
    <row r="167" spans="18:35" x14ac:dyDescent="0.2">
      <c r="R167" s="54"/>
      <c r="S167" s="54"/>
      <c r="T167" s="54"/>
      <c r="W167" s="54"/>
      <c r="X167" s="54"/>
      <c r="Y167" s="54"/>
      <c r="AB167" s="54"/>
      <c r="AC167" s="54"/>
      <c r="AD167" s="54"/>
      <c r="AG167" s="54"/>
      <c r="AH167" s="54"/>
      <c r="AI167" s="54"/>
    </row>
    <row r="168" spans="18:35" x14ac:dyDescent="0.2">
      <c r="R168" s="54"/>
      <c r="S168" s="54"/>
      <c r="T168" s="54"/>
      <c r="W168" s="54"/>
      <c r="X168" s="54"/>
      <c r="Y168" s="54"/>
      <c r="AB168" s="54"/>
      <c r="AC168" s="54"/>
      <c r="AD168" s="54"/>
      <c r="AG168" s="54"/>
      <c r="AH168" s="54"/>
      <c r="AI168" s="54"/>
    </row>
    <row r="169" spans="18:35" x14ac:dyDescent="0.2">
      <c r="R169" s="54"/>
      <c r="S169" s="54"/>
      <c r="T169" s="54"/>
      <c r="W169" s="54"/>
      <c r="X169" s="54"/>
      <c r="Y169" s="54"/>
      <c r="AB169" s="54"/>
      <c r="AC169" s="54"/>
      <c r="AD169" s="54"/>
      <c r="AG169" s="54"/>
      <c r="AH169" s="54"/>
      <c r="AI169" s="54"/>
    </row>
    <row r="170" spans="18:35" x14ac:dyDescent="0.2">
      <c r="R170" s="54"/>
      <c r="S170" s="54"/>
      <c r="T170" s="54"/>
      <c r="W170" s="54"/>
      <c r="X170" s="54"/>
      <c r="Y170" s="54"/>
      <c r="AB170" s="54"/>
      <c r="AC170" s="54"/>
      <c r="AD170" s="54"/>
      <c r="AG170" s="54"/>
      <c r="AH170" s="54"/>
      <c r="AI170" s="54"/>
    </row>
    <row r="171" spans="18:35" x14ac:dyDescent="0.2">
      <c r="R171" s="54"/>
      <c r="S171" s="54"/>
      <c r="T171" s="54"/>
      <c r="W171" s="54"/>
      <c r="X171" s="54"/>
      <c r="Y171" s="54"/>
      <c r="AB171" s="54"/>
      <c r="AC171" s="54"/>
      <c r="AD171" s="54"/>
      <c r="AG171" s="54"/>
      <c r="AH171" s="54"/>
      <c r="AI171" s="54"/>
    </row>
    <row r="172" spans="18:35" x14ac:dyDescent="0.2">
      <c r="R172" s="54"/>
      <c r="S172" s="54"/>
      <c r="T172" s="54"/>
      <c r="W172" s="54"/>
      <c r="X172" s="54"/>
      <c r="Y172" s="54"/>
      <c r="AB172" s="54"/>
      <c r="AC172" s="54"/>
      <c r="AD172" s="54"/>
      <c r="AG172" s="54"/>
      <c r="AH172" s="54"/>
      <c r="AI172" s="54"/>
    </row>
    <row r="173" spans="18:35" x14ac:dyDescent="0.2">
      <c r="R173" s="54"/>
      <c r="S173" s="54"/>
      <c r="T173" s="54"/>
      <c r="W173" s="54"/>
      <c r="X173" s="54"/>
      <c r="Y173" s="54"/>
      <c r="AB173" s="54"/>
      <c r="AC173" s="54"/>
      <c r="AD173" s="54"/>
      <c r="AG173" s="54"/>
      <c r="AH173" s="54"/>
      <c r="AI173" s="54"/>
    </row>
    <row r="174" spans="18:35" x14ac:dyDescent="0.2">
      <c r="R174" s="54"/>
      <c r="S174" s="54"/>
      <c r="T174" s="54"/>
      <c r="W174" s="54"/>
      <c r="X174" s="54"/>
      <c r="Y174" s="54"/>
      <c r="AB174" s="54"/>
      <c r="AC174" s="54"/>
      <c r="AD174" s="54"/>
      <c r="AG174" s="54"/>
      <c r="AH174" s="54"/>
      <c r="AI174" s="54"/>
    </row>
    <row r="175" spans="18:35" x14ac:dyDescent="0.2">
      <c r="R175" s="54"/>
      <c r="S175" s="54"/>
      <c r="T175" s="54"/>
      <c r="W175" s="54"/>
      <c r="X175" s="54"/>
      <c r="Y175" s="54"/>
      <c r="AB175" s="54"/>
      <c r="AC175" s="54"/>
      <c r="AD175" s="54"/>
      <c r="AG175" s="54"/>
      <c r="AH175" s="54"/>
      <c r="AI175" s="54"/>
    </row>
    <row r="176" spans="18:35" x14ac:dyDescent="0.2">
      <c r="R176" s="54"/>
      <c r="S176" s="54"/>
      <c r="T176" s="54"/>
      <c r="W176" s="54"/>
      <c r="X176" s="54"/>
      <c r="Y176" s="54"/>
      <c r="AB176" s="54"/>
      <c r="AC176" s="54"/>
      <c r="AD176" s="54"/>
      <c r="AG176" s="54"/>
      <c r="AH176" s="54"/>
      <c r="AI176" s="54"/>
    </row>
    <row r="177" spans="18:35" x14ac:dyDescent="0.2">
      <c r="R177" s="54"/>
      <c r="S177" s="54"/>
      <c r="T177" s="54"/>
      <c r="W177" s="54"/>
      <c r="X177" s="54"/>
      <c r="Y177" s="54"/>
      <c r="AB177" s="54"/>
      <c r="AC177" s="54"/>
      <c r="AD177" s="54"/>
      <c r="AG177" s="54"/>
      <c r="AH177" s="54"/>
      <c r="AI177" s="54"/>
    </row>
    <row r="178" spans="18:35" x14ac:dyDescent="0.2">
      <c r="R178" s="54"/>
      <c r="S178" s="54"/>
      <c r="T178" s="54"/>
      <c r="W178" s="54"/>
      <c r="X178" s="54"/>
      <c r="Y178" s="54"/>
      <c r="AB178" s="54"/>
      <c r="AC178" s="54"/>
      <c r="AD178" s="54"/>
      <c r="AG178" s="54"/>
      <c r="AH178" s="54"/>
      <c r="AI178" s="54"/>
    </row>
    <row r="179" spans="18:35" x14ac:dyDescent="0.2">
      <c r="R179" s="54"/>
      <c r="S179" s="54"/>
      <c r="T179" s="54"/>
      <c r="W179" s="54"/>
      <c r="X179" s="54"/>
      <c r="Y179" s="54"/>
      <c r="AB179" s="54"/>
      <c r="AC179" s="54"/>
      <c r="AD179" s="54"/>
      <c r="AG179" s="54"/>
      <c r="AH179" s="54"/>
      <c r="AI179" s="54"/>
    </row>
    <row r="180" spans="18:35" x14ac:dyDescent="0.2">
      <c r="R180" s="54"/>
      <c r="S180" s="54"/>
      <c r="T180" s="54"/>
      <c r="W180" s="54"/>
      <c r="X180" s="54"/>
      <c r="Y180" s="54"/>
      <c r="AB180" s="54"/>
      <c r="AC180" s="54"/>
      <c r="AD180" s="54"/>
      <c r="AG180" s="54"/>
      <c r="AH180" s="54"/>
      <c r="AI180" s="54"/>
    </row>
    <row r="181" spans="18:35" x14ac:dyDescent="0.2">
      <c r="R181" s="54"/>
      <c r="S181" s="54"/>
      <c r="T181" s="54"/>
      <c r="W181" s="54"/>
      <c r="X181" s="54"/>
      <c r="Y181" s="54"/>
      <c r="AB181" s="54"/>
      <c r="AC181" s="54"/>
      <c r="AD181" s="54"/>
      <c r="AG181" s="54"/>
      <c r="AH181" s="54"/>
      <c r="AI181" s="54"/>
    </row>
    <row r="182" spans="18:35" x14ac:dyDescent="0.2">
      <c r="R182" s="54"/>
      <c r="S182" s="54"/>
      <c r="T182" s="54"/>
      <c r="W182" s="54"/>
      <c r="X182" s="54"/>
      <c r="Y182" s="54"/>
      <c r="AB182" s="54"/>
      <c r="AC182" s="54"/>
      <c r="AD182" s="54"/>
      <c r="AG182" s="54"/>
      <c r="AH182" s="54"/>
      <c r="AI182" s="54"/>
    </row>
    <row r="183" spans="18:35" x14ac:dyDescent="0.2">
      <c r="R183" s="54"/>
      <c r="S183" s="54"/>
      <c r="T183" s="54"/>
      <c r="W183" s="54"/>
      <c r="X183" s="54"/>
      <c r="Y183" s="54"/>
      <c r="AB183" s="54"/>
      <c r="AC183" s="54"/>
      <c r="AD183" s="54"/>
      <c r="AG183" s="54"/>
      <c r="AH183" s="54"/>
      <c r="AI183" s="54"/>
    </row>
    <row r="184" spans="18:35" x14ac:dyDescent="0.2">
      <c r="R184" s="54"/>
      <c r="S184" s="54"/>
      <c r="T184" s="54"/>
      <c r="W184" s="54"/>
      <c r="X184" s="54"/>
      <c r="Y184" s="54"/>
      <c r="AB184" s="54"/>
      <c r="AC184" s="54"/>
      <c r="AD184" s="54"/>
      <c r="AG184" s="54"/>
      <c r="AH184" s="54"/>
      <c r="AI184" s="54"/>
    </row>
    <row r="185" spans="18:35" x14ac:dyDescent="0.2">
      <c r="R185" s="54"/>
      <c r="S185" s="54"/>
      <c r="T185" s="54"/>
      <c r="W185" s="54"/>
      <c r="X185" s="54"/>
      <c r="Y185" s="54"/>
      <c r="AB185" s="54"/>
      <c r="AC185" s="54"/>
      <c r="AD185" s="54"/>
      <c r="AG185" s="54"/>
      <c r="AH185" s="54"/>
      <c r="AI185" s="54"/>
    </row>
    <row r="186" spans="18:35" x14ac:dyDescent="0.2">
      <c r="R186" s="54"/>
      <c r="S186" s="54"/>
      <c r="T186" s="54"/>
      <c r="W186" s="54"/>
      <c r="X186" s="54"/>
      <c r="Y186" s="54"/>
      <c r="AB186" s="54"/>
      <c r="AC186" s="54"/>
      <c r="AD186" s="54"/>
      <c r="AG186" s="54"/>
      <c r="AH186" s="54"/>
      <c r="AI186" s="54"/>
    </row>
    <row r="187" spans="18:35" x14ac:dyDescent="0.2">
      <c r="R187" s="54"/>
      <c r="S187" s="54"/>
      <c r="T187" s="54"/>
      <c r="W187" s="54"/>
      <c r="X187" s="54"/>
      <c r="Y187" s="54"/>
      <c r="AB187" s="54"/>
      <c r="AC187" s="54"/>
      <c r="AD187" s="54"/>
      <c r="AG187" s="54"/>
      <c r="AH187" s="54"/>
      <c r="AI187" s="54"/>
    </row>
    <row r="188" spans="18:35" x14ac:dyDescent="0.2">
      <c r="R188" s="54"/>
      <c r="S188" s="54"/>
      <c r="T188" s="54"/>
      <c r="W188" s="54"/>
      <c r="X188" s="54"/>
      <c r="Y188" s="54"/>
      <c r="AB188" s="54"/>
      <c r="AC188" s="54"/>
      <c r="AD188" s="54"/>
      <c r="AG188" s="54"/>
      <c r="AH188" s="54"/>
      <c r="AI188" s="54"/>
    </row>
    <row r="189" spans="18:35" x14ac:dyDescent="0.2">
      <c r="R189" s="54"/>
      <c r="S189" s="54"/>
      <c r="T189" s="54"/>
      <c r="W189" s="54"/>
      <c r="X189" s="54"/>
      <c r="Y189" s="54"/>
      <c r="AB189" s="54"/>
      <c r="AC189" s="54"/>
      <c r="AD189" s="54"/>
      <c r="AG189" s="54"/>
      <c r="AH189" s="54"/>
      <c r="AI189" s="54"/>
    </row>
    <row r="190" spans="18:35" x14ac:dyDescent="0.2">
      <c r="R190" s="54"/>
      <c r="S190" s="54"/>
      <c r="T190" s="54"/>
      <c r="W190" s="54"/>
      <c r="X190" s="54"/>
      <c r="Y190" s="54"/>
      <c r="AB190" s="54"/>
      <c r="AC190" s="54"/>
      <c r="AD190" s="54"/>
      <c r="AG190" s="54"/>
      <c r="AH190" s="54"/>
      <c r="AI190" s="54"/>
    </row>
    <row r="191" spans="18:35" x14ac:dyDescent="0.2">
      <c r="R191" s="54"/>
      <c r="S191" s="54"/>
      <c r="T191" s="54"/>
      <c r="W191" s="54"/>
      <c r="X191" s="54"/>
      <c r="Y191" s="54"/>
      <c r="AB191" s="54"/>
      <c r="AC191" s="54"/>
      <c r="AD191" s="54"/>
      <c r="AG191" s="54"/>
      <c r="AH191" s="54"/>
      <c r="AI191" s="54"/>
    </row>
    <row r="192" spans="18:35" x14ac:dyDescent="0.2">
      <c r="R192" s="54"/>
      <c r="S192" s="54"/>
      <c r="T192" s="54"/>
      <c r="W192" s="54"/>
      <c r="X192" s="54"/>
      <c r="Y192" s="54"/>
      <c r="AB192" s="54"/>
      <c r="AC192" s="54"/>
      <c r="AD192" s="54"/>
      <c r="AG192" s="54"/>
      <c r="AH192" s="54"/>
      <c r="AI192" s="54"/>
    </row>
    <row r="193" spans="18:35" x14ac:dyDescent="0.2">
      <c r="R193" s="54"/>
      <c r="S193" s="54"/>
      <c r="T193" s="54"/>
      <c r="W193" s="54"/>
      <c r="X193" s="54"/>
      <c r="Y193" s="54"/>
      <c r="AB193" s="54"/>
      <c r="AC193" s="54"/>
      <c r="AD193" s="54"/>
      <c r="AG193" s="54"/>
      <c r="AH193" s="54"/>
      <c r="AI193" s="54"/>
    </row>
    <row r="194" spans="18:35" x14ac:dyDescent="0.2">
      <c r="R194" s="54"/>
      <c r="S194" s="54"/>
      <c r="T194" s="54"/>
      <c r="W194" s="54"/>
      <c r="X194" s="54"/>
      <c r="Y194" s="54"/>
      <c r="AB194" s="54"/>
      <c r="AC194" s="54"/>
      <c r="AD194" s="54"/>
      <c r="AG194" s="54"/>
      <c r="AH194" s="54"/>
      <c r="AI194" s="54"/>
    </row>
    <row r="195" spans="18:35" x14ac:dyDescent="0.2">
      <c r="R195" s="54"/>
      <c r="S195" s="54"/>
      <c r="T195" s="54"/>
      <c r="W195" s="54"/>
      <c r="X195" s="54"/>
      <c r="Y195" s="54"/>
      <c r="AB195" s="54"/>
      <c r="AC195" s="54"/>
      <c r="AD195" s="54"/>
      <c r="AG195" s="54"/>
      <c r="AH195" s="54"/>
      <c r="AI195" s="54"/>
    </row>
    <row r="196" spans="18:35" x14ac:dyDescent="0.2">
      <c r="R196" s="54"/>
      <c r="S196" s="54"/>
      <c r="T196" s="54"/>
      <c r="W196" s="54"/>
      <c r="X196" s="54"/>
      <c r="Y196" s="54"/>
      <c r="AB196" s="54"/>
      <c r="AC196" s="54"/>
      <c r="AD196" s="54"/>
      <c r="AG196" s="54"/>
      <c r="AH196" s="54"/>
      <c r="AI196" s="54"/>
    </row>
    <row r="197" spans="18:35" x14ac:dyDescent="0.2">
      <c r="R197" s="54"/>
      <c r="S197" s="54"/>
      <c r="T197" s="54"/>
      <c r="W197" s="54"/>
      <c r="X197" s="54"/>
      <c r="Y197" s="54"/>
      <c r="AB197" s="54"/>
      <c r="AC197" s="54"/>
      <c r="AD197" s="54"/>
      <c r="AG197" s="54"/>
      <c r="AH197" s="54"/>
      <c r="AI197" s="54"/>
    </row>
    <row r="198" spans="18:35" x14ac:dyDescent="0.2">
      <c r="R198" s="54"/>
      <c r="S198" s="54"/>
      <c r="T198" s="54"/>
      <c r="W198" s="54"/>
      <c r="X198" s="54"/>
      <c r="Y198" s="54"/>
      <c r="AB198" s="54"/>
      <c r="AC198" s="54"/>
      <c r="AD198" s="54"/>
      <c r="AG198" s="54"/>
      <c r="AH198" s="54"/>
      <c r="AI198" s="54"/>
    </row>
    <row r="199" spans="18:35" x14ac:dyDescent="0.2">
      <c r="R199" s="54"/>
      <c r="S199" s="54"/>
      <c r="T199" s="54"/>
      <c r="W199" s="54"/>
      <c r="X199" s="54"/>
      <c r="Y199" s="54"/>
      <c r="AB199" s="54"/>
      <c r="AC199" s="54"/>
      <c r="AD199" s="54"/>
      <c r="AG199" s="54"/>
      <c r="AH199" s="54"/>
      <c r="AI199" s="54"/>
    </row>
    <row r="200" spans="18:35" x14ac:dyDescent="0.2">
      <c r="R200" s="54"/>
      <c r="S200" s="54"/>
      <c r="T200" s="54"/>
      <c r="W200" s="54"/>
      <c r="X200" s="54"/>
      <c r="Y200" s="54"/>
      <c r="AB200" s="54"/>
      <c r="AC200" s="54"/>
      <c r="AD200" s="54"/>
      <c r="AG200" s="54"/>
      <c r="AH200" s="54"/>
      <c r="AI200" s="54"/>
    </row>
    <row r="201" spans="18:35" x14ac:dyDescent="0.2">
      <c r="R201" s="54"/>
      <c r="S201" s="54"/>
      <c r="T201" s="54"/>
      <c r="W201" s="54"/>
      <c r="X201" s="54"/>
      <c r="Y201" s="54"/>
      <c r="AB201" s="54"/>
      <c r="AC201" s="54"/>
      <c r="AD201" s="54"/>
      <c r="AG201" s="54"/>
      <c r="AH201" s="54"/>
      <c r="AI201" s="54"/>
    </row>
    <row r="202" spans="18:35" x14ac:dyDescent="0.2">
      <c r="R202" s="54"/>
      <c r="S202" s="54"/>
      <c r="T202" s="54"/>
      <c r="W202" s="54"/>
      <c r="X202" s="54"/>
      <c r="Y202" s="54"/>
      <c r="AB202" s="54"/>
      <c r="AC202" s="54"/>
      <c r="AD202" s="54"/>
      <c r="AG202" s="54"/>
      <c r="AH202" s="54"/>
      <c r="AI202" s="54"/>
    </row>
    <row r="203" spans="18:35" x14ac:dyDescent="0.2">
      <c r="R203" s="54"/>
      <c r="S203" s="54"/>
      <c r="T203" s="54"/>
      <c r="W203" s="54"/>
      <c r="X203" s="54"/>
      <c r="Y203" s="54"/>
      <c r="AB203" s="54"/>
      <c r="AC203" s="54"/>
      <c r="AD203" s="54"/>
      <c r="AG203" s="54"/>
      <c r="AH203" s="54"/>
      <c r="AI203" s="54"/>
    </row>
    <row r="204" spans="18:35" x14ac:dyDescent="0.2">
      <c r="R204" s="54"/>
      <c r="S204" s="54"/>
      <c r="T204" s="54"/>
      <c r="W204" s="54"/>
      <c r="X204" s="54"/>
      <c r="Y204" s="54"/>
      <c r="AB204" s="54"/>
      <c r="AC204" s="54"/>
      <c r="AD204" s="54"/>
      <c r="AG204" s="54"/>
      <c r="AH204" s="54"/>
      <c r="AI204" s="54"/>
    </row>
    <row r="205" spans="18:35" x14ac:dyDescent="0.2">
      <c r="R205" s="54"/>
      <c r="S205" s="54"/>
      <c r="T205" s="54"/>
      <c r="W205" s="54"/>
      <c r="X205" s="54"/>
      <c r="Y205" s="54"/>
      <c r="AB205" s="54"/>
      <c r="AC205" s="54"/>
      <c r="AD205" s="54"/>
      <c r="AG205" s="54"/>
      <c r="AH205" s="54"/>
      <c r="AI205" s="54"/>
    </row>
    <row r="206" spans="18:35" x14ac:dyDescent="0.2">
      <c r="R206" s="54"/>
      <c r="S206" s="54"/>
      <c r="T206" s="54"/>
      <c r="W206" s="54"/>
      <c r="X206" s="54"/>
      <c r="Y206" s="54"/>
      <c r="AB206" s="54"/>
      <c r="AC206" s="54"/>
      <c r="AD206" s="54"/>
      <c r="AG206" s="54"/>
      <c r="AH206" s="54"/>
      <c r="AI206" s="54"/>
    </row>
    <row r="207" spans="18:35" x14ac:dyDescent="0.2">
      <c r="R207" s="54"/>
      <c r="S207" s="54"/>
      <c r="T207" s="54"/>
      <c r="W207" s="54"/>
      <c r="X207" s="54"/>
      <c r="Y207" s="54"/>
      <c r="AB207" s="54"/>
      <c r="AC207" s="54"/>
      <c r="AD207" s="54"/>
      <c r="AG207" s="54"/>
      <c r="AH207" s="54"/>
      <c r="AI207" s="54"/>
    </row>
    <row r="208" spans="18:35" x14ac:dyDescent="0.2">
      <c r="R208" s="54"/>
      <c r="S208" s="54"/>
      <c r="T208" s="54"/>
      <c r="W208" s="54"/>
      <c r="X208" s="54"/>
      <c r="Y208" s="54"/>
      <c r="AB208" s="54"/>
      <c r="AC208" s="54"/>
      <c r="AD208" s="54"/>
      <c r="AG208" s="54"/>
      <c r="AH208" s="54"/>
      <c r="AI208" s="54"/>
    </row>
    <row r="209" spans="18:35" x14ac:dyDescent="0.2">
      <c r="R209" s="54"/>
      <c r="S209" s="54"/>
      <c r="T209" s="54"/>
      <c r="W209" s="54"/>
      <c r="X209" s="54"/>
      <c r="Y209" s="54"/>
      <c r="AB209" s="54"/>
      <c r="AC209" s="54"/>
      <c r="AD209" s="54"/>
      <c r="AG209" s="54"/>
      <c r="AH209" s="54"/>
      <c r="AI209" s="54"/>
    </row>
    <row r="210" spans="18:35" x14ac:dyDescent="0.2">
      <c r="R210" s="54"/>
      <c r="S210" s="54"/>
      <c r="T210" s="54"/>
      <c r="W210" s="54"/>
      <c r="X210" s="54"/>
      <c r="Y210" s="54"/>
      <c r="AB210" s="54"/>
      <c r="AC210" s="54"/>
      <c r="AD210" s="54"/>
      <c r="AG210" s="54"/>
      <c r="AH210" s="54"/>
      <c r="AI210" s="54"/>
    </row>
    <row r="211" spans="18:35" x14ac:dyDescent="0.2">
      <c r="R211" s="54"/>
      <c r="S211" s="54"/>
      <c r="T211" s="54"/>
      <c r="W211" s="54"/>
      <c r="X211" s="54"/>
      <c r="Y211" s="54"/>
      <c r="AB211" s="54"/>
      <c r="AC211" s="54"/>
      <c r="AD211" s="54"/>
      <c r="AG211" s="54"/>
      <c r="AH211" s="54"/>
      <c r="AI211" s="54"/>
    </row>
    <row r="212" spans="18:35" x14ac:dyDescent="0.2">
      <c r="R212" s="54"/>
      <c r="S212" s="54"/>
      <c r="T212" s="54"/>
      <c r="W212" s="54"/>
      <c r="X212" s="54"/>
      <c r="Y212" s="54"/>
      <c r="AB212" s="54"/>
      <c r="AC212" s="54"/>
      <c r="AD212" s="54"/>
      <c r="AG212" s="54"/>
      <c r="AH212" s="54"/>
      <c r="AI212" s="54"/>
    </row>
    <row r="213" spans="18:35" x14ac:dyDescent="0.2">
      <c r="R213" s="54"/>
      <c r="S213" s="54"/>
      <c r="T213" s="54"/>
      <c r="W213" s="54"/>
      <c r="X213" s="54"/>
      <c r="Y213" s="54"/>
      <c r="AB213" s="54"/>
      <c r="AC213" s="54"/>
      <c r="AD213" s="54"/>
      <c r="AG213" s="54"/>
      <c r="AH213" s="54"/>
      <c r="AI213" s="54"/>
    </row>
    <row r="214" spans="18:35" x14ac:dyDescent="0.2">
      <c r="R214" s="54"/>
      <c r="S214" s="54"/>
      <c r="T214" s="54"/>
      <c r="W214" s="54"/>
      <c r="X214" s="54"/>
      <c r="Y214" s="54"/>
      <c r="AB214" s="54"/>
      <c r="AC214" s="54"/>
      <c r="AD214" s="54"/>
      <c r="AG214" s="54"/>
      <c r="AH214" s="54"/>
      <c r="AI214" s="54"/>
    </row>
    <row r="215" spans="18:35" x14ac:dyDescent="0.2">
      <c r="R215" s="54"/>
      <c r="S215" s="54"/>
      <c r="T215" s="54"/>
      <c r="W215" s="54"/>
      <c r="X215" s="54"/>
      <c r="Y215" s="54"/>
      <c r="AB215" s="54"/>
      <c r="AC215" s="54"/>
      <c r="AD215" s="54"/>
      <c r="AG215" s="54"/>
      <c r="AH215" s="54"/>
      <c r="AI215" s="54"/>
    </row>
    <row r="216" spans="18:35" x14ac:dyDescent="0.2">
      <c r="R216" s="54"/>
      <c r="S216" s="54"/>
      <c r="T216" s="54"/>
      <c r="W216" s="54"/>
      <c r="X216" s="54"/>
      <c r="Y216" s="54"/>
      <c r="AB216" s="54"/>
      <c r="AC216" s="54"/>
      <c r="AD216" s="54"/>
      <c r="AG216" s="54"/>
      <c r="AH216" s="54"/>
      <c r="AI216" s="54"/>
    </row>
    <row r="217" spans="18:35" x14ac:dyDescent="0.2">
      <c r="R217" s="54"/>
      <c r="S217" s="54"/>
      <c r="T217" s="54"/>
      <c r="W217" s="54"/>
      <c r="X217" s="54"/>
      <c r="Y217" s="54"/>
      <c r="AB217" s="54"/>
      <c r="AC217" s="54"/>
      <c r="AD217" s="54"/>
      <c r="AG217" s="54"/>
      <c r="AH217" s="54"/>
      <c r="AI217" s="54"/>
    </row>
    <row r="218" spans="18:35" x14ac:dyDescent="0.2">
      <c r="R218" s="54"/>
      <c r="S218" s="54"/>
      <c r="T218" s="54"/>
      <c r="W218" s="54"/>
      <c r="X218" s="54"/>
      <c r="Y218" s="54"/>
      <c r="AB218" s="54"/>
      <c r="AC218" s="54"/>
      <c r="AD218" s="54"/>
      <c r="AG218" s="54"/>
      <c r="AH218" s="54"/>
      <c r="AI218" s="54"/>
    </row>
    <row r="219" spans="18:35" x14ac:dyDescent="0.2">
      <c r="R219" s="54"/>
      <c r="S219" s="54"/>
      <c r="T219" s="54"/>
      <c r="W219" s="54"/>
      <c r="X219" s="54"/>
      <c r="Y219" s="54"/>
      <c r="AB219" s="54"/>
      <c r="AC219" s="54"/>
      <c r="AD219" s="54"/>
      <c r="AG219" s="54"/>
      <c r="AH219" s="54"/>
      <c r="AI219" s="54"/>
    </row>
    <row r="220" spans="18:35" x14ac:dyDescent="0.2">
      <c r="R220" s="54"/>
      <c r="S220" s="54"/>
      <c r="T220" s="54"/>
      <c r="W220" s="54"/>
      <c r="X220" s="54"/>
      <c r="Y220" s="54"/>
      <c r="AB220" s="54"/>
      <c r="AC220" s="54"/>
      <c r="AD220" s="54"/>
      <c r="AG220" s="54"/>
      <c r="AH220" s="54"/>
      <c r="AI220" s="54"/>
    </row>
    <row r="221" spans="18:35" x14ac:dyDescent="0.2">
      <c r="R221" s="54"/>
      <c r="S221" s="54"/>
      <c r="T221" s="54"/>
      <c r="W221" s="54"/>
      <c r="X221" s="54"/>
      <c r="Y221" s="54"/>
      <c r="AB221" s="54"/>
      <c r="AC221" s="54"/>
      <c r="AD221" s="54"/>
      <c r="AG221" s="54"/>
      <c r="AH221" s="54"/>
      <c r="AI221" s="54"/>
    </row>
    <row r="222" spans="18:35" x14ac:dyDescent="0.2">
      <c r="R222" s="54"/>
      <c r="S222" s="54"/>
      <c r="T222" s="54"/>
      <c r="W222" s="54"/>
      <c r="X222" s="54"/>
      <c r="Y222" s="54"/>
      <c r="AB222" s="54"/>
      <c r="AC222" s="54"/>
      <c r="AD222" s="54"/>
      <c r="AG222" s="54"/>
      <c r="AH222" s="54"/>
      <c r="AI222" s="54"/>
    </row>
    <row r="223" spans="18:35" x14ac:dyDescent="0.2">
      <c r="R223" s="54"/>
      <c r="S223" s="54"/>
      <c r="T223" s="54"/>
      <c r="W223" s="54"/>
      <c r="X223" s="54"/>
      <c r="Y223" s="54"/>
      <c r="AB223" s="54"/>
      <c r="AC223" s="54"/>
      <c r="AD223" s="54"/>
      <c r="AG223" s="54"/>
      <c r="AH223" s="54"/>
      <c r="AI223" s="54"/>
    </row>
    <row r="224" spans="18:35" x14ac:dyDescent="0.2">
      <c r="R224" s="54"/>
      <c r="S224" s="54"/>
      <c r="T224" s="54"/>
      <c r="W224" s="54"/>
      <c r="X224" s="54"/>
      <c r="Y224" s="54"/>
      <c r="AB224" s="54"/>
      <c r="AC224" s="54"/>
      <c r="AD224" s="54"/>
      <c r="AG224" s="54"/>
      <c r="AH224" s="54"/>
      <c r="AI224" s="54"/>
    </row>
    <row r="225" spans="18:35" x14ac:dyDescent="0.2">
      <c r="R225" s="54"/>
      <c r="S225" s="54"/>
      <c r="T225" s="54"/>
      <c r="W225" s="54"/>
      <c r="X225" s="54"/>
      <c r="Y225" s="54"/>
      <c r="AB225" s="54"/>
      <c r="AC225" s="54"/>
      <c r="AD225" s="54"/>
      <c r="AG225" s="54"/>
      <c r="AH225" s="54"/>
      <c r="AI225" s="54"/>
    </row>
    <row r="226" spans="18:35" x14ac:dyDescent="0.2">
      <c r="R226" s="54"/>
      <c r="S226" s="54"/>
      <c r="T226" s="54"/>
      <c r="W226" s="54"/>
      <c r="X226" s="54"/>
      <c r="Y226" s="54"/>
      <c r="AB226" s="54"/>
      <c r="AC226" s="54"/>
      <c r="AD226" s="54"/>
      <c r="AG226" s="54"/>
      <c r="AH226" s="54"/>
      <c r="AI226" s="54"/>
    </row>
    <row r="227" spans="18:35" x14ac:dyDescent="0.2">
      <c r="R227" s="54"/>
      <c r="S227" s="54"/>
      <c r="T227" s="54"/>
      <c r="W227" s="54"/>
      <c r="X227" s="54"/>
      <c r="Y227" s="54"/>
      <c r="AB227" s="54"/>
      <c r="AC227" s="54"/>
      <c r="AD227" s="54"/>
      <c r="AG227" s="54"/>
      <c r="AH227" s="54"/>
      <c r="AI227" s="54"/>
    </row>
    <row r="228" spans="18:35" x14ac:dyDescent="0.2">
      <c r="R228" s="54"/>
      <c r="S228" s="54"/>
      <c r="T228" s="54"/>
      <c r="W228" s="54"/>
      <c r="X228" s="54"/>
      <c r="Y228" s="54"/>
      <c r="AB228" s="54"/>
      <c r="AC228" s="54"/>
      <c r="AD228" s="54"/>
      <c r="AG228" s="54"/>
      <c r="AH228" s="54"/>
      <c r="AI228" s="54"/>
    </row>
    <row r="229" spans="18:35" x14ac:dyDescent="0.2">
      <c r="R229" s="54"/>
      <c r="S229" s="54"/>
      <c r="T229" s="54"/>
      <c r="W229" s="54"/>
      <c r="X229" s="54"/>
      <c r="Y229" s="54"/>
      <c r="AB229" s="54"/>
      <c r="AC229" s="54"/>
      <c r="AD229" s="54"/>
      <c r="AG229" s="54"/>
      <c r="AH229" s="54"/>
      <c r="AI229" s="54"/>
    </row>
    <row r="230" spans="18:35" x14ac:dyDescent="0.2">
      <c r="R230" s="54"/>
      <c r="S230" s="54"/>
      <c r="T230" s="54"/>
      <c r="W230" s="54"/>
      <c r="X230" s="54"/>
      <c r="Y230" s="54"/>
      <c r="AB230" s="54"/>
      <c r="AC230" s="54"/>
      <c r="AD230" s="54"/>
      <c r="AG230" s="54"/>
      <c r="AH230" s="54"/>
      <c r="AI230" s="54"/>
    </row>
    <row r="231" spans="18:35" x14ac:dyDescent="0.2">
      <c r="R231" s="54"/>
      <c r="S231" s="54"/>
      <c r="T231" s="54"/>
      <c r="W231" s="54"/>
      <c r="X231" s="54"/>
      <c r="Y231" s="54"/>
      <c r="AB231" s="54"/>
      <c r="AC231" s="54"/>
      <c r="AD231" s="54"/>
      <c r="AG231" s="54"/>
      <c r="AH231" s="54"/>
      <c r="AI231" s="54"/>
    </row>
    <row r="232" spans="18:35" x14ac:dyDescent="0.2">
      <c r="R232" s="54"/>
      <c r="S232" s="54"/>
      <c r="T232" s="54"/>
      <c r="W232" s="54"/>
      <c r="X232" s="54"/>
      <c r="Y232" s="54"/>
      <c r="AB232" s="54"/>
      <c r="AC232" s="54"/>
      <c r="AD232" s="54"/>
      <c r="AG232" s="54"/>
      <c r="AH232" s="54"/>
      <c r="AI232" s="54"/>
    </row>
    <row r="233" spans="18:35" x14ac:dyDescent="0.2">
      <c r="R233" s="54"/>
      <c r="S233" s="54"/>
      <c r="T233" s="54"/>
      <c r="W233" s="54"/>
      <c r="X233" s="54"/>
      <c r="Y233" s="54"/>
      <c r="AB233" s="54"/>
      <c r="AC233" s="54"/>
      <c r="AD233" s="54"/>
      <c r="AG233" s="54"/>
      <c r="AH233" s="54"/>
      <c r="AI233" s="54"/>
    </row>
    <row r="234" spans="18:35" x14ac:dyDescent="0.2">
      <c r="R234" s="54"/>
      <c r="S234" s="54"/>
      <c r="T234" s="54"/>
      <c r="W234" s="54"/>
      <c r="X234" s="54"/>
      <c r="Y234" s="54"/>
      <c r="AB234" s="54"/>
      <c r="AC234" s="54"/>
      <c r="AD234" s="54"/>
      <c r="AG234" s="54"/>
      <c r="AH234" s="54"/>
      <c r="AI234" s="54"/>
    </row>
    <row r="235" spans="18:35" x14ac:dyDescent="0.2">
      <c r="R235" s="54"/>
      <c r="S235" s="54"/>
      <c r="T235" s="54"/>
      <c r="W235" s="54"/>
      <c r="X235" s="54"/>
      <c r="Y235" s="54"/>
      <c r="AB235" s="54"/>
      <c r="AC235" s="54"/>
      <c r="AD235" s="54"/>
      <c r="AG235" s="54"/>
      <c r="AH235" s="54"/>
      <c r="AI235" s="54"/>
    </row>
    <row r="236" spans="18:35" x14ac:dyDescent="0.2">
      <c r="R236" s="54"/>
      <c r="S236" s="54"/>
      <c r="T236" s="54"/>
      <c r="W236" s="54"/>
      <c r="X236" s="54"/>
      <c r="Y236" s="54"/>
      <c r="AB236" s="54"/>
      <c r="AC236" s="54"/>
      <c r="AD236" s="54"/>
      <c r="AG236" s="54"/>
      <c r="AH236" s="54"/>
      <c r="AI236" s="54"/>
    </row>
    <row r="237" spans="18:35" x14ac:dyDescent="0.2">
      <c r="R237" s="54"/>
      <c r="S237" s="54"/>
      <c r="T237" s="54"/>
      <c r="W237" s="54"/>
      <c r="X237" s="54"/>
      <c r="Y237" s="54"/>
      <c r="AB237" s="54"/>
      <c r="AC237" s="54"/>
      <c r="AD237" s="54"/>
      <c r="AG237" s="54"/>
      <c r="AH237" s="54"/>
      <c r="AI237" s="54"/>
    </row>
    <row r="238" spans="18:35" x14ac:dyDescent="0.2">
      <c r="R238" s="54"/>
      <c r="S238" s="54"/>
      <c r="T238" s="54"/>
      <c r="W238" s="54"/>
      <c r="X238" s="54"/>
      <c r="Y238" s="54"/>
      <c r="AB238" s="54"/>
      <c r="AC238" s="54"/>
      <c r="AD238" s="54"/>
      <c r="AG238" s="54"/>
      <c r="AH238" s="54"/>
      <c r="AI238" s="54"/>
    </row>
    <row r="239" spans="18:35" x14ac:dyDescent="0.2">
      <c r="R239" s="54"/>
      <c r="S239" s="54"/>
      <c r="T239" s="54"/>
      <c r="W239" s="54"/>
      <c r="X239" s="54"/>
      <c r="Y239" s="54"/>
      <c r="AB239" s="54"/>
      <c r="AC239" s="54"/>
      <c r="AD239" s="54"/>
      <c r="AG239" s="54"/>
      <c r="AH239" s="54"/>
      <c r="AI239" s="54"/>
    </row>
    <row r="240" spans="18:35" x14ac:dyDescent="0.2">
      <c r="R240" s="54"/>
      <c r="S240" s="54"/>
      <c r="T240" s="54"/>
      <c r="W240" s="54"/>
      <c r="X240" s="54"/>
      <c r="Y240" s="54"/>
      <c r="AB240" s="54"/>
      <c r="AC240" s="54"/>
      <c r="AD240" s="54"/>
      <c r="AG240" s="54"/>
      <c r="AH240" s="54"/>
      <c r="AI240" s="54"/>
    </row>
    <row r="241" spans="18:35" x14ac:dyDescent="0.2">
      <c r="R241" s="54"/>
      <c r="S241" s="54"/>
      <c r="T241" s="54"/>
      <c r="W241" s="54"/>
      <c r="X241" s="54"/>
      <c r="Y241" s="54"/>
      <c r="AB241" s="54"/>
      <c r="AC241" s="54"/>
      <c r="AD241" s="54"/>
      <c r="AG241" s="54"/>
      <c r="AH241" s="54"/>
      <c r="AI241" s="54"/>
    </row>
    <row r="242" spans="18:35" x14ac:dyDescent="0.2">
      <c r="R242" s="54"/>
      <c r="S242" s="54"/>
      <c r="T242" s="54"/>
      <c r="W242" s="54"/>
      <c r="X242" s="54"/>
      <c r="Y242" s="54"/>
      <c r="AB242" s="54"/>
      <c r="AC242" s="54"/>
      <c r="AD242" s="54"/>
      <c r="AG242" s="54"/>
      <c r="AH242" s="54"/>
      <c r="AI242" s="54"/>
    </row>
    <row r="243" spans="18:35" x14ac:dyDescent="0.2">
      <c r="R243" s="54"/>
      <c r="S243" s="54"/>
      <c r="T243" s="54"/>
      <c r="W243" s="54"/>
      <c r="X243" s="54"/>
      <c r="Y243" s="54"/>
      <c r="AB243" s="54"/>
      <c r="AC243" s="54"/>
      <c r="AD243" s="54"/>
      <c r="AG243" s="54"/>
      <c r="AH243" s="54"/>
      <c r="AI243" s="54"/>
    </row>
    <row r="244" spans="18:35" x14ac:dyDescent="0.2">
      <c r="R244" s="54"/>
      <c r="S244" s="54"/>
      <c r="T244" s="54"/>
      <c r="W244" s="54"/>
      <c r="X244" s="54"/>
      <c r="Y244" s="54"/>
      <c r="AB244" s="54"/>
      <c r="AC244" s="54"/>
      <c r="AD244" s="54"/>
      <c r="AG244" s="54"/>
      <c r="AH244" s="54"/>
      <c r="AI244" s="54"/>
    </row>
    <row r="245" spans="18:35" x14ac:dyDescent="0.2">
      <c r="R245" s="54"/>
      <c r="S245" s="54"/>
      <c r="T245" s="54"/>
      <c r="W245" s="54"/>
      <c r="X245" s="54"/>
      <c r="Y245" s="54"/>
      <c r="AB245" s="54"/>
      <c r="AC245" s="54"/>
      <c r="AD245" s="54"/>
      <c r="AG245" s="54"/>
      <c r="AH245" s="54"/>
      <c r="AI245" s="54"/>
    </row>
    <row r="246" spans="18:35" x14ac:dyDescent="0.2">
      <c r="R246" s="54"/>
      <c r="S246" s="54"/>
      <c r="T246" s="54"/>
      <c r="W246" s="54"/>
      <c r="X246" s="54"/>
      <c r="Y246" s="54"/>
      <c r="AB246" s="54"/>
      <c r="AC246" s="54"/>
      <c r="AD246" s="54"/>
      <c r="AG246" s="54"/>
      <c r="AH246" s="54"/>
      <c r="AI246" s="54"/>
    </row>
    <row r="247" spans="18:35" x14ac:dyDescent="0.2">
      <c r="R247" s="54"/>
      <c r="S247" s="54"/>
      <c r="T247" s="54"/>
      <c r="W247" s="54"/>
      <c r="X247" s="54"/>
      <c r="Y247" s="54"/>
      <c r="AB247" s="54"/>
      <c r="AC247" s="54"/>
      <c r="AD247" s="54"/>
      <c r="AG247" s="54"/>
      <c r="AH247" s="54"/>
      <c r="AI247" s="54"/>
    </row>
    <row r="248" spans="18:35" x14ac:dyDescent="0.2">
      <c r="R248" s="54"/>
      <c r="S248" s="54"/>
      <c r="T248" s="54"/>
      <c r="W248" s="54"/>
      <c r="X248" s="54"/>
      <c r="Y248" s="54"/>
      <c r="AB248" s="54"/>
      <c r="AC248" s="54"/>
      <c r="AD248" s="54"/>
      <c r="AG248" s="54"/>
      <c r="AH248" s="54"/>
      <c r="AI248" s="54"/>
    </row>
    <row r="249" spans="18:35" x14ac:dyDescent="0.2">
      <c r="R249" s="54"/>
      <c r="S249" s="54"/>
      <c r="T249" s="54"/>
      <c r="W249" s="54"/>
      <c r="X249" s="54"/>
      <c r="Y249" s="54"/>
      <c r="AB249" s="54"/>
      <c r="AC249" s="54"/>
      <c r="AD249" s="54"/>
      <c r="AG249" s="54"/>
      <c r="AH249" s="54"/>
      <c r="AI249" s="54"/>
    </row>
    <row r="250" spans="18:35" x14ac:dyDescent="0.2">
      <c r="R250" s="54"/>
      <c r="S250" s="54"/>
      <c r="T250" s="54"/>
      <c r="W250" s="54"/>
      <c r="X250" s="54"/>
      <c r="Y250" s="54"/>
      <c r="AB250" s="54"/>
      <c r="AC250" s="54"/>
      <c r="AD250" s="54"/>
      <c r="AG250" s="54"/>
      <c r="AH250" s="54"/>
      <c r="AI250" s="54"/>
    </row>
    <row r="251" spans="18:35" x14ac:dyDescent="0.2">
      <c r="R251" s="54"/>
      <c r="S251" s="54"/>
      <c r="T251" s="54"/>
      <c r="W251" s="54"/>
      <c r="X251" s="54"/>
      <c r="Y251" s="54"/>
      <c r="AB251" s="54"/>
      <c r="AC251" s="54"/>
      <c r="AD251" s="54"/>
      <c r="AG251" s="54"/>
      <c r="AH251" s="54"/>
      <c r="AI251" s="54"/>
    </row>
    <row r="252" spans="18:35" x14ac:dyDescent="0.2">
      <c r="R252" s="54"/>
      <c r="S252" s="54"/>
      <c r="T252" s="54"/>
      <c r="W252" s="54"/>
      <c r="X252" s="54"/>
      <c r="Y252" s="54"/>
      <c r="AB252" s="54"/>
      <c r="AC252" s="54"/>
      <c r="AD252" s="54"/>
      <c r="AG252" s="54"/>
      <c r="AH252" s="54"/>
      <c r="AI252" s="54"/>
    </row>
    <row r="253" spans="18:35" x14ac:dyDescent="0.2">
      <c r="R253" s="54"/>
      <c r="S253" s="54"/>
      <c r="T253" s="54"/>
      <c r="W253" s="54"/>
      <c r="X253" s="54"/>
      <c r="Y253" s="54"/>
      <c r="AB253" s="54"/>
      <c r="AC253" s="54"/>
      <c r="AD253" s="54"/>
      <c r="AG253" s="54"/>
      <c r="AH253" s="54"/>
      <c r="AI253" s="54"/>
    </row>
    <row r="254" spans="18:35" x14ac:dyDescent="0.2">
      <c r="R254" s="54"/>
      <c r="S254" s="54"/>
      <c r="T254" s="54"/>
      <c r="W254" s="54"/>
      <c r="X254" s="54"/>
      <c r="Y254" s="54"/>
      <c r="AB254" s="54"/>
      <c r="AC254" s="54"/>
      <c r="AD254" s="54"/>
      <c r="AG254" s="54"/>
      <c r="AH254" s="54"/>
      <c r="AI254" s="54"/>
    </row>
    <row r="255" spans="18:35" x14ac:dyDescent="0.2">
      <c r="R255" s="54"/>
      <c r="S255" s="54"/>
      <c r="T255" s="54"/>
      <c r="W255" s="54"/>
      <c r="X255" s="54"/>
      <c r="Y255" s="54"/>
      <c r="AB255" s="54"/>
      <c r="AC255" s="54"/>
      <c r="AD255" s="54"/>
      <c r="AG255" s="54"/>
      <c r="AH255" s="54"/>
      <c r="AI255" s="54"/>
    </row>
    <row r="256" spans="18:35" x14ac:dyDescent="0.2">
      <c r="R256" s="54"/>
      <c r="S256" s="54"/>
      <c r="T256" s="54"/>
      <c r="W256" s="54"/>
      <c r="X256" s="54"/>
      <c r="Y256" s="54"/>
      <c r="AB256" s="54"/>
      <c r="AC256" s="54"/>
      <c r="AD256" s="54"/>
      <c r="AG256" s="54"/>
      <c r="AH256" s="54"/>
      <c r="AI256" s="54"/>
    </row>
    <row r="257" spans="18:35" x14ac:dyDescent="0.2">
      <c r="R257" s="54"/>
      <c r="S257" s="54"/>
      <c r="T257" s="54"/>
      <c r="W257" s="54"/>
      <c r="X257" s="54"/>
      <c r="Y257" s="54"/>
      <c r="AB257" s="54"/>
      <c r="AC257" s="54"/>
      <c r="AD257" s="54"/>
      <c r="AG257" s="54"/>
      <c r="AH257" s="54"/>
      <c r="AI257" s="54"/>
    </row>
    <row r="258" spans="18:35" x14ac:dyDescent="0.2">
      <c r="R258" s="54"/>
      <c r="S258" s="54"/>
      <c r="T258" s="54"/>
      <c r="W258" s="54"/>
      <c r="X258" s="54"/>
      <c r="Y258" s="54"/>
      <c r="AB258" s="54"/>
      <c r="AC258" s="54"/>
      <c r="AD258" s="54"/>
      <c r="AG258" s="54"/>
      <c r="AH258" s="54"/>
      <c r="AI258" s="54"/>
    </row>
    <row r="259" spans="18:35" x14ac:dyDescent="0.2">
      <c r="R259" s="54"/>
      <c r="S259" s="54"/>
      <c r="T259" s="54"/>
      <c r="W259" s="54"/>
      <c r="X259" s="54"/>
      <c r="Y259" s="54"/>
      <c r="AB259" s="54"/>
      <c r="AC259" s="54"/>
      <c r="AD259" s="54"/>
      <c r="AG259" s="54"/>
      <c r="AH259" s="54"/>
      <c r="AI259" s="54"/>
    </row>
    <row r="260" spans="18:35" x14ac:dyDescent="0.2">
      <c r="R260" s="54"/>
      <c r="S260" s="54"/>
      <c r="T260" s="54"/>
      <c r="W260" s="54"/>
      <c r="X260" s="54"/>
      <c r="Y260" s="54"/>
      <c r="AB260" s="54"/>
      <c r="AC260" s="54"/>
      <c r="AD260" s="54"/>
      <c r="AG260" s="54"/>
      <c r="AH260" s="54"/>
      <c r="AI260" s="54"/>
    </row>
    <row r="261" spans="18:35" x14ac:dyDescent="0.2">
      <c r="R261" s="54"/>
      <c r="S261" s="54"/>
      <c r="T261" s="54"/>
      <c r="W261" s="54"/>
      <c r="X261" s="54"/>
      <c r="Y261" s="54"/>
      <c r="AB261" s="54"/>
      <c r="AC261" s="54"/>
      <c r="AD261" s="54"/>
      <c r="AG261" s="54"/>
      <c r="AH261" s="54"/>
      <c r="AI261" s="54"/>
    </row>
    <row r="262" spans="18:35" x14ac:dyDescent="0.2">
      <c r="R262" s="54"/>
      <c r="S262" s="54"/>
      <c r="T262" s="54"/>
      <c r="W262" s="54"/>
      <c r="X262" s="54"/>
      <c r="Y262" s="54"/>
      <c r="AB262" s="54"/>
      <c r="AC262" s="54"/>
      <c r="AD262" s="54"/>
      <c r="AG262" s="54"/>
      <c r="AH262" s="54"/>
      <c r="AI262" s="54"/>
    </row>
    <row r="263" spans="18:35" x14ac:dyDescent="0.2">
      <c r="R263" s="54"/>
      <c r="S263" s="54"/>
      <c r="T263" s="54"/>
      <c r="W263" s="54"/>
      <c r="X263" s="54"/>
      <c r="Y263" s="54"/>
      <c r="AB263" s="54"/>
      <c r="AC263" s="54"/>
      <c r="AD263" s="54"/>
      <c r="AG263" s="54"/>
      <c r="AH263" s="54"/>
      <c r="AI263" s="54"/>
    </row>
    <row r="264" spans="18:35" x14ac:dyDescent="0.2">
      <c r="R264" s="54"/>
      <c r="S264" s="54"/>
      <c r="T264" s="54"/>
      <c r="W264" s="54"/>
      <c r="X264" s="54"/>
      <c r="Y264" s="54"/>
      <c r="AB264" s="54"/>
      <c r="AC264" s="54"/>
      <c r="AD264" s="54"/>
      <c r="AG264" s="54"/>
      <c r="AH264" s="54"/>
      <c r="AI264" s="54"/>
    </row>
    <row r="265" spans="18:35" x14ac:dyDescent="0.2">
      <c r="R265" s="54"/>
      <c r="S265" s="54"/>
      <c r="T265" s="54"/>
      <c r="W265" s="54"/>
      <c r="X265" s="54"/>
      <c r="Y265" s="54"/>
      <c r="AB265" s="54"/>
      <c r="AC265" s="54"/>
      <c r="AD265" s="54"/>
      <c r="AG265" s="54"/>
      <c r="AH265" s="54"/>
      <c r="AI265" s="54"/>
    </row>
    <row r="266" spans="18:35" x14ac:dyDescent="0.2">
      <c r="R266" s="54"/>
      <c r="S266" s="54"/>
      <c r="T266" s="54"/>
      <c r="W266" s="54"/>
      <c r="X266" s="54"/>
      <c r="Y266" s="54"/>
      <c r="AB266" s="54"/>
      <c r="AC266" s="54"/>
      <c r="AD266" s="54"/>
      <c r="AG266" s="54"/>
      <c r="AH266" s="54"/>
      <c r="AI266" s="54"/>
    </row>
    <row r="267" spans="18:35" x14ac:dyDescent="0.2">
      <c r="R267" s="54"/>
      <c r="S267" s="54"/>
      <c r="T267" s="54"/>
      <c r="W267" s="54"/>
      <c r="X267" s="54"/>
      <c r="Y267" s="54"/>
      <c r="AB267" s="54"/>
      <c r="AC267" s="54"/>
      <c r="AD267" s="54"/>
      <c r="AG267" s="54"/>
      <c r="AH267" s="54"/>
      <c r="AI267" s="54"/>
    </row>
    <row r="268" spans="18:35" x14ac:dyDescent="0.2">
      <c r="R268" s="54"/>
      <c r="S268" s="54"/>
      <c r="T268" s="54"/>
      <c r="W268" s="54"/>
      <c r="X268" s="54"/>
      <c r="Y268" s="54"/>
      <c r="AB268" s="54"/>
      <c r="AC268" s="54"/>
      <c r="AD268" s="54"/>
      <c r="AG268" s="54"/>
      <c r="AH268" s="54"/>
      <c r="AI268" s="54"/>
    </row>
    <row r="269" spans="18:35" x14ac:dyDescent="0.2">
      <c r="R269" s="54"/>
      <c r="S269" s="54"/>
      <c r="T269" s="54"/>
      <c r="W269" s="54"/>
      <c r="X269" s="54"/>
      <c r="Y269" s="54"/>
      <c r="AB269" s="54"/>
      <c r="AC269" s="54"/>
      <c r="AD269" s="54"/>
      <c r="AG269" s="54"/>
      <c r="AH269" s="54"/>
      <c r="AI269" s="54"/>
    </row>
    <row r="270" spans="18:35" x14ac:dyDescent="0.2">
      <c r="R270" s="54"/>
      <c r="S270" s="54"/>
      <c r="T270" s="54"/>
      <c r="W270" s="54"/>
      <c r="X270" s="54"/>
      <c r="Y270" s="54"/>
      <c r="AB270" s="54"/>
      <c r="AC270" s="54"/>
      <c r="AD270" s="54"/>
      <c r="AG270" s="54"/>
      <c r="AH270" s="54"/>
      <c r="AI270" s="54"/>
    </row>
    <row r="271" spans="18:35" x14ac:dyDescent="0.2">
      <c r="R271" s="54"/>
      <c r="S271" s="54"/>
      <c r="T271" s="54"/>
      <c r="W271" s="54"/>
      <c r="X271" s="54"/>
      <c r="Y271" s="54"/>
      <c r="AB271" s="54"/>
      <c r="AC271" s="54"/>
      <c r="AD271" s="54"/>
      <c r="AG271" s="54"/>
      <c r="AH271" s="54"/>
      <c r="AI271" s="54"/>
    </row>
    <row r="272" spans="18:35" x14ac:dyDescent="0.2">
      <c r="R272" s="54"/>
      <c r="S272" s="54"/>
      <c r="T272" s="54"/>
      <c r="W272" s="54"/>
      <c r="X272" s="54"/>
      <c r="Y272" s="54"/>
      <c r="AB272" s="54"/>
      <c r="AC272" s="54"/>
      <c r="AD272" s="54"/>
      <c r="AG272" s="54"/>
      <c r="AH272" s="54"/>
      <c r="AI272" s="54"/>
    </row>
    <row r="273" spans="18:35" x14ac:dyDescent="0.2">
      <c r="R273" s="54"/>
      <c r="S273" s="54"/>
      <c r="T273" s="54"/>
      <c r="W273" s="54"/>
      <c r="X273" s="54"/>
      <c r="Y273" s="54"/>
      <c r="AB273" s="54"/>
      <c r="AC273" s="54"/>
      <c r="AD273" s="54"/>
      <c r="AG273" s="54"/>
      <c r="AH273" s="54"/>
      <c r="AI273" s="54"/>
    </row>
    <row r="274" spans="18:35" x14ac:dyDescent="0.2">
      <c r="R274" s="54"/>
      <c r="S274" s="54"/>
      <c r="T274" s="54"/>
      <c r="W274" s="54"/>
      <c r="X274" s="54"/>
      <c r="Y274" s="54"/>
      <c r="AB274" s="54"/>
      <c r="AC274" s="54"/>
      <c r="AD274" s="54"/>
      <c r="AG274" s="54"/>
      <c r="AH274" s="54"/>
      <c r="AI274" s="54"/>
    </row>
    <row r="275" spans="18:35" x14ac:dyDescent="0.2">
      <c r="R275" s="54"/>
      <c r="S275" s="54"/>
      <c r="T275" s="54"/>
      <c r="W275" s="54"/>
      <c r="X275" s="54"/>
      <c r="Y275" s="54"/>
      <c r="AB275" s="54"/>
      <c r="AC275" s="54"/>
      <c r="AD275" s="54"/>
      <c r="AG275" s="54"/>
      <c r="AH275" s="54"/>
      <c r="AI275" s="54"/>
    </row>
    <row r="276" spans="18:35" x14ac:dyDescent="0.2">
      <c r="R276" s="54"/>
      <c r="S276" s="54"/>
      <c r="T276" s="54"/>
      <c r="W276" s="54"/>
      <c r="X276" s="54"/>
      <c r="Y276" s="54"/>
      <c r="AB276" s="54"/>
      <c r="AC276" s="54"/>
      <c r="AD276" s="54"/>
      <c r="AG276" s="54"/>
      <c r="AH276" s="54"/>
      <c r="AI276" s="54"/>
    </row>
    <row r="277" spans="18:35" x14ac:dyDescent="0.2">
      <c r="R277" s="54"/>
      <c r="S277" s="54"/>
      <c r="T277" s="54"/>
      <c r="W277" s="54"/>
      <c r="X277" s="54"/>
      <c r="Y277" s="54"/>
      <c r="AB277" s="54"/>
      <c r="AC277" s="54"/>
      <c r="AD277" s="54"/>
      <c r="AG277" s="54"/>
      <c r="AH277" s="54"/>
      <c r="AI277" s="54"/>
    </row>
    <row r="278" spans="18:35" x14ac:dyDescent="0.2">
      <c r="R278" s="54"/>
      <c r="S278" s="54"/>
      <c r="T278" s="54"/>
      <c r="W278" s="54"/>
      <c r="X278" s="54"/>
      <c r="Y278" s="54"/>
      <c r="AB278" s="54"/>
      <c r="AC278" s="54"/>
      <c r="AD278" s="54"/>
      <c r="AG278" s="54"/>
      <c r="AH278" s="54"/>
      <c r="AI278" s="54"/>
    </row>
    <row r="279" spans="18:35" x14ac:dyDescent="0.2">
      <c r="R279" s="54"/>
      <c r="S279" s="54"/>
      <c r="T279" s="54"/>
      <c r="W279" s="54"/>
      <c r="X279" s="54"/>
      <c r="Y279" s="54"/>
      <c r="AB279" s="54"/>
      <c r="AC279" s="54"/>
      <c r="AD279" s="54"/>
      <c r="AG279" s="54"/>
      <c r="AH279" s="54"/>
      <c r="AI279" s="54"/>
    </row>
    <row r="280" spans="18:35" x14ac:dyDescent="0.2">
      <c r="R280" s="54"/>
      <c r="S280" s="54"/>
      <c r="T280" s="54"/>
      <c r="W280" s="54"/>
      <c r="X280" s="54"/>
      <c r="Y280" s="54"/>
      <c r="AB280" s="54"/>
      <c r="AC280" s="54"/>
      <c r="AD280" s="54"/>
      <c r="AG280" s="54"/>
      <c r="AH280" s="54"/>
      <c r="AI280" s="54"/>
    </row>
    <row r="281" spans="18:35" x14ac:dyDescent="0.2">
      <c r="R281" s="54"/>
      <c r="S281" s="54"/>
      <c r="T281" s="54"/>
      <c r="W281" s="54"/>
      <c r="X281" s="54"/>
      <c r="Y281" s="54"/>
      <c r="AB281" s="54"/>
      <c r="AC281" s="54"/>
      <c r="AD281" s="54"/>
      <c r="AG281" s="54"/>
      <c r="AH281" s="54"/>
      <c r="AI281" s="54"/>
    </row>
    <row r="282" spans="18:35" x14ac:dyDescent="0.2">
      <c r="R282" s="54"/>
      <c r="S282" s="54"/>
      <c r="T282" s="54"/>
      <c r="W282" s="54"/>
      <c r="X282" s="54"/>
      <c r="Y282" s="54"/>
      <c r="AB282" s="54"/>
      <c r="AC282" s="54"/>
      <c r="AD282" s="54"/>
      <c r="AG282" s="54"/>
      <c r="AH282" s="54"/>
      <c r="AI282" s="54"/>
    </row>
    <row r="283" spans="18:35" x14ac:dyDescent="0.2">
      <c r="R283" s="54"/>
      <c r="S283" s="54"/>
      <c r="T283" s="54"/>
      <c r="W283" s="54"/>
      <c r="X283" s="54"/>
      <c r="Y283" s="54"/>
      <c r="AB283" s="54"/>
      <c r="AC283" s="54"/>
      <c r="AD283" s="54"/>
      <c r="AG283" s="54"/>
      <c r="AH283" s="54"/>
      <c r="AI283" s="54"/>
    </row>
    <row r="284" spans="18:35" x14ac:dyDescent="0.2">
      <c r="R284" s="54"/>
      <c r="S284" s="54"/>
      <c r="T284" s="54"/>
      <c r="W284" s="54"/>
      <c r="X284" s="54"/>
      <c r="Y284" s="54"/>
      <c r="AB284" s="54"/>
      <c r="AC284" s="54"/>
      <c r="AD284" s="54"/>
      <c r="AG284" s="54"/>
      <c r="AH284" s="54"/>
      <c r="AI284" s="54"/>
    </row>
    <row r="285" spans="18:35" x14ac:dyDescent="0.2">
      <c r="R285" s="54"/>
      <c r="S285" s="54"/>
      <c r="T285" s="54"/>
      <c r="W285" s="54"/>
      <c r="X285" s="54"/>
      <c r="Y285" s="54"/>
      <c r="AB285" s="54"/>
      <c r="AC285" s="54"/>
      <c r="AD285" s="54"/>
      <c r="AG285" s="54"/>
      <c r="AH285" s="54"/>
      <c r="AI285" s="54"/>
    </row>
    <row r="286" spans="18:35" x14ac:dyDescent="0.2">
      <c r="R286" s="54"/>
      <c r="S286" s="54"/>
      <c r="T286" s="54"/>
      <c r="W286" s="54"/>
      <c r="X286" s="54"/>
      <c r="Y286" s="54"/>
      <c r="AB286" s="54"/>
      <c r="AC286" s="54"/>
      <c r="AD286" s="54"/>
      <c r="AG286" s="54"/>
      <c r="AH286" s="54"/>
      <c r="AI286" s="54"/>
    </row>
    <row r="287" spans="18:35" x14ac:dyDescent="0.2">
      <c r="R287" s="54"/>
      <c r="S287" s="54"/>
      <c r="T287" s="54"/>
      <c r="W287" s="54"/>
      <c r="X287" s="54"/>
      <c r="Y287" s="54"/>
      <c r="AB287" s="54"/>
      <c r="AC287" s="54"/>
      <c r="AD287" s="54"/>
      <c r="AG287" s="54"/>
      <c r="AH287" s="54"/>
      <c r="AI287" s="54"/>
    </row>
    <row r="288" spans="18:35" x14ac:dyDescent="0.2">
      <c r="R288" s="54"/>
      <c r="S288" s="54"/>
      <c r="T288" s="54"/>
      <c r="W288" s="54"/>
      <c r="X288" s="54"/>
      <c r="Y288" s="54"/>
      <c r="AB288" s="54"/>
      <c r="AC288" s="54"/>
      <c r="AD288" s="54"/>
      <c r="AG288" s="54"/>
      <c r="AH288" s="54"/>
      <c r="AI288" s="54"/>
    </row>
    <row r="289" spans="18:35" x14ac:dyDescent="0.2">
      <c r="R289" s="54"/>
      <c r="S289" s="54"/>
      <c r="T289" s="54"/>
      <c r="W289" s="54"/>
      <c r="X289" s="54"/>
      <c r="Y289" s="54"/>
      <c r="AB289" s="54"/>
      <c r="AC289" s="54"/>
      <c r="AD289" s="54"/>
      <c r="AG289" s="54"/>
      <c r="AH289" s="54"/>
      <c r="AI289" s="54"/>
    </row>
    <row r="290" spans="18:35" x14ac:dyDescent="0.2">
      <c r="R290" s="54"/>
      <c r="S290" s="54"/>
      <c r="T290" s="54"/>
      <c r="W290" s="54"/>
      <c r="X290" s="54"/>
      <c r="Y290" s="54"/>
      <c r="AB290" s="54"/>
      <c r="AC290" s="54"/>
      <c r="AD290" s="54"/>
      <c r="AG290" s="54"/>
      <c r="AH290" s="54"/>
      <c r="AI290" s="54"/>
    </row>
    <row r="291" spans="18:35" x14ac:dyDescent="0.2">
      <c r="R291" s="54"/>
      <c r="S291" s="54"/>
      <c r="T291" s="54"/>
      <c r="W291" s="54"/>
      <c r="X291" s="54"/>
      <c r="Y291" s="54"/>
      <c r="AB291" s="54"/>
      <c r="AC291" s="54"/>
      <c r="AD291" s="54"/>
      <c r="AG291" s="54"/>
      <c r="AH291" s="54"/>
      <c r="AI291" s="54"/>
    </row>
    <row r="292" spans="18:35" x14ac:dyDescent="0.2">
      <c r="R292" s="54"/>
      <c r="S292" s="54"/>
      <c r="T292" s="54"/>
      <c r="W292" s="54"/>
      <c r="X292" s="54"/>
      <c r="Y292" s="54"/>
      <c r="AB292" s="54"/>
      <c r="AC292" s="54"/>
      <c r="AD292" s="54"/>
      <c r="AG292" s="54"/>
      <c r="AH292" s="54"/>
      <c r="AI292" s="54"/>
    </row>
    <row r="293" spans="18:35" x14ac:dyDescent="0.2">
      <c r="R293" s="54"/>
      <c r="S293" s="54"/>
      <c r="T293" s="54"/>
      <c r="W293" s="54"/>
      <c r="X293" s="54"/>
      <c r="Y293" s="54"/>
      <c r="AB293" s="54"/>
      <c r="AC293" s="54"/>
      <c r="AD293" s="54"/>
      <c r="AG293" s="54"/>
      <c r="AH293" s="54"/>
      <c r="AI293" s="54"/>
    </row>
    <row r="294" spans="18:35" x14ac:dyDescent="0.2">
      <c r="R294" s="54"/>
      <c r="S294" s="54"/>
      <c r="T294" s="54"/>
      <c r="W294" s="54"/>
      <c r="X294" s="54"/>
      <c r="Y294" s="54"/>
      <c r="AB294" s="54"/>
      <c r="AC294" s="54"/>
      <c r="AD294" s="54"/>
      <c r="AG294" s="54"/>
      <c r="AH294" s="54"/>
      <c r="AI294" s="54"/>
    </row>
    <row r="295" spans="18:35" x14ac:dyDescent="0.2">
      <c r="R295" s="54"/>
      <c r="S295" s="54"/>
      <c r="T295" s="54"/>
      <c r="W295" s="54"/>
      <c r="X295" s="54"/>
      <c r="Y295" s="54"/>
      <c r="AB295" s="54"/>
      <c r="AC295" s="54"/>
      <c r="AD295" s="54"/>
      <c r="AG295" s="54"/>
      <c r="AH295" s="54"/>
      <c r="AI295" s="54"/>
    </row>
    <row r="296" spans="18:35" x14ac:dyDescent="0.2">
      <c r="R296" s="54"/>
      <c r="S296" s="54"/>
      <c r="T296" s="54"/>
      <c r="W296" s="54"/>
      <c r="X296" s="54"/>
      <c r="Y296" s="54"/>
      <c r="AB296" s="54"/>
      <c r="AC296" s="54"/>
      <c r="AD296" s="54"/>
      <c r="AG296" s="54"/>
      <c r="AH296" s="54"/>
      <c r="AI296" s="54"/>
    </row>
    <row r="297" spans="18:35" x14ac:dyDescent="0.2">
      <c r="R297" s="54"/>
      <c r="S297" s="54"/>
      <c r="T297" s="54"/>
      <c r="W297" s="54"/>
      <c r="X297" s="54"/>
      <c r="Y297" s="54"/>
      <c r="AB297" s="54"/>
      <c r="AC297" s="54"/>
      <c r="AD297" s="54"/>
      <c r="AG297" s="54"/>
      <c r="AH297" s="54"/>
      <c r="AI297" s="54"/>
    </row>
    <row r="298" spans="18:35" x14ac:dyDescent="0.2">
      <c r="R298" s="54"/>
      <c r="S298" s="54"/>
      <c r="T298" s="54"/>
      <c r="W298" s="54"/>
      <c r="X298" s="54"/>
      <c r="Y298" s="54"/>
      <c r="AB298" s="54"/>
      <c r="AC298" s="54"/>
      <c r="AD298" s="54"/>
      <c r="AG298" s="54"/>
      <c r="AH298" s="54"/>
      <c r="AI298" s="54"/>
    </row>
    <row r="299" spans="18:35" x14ac:dyDescent="0.2">
      <c r="R299" s="54"/>
      <c r="S299" s="54"/>
      <c r="T299" s="54"/>
      <c r="W299" s="54"/>
      <c r="X299" s="54"/>
      <c r="Y299" s="54"/>
      <c r="AB299" s="54"/>
      <c r="AC299" s="54"/>
      <c r="AD299" s="54"/>
      <c r="AG299" s="54"/>
      <c r="AH299" s="54"/>
      <c r="AI299" s="54"/>
    </row>
    <row r="300" spans="18:35" x14ac:dyDescent="0.2">
      <c r="R300" s="54"/>
      <c r="S300" s="54"/>
      <c r="T300" s="54"/>
      <c r="W300" s="54"/>
      <c r="X300" s="54"/>
      <c r="Y300" s="54"/>
      <c r="AB300" s="54"/>
      <c r="AC300" s="54"/>
      <c r="AD300" s="54"/>
      <c r="AG300" s="54"/>
      <c r="AH300" s="54"/>
      <c r="AI300" s="54"/>
    </row>
    <row r="301" spans="18:35" x14ac:dyDescent="0.2">
      <c r="R301" s="54"/>
      <c r="S301" s="54"/>
      <c r="T301" s="54"/>
      <c r="W301" s="54"/>
      <c r="X301" s="54"/>
      <c r="Y301" s="54"/>
      <c r="AB301" s="54"/>
      <c r="AC301" s="54"/>
      <c r="AD301" s="54"/>
      <c r="AG301" s="54"/>
      <c r="AH301" s="54"/>
      <c r="AI301" s="54"/>
    </row>
    <row r="302" spans="18:35" x14ac:dyDescent="0.2">
      <c r="R302" s="54"/>
      <c r="S302" s="54"/>
      <c r="T302" s="54"/>
      <c r="W302" s="54"/>
      <c r="X302" s="54"/>
      <c r="Y302" s="54"/>
      <c r="AB302" s="54"/>
      <c r="AC302" s="54"/>
      <c r="AD302" s="54"/>
      <c r="AG302" s="54"/>
      <c r="AH302" s="54"/>
      <c r="AI302" s="54"/>
    </row>
    <row r="303" spans="18:35" x14ac:dyDescent="0.2">
      <c r="R303" s="54"/>
      <c r="S303" s="54"/>
      <c r="T303" s="54"/>
      <c r="W303" s="54"/>
      <c r="X303" s="54"/>
      <c r="Y303" s="54"/>
      <c r="AB303" s="54"/>
      <c r="AC303" s="54"/>
      <c r="AD303" s="54"/>
      <c r="AG303" s="54"/>
      <c r="AH303" s="54"/>
      <c r="AI303" s="54"/>
    </row>
    <row r="304" spans="18:35" x14ac:dyDescent="0.2">
      <c r="R304" s="54"/>
      <c r="S304" s="54"/>
      <c r="T304" s="54"/>
      <c r="W304" s="54"/>
      <c r="X304" s="54"/>
      <c r="Y304" s="54"/>
      <c r="AB304" s="54"/>
      <c r="AC304" s="54"/>
      <c r="AD304" s="54"/>
      <c r="AG304" s="54"/>
      <c r="AH304" s="54"/>
      <c r="AI304" s="54"/>
    </row>
    <row r="305" spans="18:35" x14ac:dyDescent="0.2">
      <c r="R305" s="54"/>
      <c r="S305" s="54"/>
      <c r="T305" s="54"/>
      <c r="W305" s="54"/>
      <c r="X305" s="54"/>
      <c r="Y305" s="54"/>
      <c r="AB305" s="54"/>
      <c r="AC305" s="54"/>
      <c r="AD305" s="54"/>
      <c r="AG305" s="54"/>
      <c r="AH305" s="54"/>
      <c r="AI305" s="54"/>
    </row>
    <row r="306" spans="18:35" x14ac:dyDescent="0.2">
      <c r="R306" s="54"/>
      <c r="S306" s="54"/>
      <c r="T306" s="54"/>
      <c r="W306" s="54"/>
      <c r="X306" s="54"/>
      <c r="Y306" s="54"/>
      <c r="AB306" s="54"/>
      <c r="AC306" s="54"/>
      <c r="AD306" s="54"/>
      <c r="AG306" s="54"/>
      <c r="AH306" s="54"/>
      <c r="AI306" s="54"/>
    </row>
    <row r="307" spans="18:35" x14ac:dyDescent="0.2">
      <c r="R307" s="54"/>
      <c r="S307" s="54"/>
      <c r="T307" s="54"/>
      <c r="W307" s="54"/>
      <c r="X307" s="54"/>
      <c r="Y307" s="54"/>
      <c r="AB307" s="54"/>
      <c r="AC307" s="54"/>
      <c r="AD307" s="54"/>
      <c r="AG307" s="54"/>
      <c r="AH307" s="54"/>
      <c r="AI307" s="54"/>
    </row>
    <row r="308" spans="18:35" x14ac:dyDescent="0.2">
      <c r="R308" s="54"/>
      <c r="S308" s="54"/>
      <c r="T308" s="54"/>
      <c r="W308" s="54"/>
      <c r="X308" s="54"/>
      <c r="Y308" s="54"/>
      <c r="AB308" s="54"/>
      <c r="AC308" s="54"/>
      <c r="AD308" s="54"/>
      <c r="AG308" s="54"/>
      <c r="AH308" s="54"/>
      <c r="AI308" s="54"/>
    </row>
    <row r="309" spans="18:35" x14ac:dyDescent="0.2">
      <c r="R309" s="54"/>
      <c r="S309" s="54"/>
      <c r="T309" s="54"/>
      <c r="W309" s="54"/>
      <c r="X309" s="54"/>
      <c r="Y309" s="54"/>
      <c r="AB309" s="54"/>
      <c r="AC309" s="54"/>
      <c r="AD309" s="54"/>
      <c r="AG309" s="54"/>
      <c r="AH309" s="54"/>
      <c r="AI309" s="54"/>
    </row>
    <row r="310" spans="18:35" x14ac:dyDescent="0.2">
      <c r="R310" s="54"/>
      <c r="S310" s="54"/>
      <c r="T310" s="54"/>
      <c r="W310" s="54"/>
      <c r="X310" s="54"/>
      <c r="Y310" s="54"/>
      <c r="AB310" s="54"/>
      <c r="AC310" s="54"/>
      <c r="AD310" s="54"/>
      <c r="AG310" s="54"/>
      <c r="AH310" s="54"/>
      <c r="AI310" s="54"/>
    </row>
    <row r="311" spans="18:35" x14ac:dyDescent="0.2">
      <c r="R311" s="54"/>
      <c r="S311" s="54"/>
      <c r="T311" s="54"/>
      <c r="W311" s="54"/>
      <c r="X311" s="54"/>
      <c r="Y311" s="54"/>
      <c r="AB311" s="54"/>
      <c r="AC311" s="54"/>
      <c r="AD311" s="54"/>
      <c r="AG311" s="54"/>
      <c r="AH311" s="54"/>
      <c r="AI311" s="54"/>
    </row>
    <row r="312" spans="18:35" x14ac:dyDescent="0.2">
      <c r="R312" s="54"/>
      <c r="S312" s="54"/>
      <c r="T312" s="54"/>
      <c r="W312" s="54"/>
      <c r="X312" s="54"/>
      <c r="Y312" s="54"/>
      <c r="AB312" s="54"/>
      <c r="AC312" s="54"/>
      <c r="AD312" s="54"/>
      <c r="AG312" s="54"/>
      <c r="AH312" s="54"/>
      <c r="AI312" s="54"/>
    </row>
    <row r="313" spans="18:35" x14ac:dyDescent="0.2">
      <c r="R313" s="54"/>
      <c r="S313" s="54"/>
      <c r="T313" s="54"/>
      <c r="W313" s="54"/>
      <c r="X313" s="54"/>
      <c r="Y313" s="54"/>
      <c r="AB313" s="54"/>
      <c r="AC313" s="54"/>
      <c r="AD313" s="54"/>
      <c r="AG313" s="54"/>
      <c r="AH313" s="54"/>
      <c r="AI313" s="54"/>
    </row>
    <row r="314" spans="18:35" x14ac:dyDescent="0.2">
      <c r="R314" s="54"/>
      <c r="S314" s="54"/>
      <c r="T314" s="54"/>
      <c r="W314" s="54"/>
      <c r="X314" s="54"/>
      <c r="Y314" s="54"/>
      <c r="AB314" s="54"/>
      <c r="AC314" s="54"/>
      <c r="AD314" s="54"/>
      <c r="AG314" s="54"/>
      <c r="AH314" s="54"/>
      <c r="AI314" s="54"/>
    </row>
    <row r="315" spans="18:35" x14ac:dyDescent="0.2">
      <c r="R315" s="54"/>
      <c r="S315" s="54"/>
      <c r="T315" s="54"/>
      <c r="W315" s="54"/>
      <c r="X315" s="54"/>
      <c r="Y315" s="54"/>
      <c r="AB315" s="54"/>
      <c r="AC315" s="54"/>
      <c r="AD315" s="54"/>
      <c r="AG315" s="54"/>
      <c r="AH315" s="54"/>
      <c r="AI315" s="54"/>
    </row>
    <row r="316" spans="18:35" x14ac:dyDescent="0.2">
      <c r="R316" s="54"/>
      <c r="S316" s="54"/>
      <c r="T316" s="54"/>
      <c r="W316" s="54"/>
      <c r="X316" s="54"/>
      <c r="Y316" s="54"/>
      <c r="AB316" s="54"/>
      <c r="AC316" s="54"/>
      <c r="AD316" s="54"/>
      <c r="AG316" s="54"/>
      <c r="AH316" s="54"/>
      <c r="AI316" s="54"/>
    </row>
    <row r="317" spans="18:35" x14ac:dyDescent="0.2">
      <c r="R317" s="54"/>
      <c r="S317" s="54"/>
      <c r="T317" s="54"/>
      <c r="W317" s="54"/>
      <c r="X317" s="54"/>
      <c r="Y317" s="54"/>
      <c r="AB317" s="54"/>
      <c r="AC317" s="54"/>
      <c r="AD317" s="54"/>
      <c r="AG317" s="54"/>
      <c r="AH317" s="54"/>
      <c r="AI317" s="54"/>
    </row>
    <row r="318" spans="18:35" x14ac:dyDescent="0.2">
      <c r="R318" s="54"/>
      <c r="S318" s="54"/>
      <c r="T318" s="54"/>
      <c r="W318" s="54"/>
      <c r="X318" s="54"/>
      <c r="Y318" s="54"/>
      <c r="AB318" s="54"/>
      <c r="AC318" s="54"/>
      <c r="AD318" s="54"/>
      <c r="AG318" s="54"/>
      <c r="AH318" s="54"/>
      <c r="AI318" s="54"/>
    </row>
    <row r="319" spans="18:35" x14ac:dyDescent="0.2">
      <c r="R319" s="54"/>
      <c r="S319" s="54"/>
      <c r="T319" s="54"/>
      <c r="W319" s="54"/>
      <c r="X319" s="54"/>
      <c r="Y319" s="54"/>
      <c r="AB319" s="54"/>
      <c r="AC319" s="54"/>
      <c r="AD319" s="54"/>
      <c r="AG319" s="54"/>
      <c r="AH319" s="54"/>
      <c r="AI319" s="54"/>
    </row>
    <row r="320" spans="18:35" x14ac:dyDescent="0.2">
      <c r="R320" s="54"/>
      <c r="S320" s="54"/>
      <c r="T320" s="54"/>
      <c r="W320" s="54"/>
      <c r="X320" s="54"/>
      <c r="Y320" s="54"/>
      <c r="AB320" s="54"/>
      <c r="AC320" s="54"/>
      <c r="AD320" s="54"/>
      <c r="AG320" s="54"/>
      <c r="AH320" s="54"/>
      <c r="AI320" s="54"/>
    </row>
    <row r="321" spans="18:35" x14ac:dyDescent="0.2">
      <c r="R321" s="54"/>
      <c r="S321" s="54"/>
      <c r="T321" s="54"/>
      <c r="W321" s="54"/>
      <c r="X321" s="54"/>
      <c r="Y321" s="54"/>
      <c r="AB321" s="54"/>
      <c r="AC321" s="54"/>
      <c r="AD321" s="54"/>
      <c r="AG321" s="54"/>
      <c r="AH321" s="54"/>
      <c r="AI321" s="54"/>
    </row>
    <row r="322" spans="18:35" x14ac:dyDescent="0.2">
      <c r="R322" s="54"/>
      <c r="S322" s="54"/>
      <c r="T322" s="54"/>
      <c r="W322" s="54"/>
      <c r="X322" s="54"/>
      <c r="Y322" s="54"/>
      <c r="AB322" s="54"/>
      <c r="AC322" s="54"/>
      <c r="AD322" s="54"/>
      <c r="AG322" s="54"/>
      <c r="AH322" s="54"/>
      <c r="AI322" s="54"/>
    </row>
    <row r="323" spans="18:35" x14ac:dyDescent="0.2">
      <c r="R323" s="54"/>
      <c r="S323" s="54"/>
      <c r="T323" s="54"/>
      <c r="W323" s="54"/>
      <c r="X323" s="54"/>
      <c r="Y323" s="54"/>
      <c r="AB323" s="54"/>
      <c r="AC323" s="54"/>
      <c r="AD323" s="54"/>
      <c r="AG323" s="54"/>
      <c r="AH323" s="54"/>
      <c r="AI323" s="54"/>
    </row>
    <row r="324" spans="18:35" x14ac:dyDescent="0.2">
      <c r="R324" s="54"/>
      <c r="S324" s="54"/>
      <c r="T324" s="54"/>
      <c r="W324" s="54"/>
      <c r="X324" s="54"/>
      <c r="Y324" s="54"/>
      <c r="AB324" s="54"/>
      <c r="AC324" s="54"/>
      <c r="AD324" s="54"/>
      <c r="AG324" s="54"/>
      <c r="AH324" s="54"/>
      <c r="AI324" s="54"/>
    </row>
    <row r="325" spans="18:35" x14ac:dyDescent="0.2">
      <c r="R325" s="54"/>
      <c r="S325" s="54"/>
      <c r="T325" s="54"/>
      <c r="W325" s="54"/>
      <c r="X325" s="54"/>
      <c r="Y325" s="54"/>
      <c r="AB325" s="54"/>
      <c r="AC325" s="54"/>
      <c r="AD325" s="54"/>
      <c r="AG325" s="54"/>
      <c r="AH325" s="54"/>
      <c r="AI325" s="54"/>
    </row>
    <row r="326" spans="18:35" x14ac:dyDescent="0.2">
      <c r="R326" s="54"/>
      <c r="S326" s="54"/>
      <c r="T326" s="54"/>
      <c r="W326" s="54"/>
      <c r="X326" s="54"/>
      <c r="Y326" s="54"/>
      <c r="AB326" s="54"/>
      <c r="AC326" s="54"/>
      <c r="AD326" s="54"/>
      <c r="AG326" s="54"/>
      <c r="AH326" s="54"/>
      <c r="AI326" s="54"/>
    </row>
    <row r="327" spans="18:35" x14ac:dyDescent="0.2">
      <c r="R327" s="54"/>
      <c r="S327" s="54"/>
      <c r="T327" s="54"/>
      <c r="W327" s="54"/>
      <c r="X327" s="54"/>
      <c r="Y327" s="54"/>
      <c r="AB327" s="54"/>
      <c r="AC327" s="54"/>
      <c r="AD327" s="54"/>
      <c r="AG327" s="54"/>
      <c r="AH327" s="54"/>
      <c r="AI327" s="54"/>
    </row>
    <row r="328" spans="18:35" x14ac:dyDescent="0.2">
      <c r="R328" s="54"/>
      <c r="S328" s="54"/>
      <c r="T328" s="54"/>
      <c r="W328" s="54"/>
      <c r="X328" s="54"/>
      <c r="Y328" s="54"/>
      <c r="AB328" s="54"/>
      <c r="AC328" s="54"/>
      <c r="AD328" s="54"/>
      <c r="AG328" s="54"/>
      <c r="AH328" s="54"/>
      <c r="AI328" s="54"/>
    </row>
    <row r="329" spans="18:35" x14ac:dyDescent="0.2">
      <c r="R329" s="54"/>
      <c r="S329" s="54"/>
      <c r="T329" s="54"/>
      <c r="W329" s="54"/>
      <c r="X329" s="54"/>
      <c r="Y329" s="54"/>
      <c r="AB329" s="54"/>
      <c r="AC329" s="54"/>
      <c r="AD329" s="54"/>
      <c r="AG329" s="54"/>
      <c r="AH329" s="54"/>
      <c r="AI329" s="54"/>
    </row>
    <row r="330" spans="18:35" x14ac:dyDescent="0.2">
      <c r="R330" s="54"/>
      <c r="S330" s="54"/>
      <c r="T330" s="54"/>
      <c r="W330" s="54"/>
      <c r="X330" s="54"/>
      <c r="Y330" s="54"/>
      <c r="AB330" s="54"/>
      <c r="AC330" s="54"/>
      <c r="AD330" s="54"/>
      <c r="AG330" s="54"/>
      <c r="AH330" s="54"/>
      <c r="AI330" s="54"/>
    </row>
    <row r="331" spans="18:35" x14ac:dyDescent="0.2">
      <c r="R331" s="54"/>
      <c r="S331" s="54"/>
      <c r="T331" s="54"/>
      <c r="W331" s="54"/>
      <c r="X331" s="54"/>
      <c r="Y331" s="54"/>
      <c r="AB331" s="54"/>
      <c r="AC331" s="54"/>
      <c r="AD331" s="54"/>
      <c r="AG331" s="54"/>
      <c r="AH331" s="54"/>
      <c r="AI331" s="54"/>
    </row>
    <row r="332" spans="18:35" x14ac:dyDescent="0.2">
      <c r="R332" s="54"/>
      <c r="S332" s="54"/>
      <c r="T332" s="54"/>
      <c r="W332" s="54"/>
      <c r="X332" s="54"/>
      <c r="Y332" s="54"/>
      <c r="AB332" s="54"/>
      <c r="AC332" s="54"/>
      <c r="AD332" s="54"/>
      <c r="AG332" s="54"/>
      <c r="AH332" s="54"/>
      <c r="AI332" s="54"/>
    </row>
    <row r="333" spans="18:35" x14ac:dyDescent="0.2">
      <c r="R333" s="54"/>
      <c r="S333" s="54"/>
      <c r="T333" s="54"/>
      <c r="W333" s="54"/>
      <c r="X333" s="54"/>
      <c r="Y333" s="54"/>
      <c r="AB333" s="54"/>
      <c r="AC333" s="54"/>
      <c r="AD333" s="54"/>
      <c r="AG333" s="54"/>
      <c r="AH333" s="54"/>
      <c r="AI333" s="54"/>
    </row>
    <row r="334" spans="18:35" x14ac:dyDescent="0.2">
      <c r="R334" s="54"/>
      <c r="S334" s="54"/>
      <c r="T334" s="54"/>
      <c r="W334" s="54"/>
      <c r="X334" s="54"/>
      <c r="Y334" s="54"/>
      <c r="AB334" s="54"/>
      <c r="AC334" s="54"/>
      <c r="AD334" s="54"/>
      <c r="AG334" s="54"/>
      <c r="AH334" s="54"/>
      <c r="AI334" s="54"/>
    </row>
    <row r="335" spans="18:35" x14ac:dyDescent="0.2">
      <c r="R335" s="54"/>
      <c r="S335" s="54"/>
      <c r="T335" s="54"/>
      <c r="W335" s="54"/>
      <c r="X335" s="54"/>
      <c r="Y335" s="54"/>
      <c r="AB335" s="54"/>
      <c r="AC335" s="54"/>
      <c r="AD335" s="54"/>
      <c r="AG335" s="54"/>
      <c r="AH335" s="54"/>
      <c r="AI335" s="54"/>
    </row>
    <row r="336" spans="18:35" x14ac:dyDescent="0.2">
      <c r="R336" s="54"/>
      <c r="S336" s="54"/>
      <c r="T336" s="54"/>
      <c r="W336" s="54"/>
      <c r="X336" s="54"/>
      <c r="Y336" s="54"/>
      <c r="AB336" s="54"/>
      <c r="AC336" s="54"/>
      <c r="AD336" s="54"/>
      <c r="AG336" s="54"/>
      <c r="AH336" s="54"/>
      <c r="AI336" s="54"/>
    </row>
    <row r="337" spans="18:35" x14ac:dyDescent="0.2">
      <c r="R337" s="54"/>
      <c r="S337" s="54"/>
      <c r="T337" s="54"/>
      <c r="W337" s="54"/>
      <c r="X337" s="54"/>
      <c r="Y337" s="54"/>
      <c r="AB337" s="54"/>
      <c r="AC337" s="54"/>
      <c r="AD337" s="54"/>
      <c r="AG337" s="54"/>
      <c r="AH337" s="54"/>
      <c r="AI337" s="54"/>
    </row>
    <row r="338" spans="18:35" x14ac:dyDescent="0.2">
      <c r="R338" s="54"/>
      <c r="S338" s="54"/>
      <c r="T338" s="54"/>
      <c r="W338" s="54"/>
      <c r="X338" s="54"/>
      <c r="Y338" s="54"/>
      <c r="AB338" s="54"/>
      <c r="AC338" s="54"/>
      <c r="AD338" s="54"/>
      <c r="AG338" s="54"/>
      <c r="AH338" s="54"/>
      <c r="AI338" s="54"/>
    </row>
    <row r="339" spans="18:35" x14ac:dyDescent="0.2">
      <c r="R339" s="54"/>
      <c r="S339" s="54"/>
      <c r="T339" s="54"/>
      <c r="W339" s="54"/>
      <c r="X339" s="54"/>
      <c r="Y339" s="54"/>
      <c r="AB339" s="54"/>
      <c r="AC339" s="54"/>
      <c r="AD339" s="54"/>
      <c r="AG339" s="54"/>
      <c r="AH339" s="54"/>
      <c r="AI339" s="54"/>
    </row>
    <row r="340" spans="18:35" x14ac:dyDescent="0.2">
      <c r="R340" s="54"/>
      <c r="S340" s="54"/>
      <c r="T340" s="54"/>
      <c r="W340" s="54"/>
      <c r="X340" s="54"/>
      <c r="Y340" s="54"/>
      <c r="AB340" s="54"/>
      <c r="AC340" s="54"/>
      <c r="AD340" s="54"/>
      <c r="AG340" s="54"/>
      <c r="AH340" s="54"/>
      <c r="AI340" s="54"/>
    </row>
    <row r="341" spans="18:35" x14ac:dyDescent="0.2">
      <c r="R341" s="54"/>
      <c r="S341" s="54"/>
      <c r="T341" s="54"/>
      <c r="W341" s="54"/>
      <c r="X341" s="54"/>
      <c r="Y341" s="54"/>
      <c r="AB341" s="54"/>
      <c r="AC341" s="54"/>
      <c r="AD341" s="54"/>
      <c r="AG341" s="54"/>
      <c r="AH341" s="54"/>
      <c r="AI341" s="54"/>
    </row>
    <row r="342" spans="18:35" x14ac:dyDescent="0.2">
      <c r="R342" s="54"/>
      <c r="S342" s="54"/>
      <c r="T342" s="54"/>
      <c r="W342" s="54"/>
      <c r="X342" s="54"/>
      <c r="Y342" s="54"/>
      <c r="AB342" s="54"/>
      <c r="AC342" s="54"/>
      <c r="AD342" s="54"/>
      <c r="AG342" s="54"/>
      <c r="AH342" s="54"/>
      <c r="AI342" s="54"/>
    </row>
    <row r="343" spans="18:35" x14ac:dyDescent="0.2">
      <c r="R343" s="54"/>
      <c r="S343" s="54"/>
      <c r="T343" s="54"/>
      <c r="W343" s="54"/>
      <c r="X343" s="54"/>
      <c r="Y343" s="54"/>
      <c r="AB343" s="54"/>
      <c r="AC343" s="54"/>
      <c r="AD343" s="54"/>
      <c r="AG343" s="54"/>
      <c r="AH343" s="54"/>
      <c r="AI343" s="54"/>
    </row>
    <row r="344" spans="18:35" x14ac:dyDescent="0.2">
      <c r="R344" s="54"/>
      <c r="S344" s="54"/>
      <c r="T344" s="54"/>
      <c r="W344" s="54"/>
      <c r="X344" s="54"/>
      <c r="Y344" s="54"/>
      <c r="AB344" s="54"/>
      <c r="AC344" s="54"/>
      <c r="AD344" s="54"/>
      <c r="AG344" s="54"/>
      <c r="AH344" s="54"/>
      <c r="AI344" s="54"/>
    </row>
    <row r="345" spans="18:35" x14ac:dyDescent="0.2">
      <c r="R345" s="54"/>
      <c r="S345" s="54"/>
      <c r="T345" s="54"/>
      <c r="W345" s="54"/>
      <c r="X345" s="54"/>
      <c r="Y345" s="54"/>
      <c r="AB345" s="54"/>
      <c r="AC345" s="54"/>
      <c r="AD345" s="54"/>
      <c r="AG345" s="54"/>
      <c r="AH345" s="54"/>
      <c r="AI345" s="54"/>
    </row>
    <row r="346" spans="18:35" x14ac:dyDescent="0.2">
      <c r="R346" s="54"/>
      <c r="S346" s="54"/>
      <c r="T346" s="54"/>
      <c r="W346" s="54"/>
      <c r="X346" s="54"/>
      <c r="Y346" s="54"/>
      <c r="AB346" s="54"/>
      <c r="AC346" s="54"/>
      <c r="AD346" s="54"/>
      <c r="AG346" s="54"/>
      <c r="AH346" s="54"/>
      <c r="AI346" s="54"/>
    </row>
    <row r="347" spans="18:35" x14ac:dyDescent="0.2">
      <c r="R347" s="54"/>
      <c r="S347" s="54"/>
      <c r="T347" s="54"/>
      <c r="W347" s="54"/>
      <c r="X347" s="54"/>
      <c r="Y347" s="54"/>
      <c r="AB347" s="54"/>
      <c r="AC347" s="54"/>
      <c r="AD347" s="54"/>
      <c r="AG347" s="54"/>
      <c r="AH347" s="54"/>
      <c r="AI347" s="54"/>
    </row>
    <row r="348" spans="18:35" x14ac:dyDescent="0.2">
      <c r="R348" s="54"/>
      <c r="S348" s="54"/>
      <c r="T348" s="54"/>
      <c r="W348" s="54"/>
      <c r="X348" s="54"/>
      <c r="Y348" s="54"/>
      <c r="AB348" s="54"/>
      <c r="AC348" s="54"/>
      <c r="AD348" s="54"/>
      <c r="AG348" s="54"/>
      <c r="AH348" s="54"/>
      <c r="AI348" s="54"/>
    </row>
    <row r="349" spans="18:35" x14ac:dyDescent="0.2">
      <c r="R349" s="54"/>
      <c r="S349" s="54"/>
      <c r="T349" s="54"/>
      <c r="W349" s="54"/>
      <c r="X349" s="54"/>
      <c r="Y349" s="54"/>
      <c r="AB349" s="54"/>
      <c r="AC349" s="54"/>
      <c r="AD349" s="54"/>
      <c r="AG349" s="54"/>
      <c r="AH349" s="54"/>
      <c r="AI349" s="54"/>
    </row>
    <row r="350" spans="18:35" x14ac:dyDescent="0.2">
      <c r="R350" s="54"/>
      <c r="S350" s="54"/>
      <c r="T350" s="54"/>
      <c r="W350" s="54"/>
      <c r="X350" s="54"/>
      <c r="Y350" s="54"/>
      <c r="AB350" s="54"/>
      <c r="AC350" s="54"/>
      <c r="AD350" s="54"/>
      <c r="AG350" s="54"/>
      <c r="AH350" s="54"/>
      <c r="AI350" s="54"/>
    </row>
    <row r="351" spans="18:35" x14ac:dyDescent="0.2">
      <c r="R351" s="54"/>
      <c r="S351" s="54"/>
      <c r="T351" s="54"/>
      <c r="W351" s="54"/>
      <c r="X351" s="54"/>
      <c r="Y351" s="54"/>
      <c r="AB351" s="54"/>
      <c r="AC351" s="54"/>
      <c r="AD351" s="54"/>
      <c r="AG351" s="54"/>
      <c r="AH351" s="54"/>
      <c r="AI351" s="54"/>
    </row>
    <row r="352" spans="18:35" x14ac:dyDescent="0.2">
      <c r="R352" s="54"/>
      <c r="S352" s="54"/>
      <c r="T352" s="54"/>
      <c r="W352" s="54"/>
      <c r="X352" s="54"/>
      <c r="Y352" s="54"/>
      <c r="AB352" s="54"/>
      <c r="AC352" s="54"/>
      <c r="AD352" s="54"/>
      <c r="AG352" s="54"/>
      <c r="AH352" s="54"/>
      <c r="AI352" s="54"/>
    </row>
    <row r="353" spans="18:35" x14ac:dyDescent="0.2">
      <c r="R353" s="54"/>
      <c r="S353" s="54"/>
      <c r="T353" s="54"/>
      <c r="W353" s="54"/>
      <c r="X353" s="54"/>
      <c r="Y353" s="54"/>
      <c r="AB353" s="54"/>
      <c r="AC353" s="54"/>
      <c r="AD353" s="54"/>
      <c r="AG353" s="54"/>
      <c r="AH353" s="54"/>
      <c r="AI353" s="54"/>
    </row>
    <row r="354" spans="18:35" x14ac:dyDescent="0.2">
      <c r="R354" s="54"/>
      <c r="S354" s="54"/>
      <c r="T354" s="54"/>
      <c r="W354" s="54"/>
      <c r="X354" s="54"/>
      <c r="Y354" s="54"/>
      <c r="AB354" s="54"/>
      <c r="AC354" s="54"/>
      <c r="AD354" s="54"/>
      <c r="AG354" s="54"/>
      <c r="AH354" s="54"/>
      <c r="AI354" s="54"/>
    </row>
    <row r="355" spans="18:35" x14ac:dyDescent="0.2">
      <c r="R355" s="54"/>
      <c r="S355" s="54"/>
      <c r="T355" s="54"/>
      <c r="W355" s="54"/>
      <c r="X355" s="54"/>
      <c r="Y355" s="54"/>
      <c r="AB355" s="54"/>
      <c r="AC355" s="54"/>
      <c r="AD355" s="54"/>
      <c r="AG355" s="54"/>
      <c r="AH355" s="54"/>
      <c r="AI355" s="54"/>
    </row>
    <row r="356" spans="18:35" x14ac:dyDescent="0.2">
      <c r="R356" s="54"/>
      <c r="S356" s="54"/>
      <c r="T356" s="54"/>
      <c r="W356" s="54"/>
      <c r="X356" s="54"/>
      <c r="Y356" s="54"/>
      <c r="AB356" s="54"/>
      <c r="AC356" s="54"/>
      <c r="AD356" s="54"/>
      <c r="AG356" s="54"/>
      <c r="AH356" s="54"/>
      <c r="AI356" s="54"/>
    </row>
    <row r="357" spans="18:35" x14ac:dyDescent="0.2">
      <c r="R357" s="54"/>
      <c r="S357" s="54"/>
      <c r="T357" s="54"/>
      <c r="W357" s="54"/>
      <c r="X357" s="54"/>
      <c r="Y357" s="54"/>
      <c r="AB357" s="54"/>
      <c r="AC357" s="54"/>
      <c r="AD357" s="54"/>
      <c r="AG357" s="54"/>
      <c r="AH357" s="54"/>
      <c r="AI357" s="54"/>
    </row>
    <row r="358" spans="18:35" x14ac:dyDescent="0.2">
      <c r="R358" s="54"/>
      <c r="S358" s="54"/>
      <c r="T358" s="54"/>
      <c r="W358" s="54"/>
      <c r="X358" s="54"/>
      <c r="Y358" s="54"/>
      <c r="AB358" s="54"/>
      <c r="AC358" s="54"/>
      <c r="AD358" s="54"/>
      <c r="AG358" s="54"/>
      <c r="AH358" s="54"/>
      <c r="AI358" s="54"/>
    </row>
    <row r="359" spans="18:35" x14ac:dyDescent="0.2">
      <c r="R359" s="54"/>
      <c r="S359" s="54"/>
      <c r="T359" s="54"/>
      <c r="W359" s="54"/>
      <c r="X359" s="54"/>
      <c r="Y359" s="54"/>
      <c r="AB359" s="54"/>
      <c r="AC359" s="54"/>
      <c r="AD359" s="54"/>
      <c r="AG359" s="54"/>
      <c r="AH359" s="54"/>
      <c r="AI359" s="54"/>
    </row>
    <row r="360" spans="18:35" x14ac:dyDescent="0.2">
      <c r="R360" s="54"/>
      <c r="S360" s="54"/>
      <c r="T360" s="54"/>
      <c r="W360" s="54"/>
      <c r="X360" s="54"/>
      <c r="Y360" s="54"/>
      <c r="AB360" s="54"/>
      <c r="AC360" s="54"/>
      <c r="AD360" s="54"/>
      <c r="AG360" s="54"/>
      <c r="AH360" s="54"/>
      <c r="AI360" s="54"/>
    </row>
    <row r="361" spans="18:35" x14ac:dyDescent="0.2">
      <c r="R361" s="54"/>
      <c r="S361" s="54"/>
      <c r="T361" s="54"/>
      <c r="W361" s="54"/>
      <c r="X361" s="54"/>
      <c r="Y361" s="54"/>
      <c r="AB361" s="54"/>
      <c r="AC361" s="54"/>
      <c r="AD361" s="54"/>
      <c r="AG361" s="54"/>
      <c r="AH361" s="54"/>
      <c r="AI361" s="54"/>
    </row>
    <row r="362" spans="18:35" x14ac:dyDescent="0.2">
      <c r="R362" s="54"/>
      <c r="S362" s="54"/>
      <c r="T362" s="54"/>
      <c r="W362" s="54"/>
      <c r="X362" s="54"/>
      <c r="Y362" s="54"/>
      <c r="AB362" s="54"/>
      <c r="AC362" s="54"/>
      <c r="AD362" s="54"/>
      <c r="AG362" s="54"/>
      <c r="AH362" s="54"/>
      <c r="AI362" s="54"/>
    </row>
    <row r="363" spans="18:35" x14ac:dyDescent="0.2">
      <c r="R363" s="54"/>
      <c r="S363" s="54"/>
      <c r="T363" s="54"/>
      <c r="W363" s="54"/>
      <c r="X363" s="54"/>
      <c r="Y363" s="54"/>
      <c r="AB363" s="54"/>
      <c r="AC363" s="54"/>
      <c r="AD363" s="54"/>
      <c r="AG363" s="54"/>
      <c r="AH363" s="54"/>
      <c r="AI363" s="54"/>
    </row>
    <row r="364" spans="18:35" x14ac:dyDescent="0.2">
      <c r="R364" s="54"/>
      <c r="S364" s="54"/>
      <c r="T364" s="54"/>
      <c r="W364" s="54"/>
      <c r="X364" s="54"/>
      <c r="Y364" s="54"/>
      <c r="AB364" s="54"/>
      <c r="AC364" s="54"/>
      <c r="AD364" s="54"/>
      <c r="AG364" s="54"/>
      <c r="AH364" s="54"/>
      <c r="AI364" s="54"/>
    </row>
    <row r="365" spans="18:35" x14ac:dyDescent="0.2">
      <c r="R365" s="54"/>
      <c r="S365" s="54"/>
      <c r="T365" s="54"/>
      <c r="W365" s="54"/>
      <c r="X365" s="54"/>
      <c r="Y365" s="54"/>
      <c r="AB365" s="54"/>
      <c r="AC365" s="54"/>
      <c r="AD365" s="54"/>
      <c r="AG365" s="54"/>
      <c r="AH365" s="54"/>
      <c r="AI365" s="54"/>
    </row>
    <row r="366" spans="18:35" x14ac:dyDescent="0.2">
      <c r="R366" s="54"/>
      <c r="S366" s="54"/>
      <c r="T366" s="54"/>
      <c r="W366" s="54"/>
      <c r="X366" s="54"/>
      <c r="Y366" s="54"/>
      <c r="AB366" s="54"/>
      <c r="AC366" s="54"/>
      <c r="AD366" s="54"/>
      <c r="AG366" s="54"/>
      <c r="AH366" s="54"/>
      <c r="AI366" s="54"/>
    </row>
    <row r="367" spans="18:35" x14ac:dyDescent="0.2">
      <c r="R367" s="54"/>
      <c r="S367" s="54"/>
      <c r="T367" s="54"/>
      <c r="W367" s="54"/>
      <c r="X367" s="54"/>
      <c r="Y367" s="54"/>
      <c r="AB367" s="54"/>
      <c r="AC367" s="54"/>
      <c r="AD367" s="54"/>
      <c r="AG367" s="54"/>
      <c r="AH367" s="54"/>
      <c r="AI367" s="54"/>
    </row>
    <row r="368" spans="18:35" x14ac:dyDescent="0.2">
      <c r="R368" s="54"/>
      <c r="S368" s="54"/>
      <c r="T368" s="54"/>
      <c r="W368" s="54"/>
      <c r="X368" s="54"/>
      <c r="Y368" s="54"/>
      <c r="AB368" s="54"/>
      <c r="AC368" s="54"/>
      <c r="AD368" s="54"/>
      <c r="AG368" s="54"/>
      <c r="AH368" s="54"/>
      <c r="AI368" s="54"/>
    </row>
    <row r="369" spans="18:35" x14ac:dyDescent="0.2">
      <c r="R369" s="54"/>
      <c r="S369" s="54"/>
      <c r="T369" s="54"/>
      <c r="W369" s="54"/>
      <c r="X369" s="54"/>
      <c r="Y369" s="54"/>
      <c r="AB369" s="54"/>
      <c r="AC369" s="54"/>
      <c r="AD369" s="54"/>
      <c r="AG369" s="54"/>
      <c r="AH369" s="54"/>
      <c r="AI369" s="54"/>
    </row>
    <row r="370" spans="18:35" x14ac:dyDescent="0.2">
      <c r="R370" s="54"/>
      <c r="S370" s="54"/>
      <c r="T370" s="54"/>
      <c r="W370" s="54"/>
      <c r="X370" s="54"/>
      <c r="Y370" s="54"/>
      <c r="AB370" s="54"/>
      <c r="AC370" s="54"/>
      <c r="AD370" s="54"/>
      <c r="AG370" s="54"/>
      <c r="AH370" s="54"/>
      <c r="AI370" s="54"/>
    </row>
    <row r="371" spans="18:35" x14ac:dyDescent="0.2">
      <c r="R371" s="54"/>
      <c r="S371" s="54"/>
      <c r="T371" s="54"/>
      <c r="W371" s="54"/>
      <c r="X371" s="54"/>
      <c r="Y371" s="54"/>
      <c r="AB371" s="54"/>
      <c r="AC371" s="54"/>
      <c r="AD371" s="54"/>
      <c r="AG371" s="54"/>
      <c r="AH371" s="54"/>
      <c r="AI371" s="54"/>
    </row>
    <row r="372" spans="18:35" x14ac:dyDescent="0.2">
      <c r="R372" s="54"/>
      <c r="S372" s="54"/>
      <c r="T372" s="54"/>
      <c r="W372" s="54"/>
      <c r="X372" s="54"/>
      <c r="Y372" s="54"/>
      <c r="AB372" s="54"/>
      <c r="AC372" s="54"/>
      <c r="AD372" s="54"/>
      <c r="AG372" s="54"/>
      <c r="AH372" s="54"/>
      <c r="AI372" s="54"/>
    </row>
    <row r="373" spans="18:35" x14ac:dyDescent="0.2">
      <c r="R373" s="54"/>
      <c r="S373" s="54"/>
      <c r="T373" s="54"/>
      <c r="W373" s="54"/>
      <c r="X373" s="54"/>
      <c r="Y373" s="54"/>
      <c r="AB373" s="54"/>
      <c r="AC373" s="54"/>
      <c r="AD373" s="54"/>
      <c r="AG373" s="54"/>
      <c r="AH373" s="54"/>
      <c r="AI373" s="54"/>
    </row>
    <row r="374" spans="18:35" x14ac:dyDescent="0.2">
      <c r="R374" s="54"/>
      <c r="S374" s="54"/>
      <c r="T374" s="54"/>
      <c r="W374" s="54"/>
      <c r="X374" s="54"/>
      <c r="Y374" s="54"/>
      <c r="AB374" s="54"/>
      <c r="AC374" s="54"/>
      <c r="AD374" s="54"/>
      <c r="AG374" s="54"/>
      <c r="AH374" s="54"/>
      <c r="AI374" s="54"/>
    </row>
    <row r="375" spans="18:35" x14ac:dyDescent="0.2">
      <c r="R375" s="54"/>
      <c r="S375" s="54"/>
      <c r="T375" s="54"/>
      <c r="W375" s="54"/>
      <c r="X375" s="54"/>
      <c r="Y375" s="54"/>
      <c r="AB375" s="54"/>
      <c r="AC375" s="54"/>
      <c r="AD375" s="54"/>
      <c r="AG375" s="54"/>
      <c r="AH375" s="54"/>
      <c r="AI375" s="54"/>
    </row>
    <row r="376" spans="18:35" x14ac:dyDescent="0.2">
      <c r="R376" s="54"/>
      <c r="S376" s="54"/>
      <c r="T376" s="54"/>
      <c r="W376" s="54"/>
      <c r="X376" s="54"/>
      <c r="Y376" s="54"/>
      <c r="AB376" s="54"/>
      <c r="AC376" s="54"/>
      <c r="AD376" s="54"/>
      <c r="AG376" s="54"/>
      <c r="AH376" s="54"/>
      <c r="AI376" s="54"/>
    </row>
    <row r="377" spans="18:35" x14ac:dyDescent="0.2">
      <c r="R377" s="54"/>
      <c r="S377" s="54"/>
      <c r="T377" s="54"/>
      <c r="W377" s="54"/>
      <c r="X377" s="54"/>
      <c r="Y377" s="54"/>
      <c r="AB377" s="54"/>
      <c r="AC377" s="54"/>
      <c r="AD377" s="54"/>
      <c r="AG377" s="54"/>
      <c r="AH377" s="54"/>
      <c r="AI377" s="54"/>
    </row>
    <row r="378" spans="18:35" x14ac:dyDescent="0.2">
      <c r="R378" s="54"/>
      <c r="S378" s="54"/>
      <c r="T378" s="54"/>
      <c r="W378" s="54"/>
      <c r="X378" s="54"/>
      <c r="Y378" s="54"/>
      <c r="AB378" s="54"/>
      <c r="AC378" s="54"/>
      <c r="AD378" s="54"/>
      <c r="AG378" s="54"/>
      <c r="AH378" s="54"/>
      <c r="AI378" s="54"/>
    </row>
    <row r="379" spans="18:35" x14ac:dyDescent="0.2">
      <c r="R379" s="54"/>
      <c r="S379" s="54"/>
      <c r="T379" s="54"/>
      <c r="W379" s="54"/>
      <c r="X379" s="54"/>
      <c r="Y379" s="54"/>
      <c r="AB379" s="54"/>
      <c r="AC379" s="54"/>
      <c r="AD379" s="54"/>
      <c r="AG379" s="54"/>
      <c r="AH379" s="54"/>
      <c r="AI379" s="54"/>
    </row>
    <row r="380" spans="18:35" x14ac:dyDescent="0.2">
      <c r="R380" s="54"/>
      <c r="S380" s="54"/>
      <c r="T380" s="54"/>
      <c r="W380" s="54"/>
      <c r="X380" s="54"/>
      <c r="Y380" s="54"/>
      <c r="AB380" s="54"/>
      <c r="AC380" s="54"/>
      <c r="AD380" s="54"/>
      <c r="AG380" s="54"/>
      <c r="AH380" s="54"/>
      <c r="AI380" s="54"/>
    </row>
    <row r="381" spans="18:35" x14ac:dyDescent="0.2">
      <c r="R381" s="54"/>
      <c r="S381" s="54"/>
      <c r="T381" s="54"/>
      <c r="W381" s="54"/>
      <c r="X381" s="54"/>
      <c r="Y381" s="54"/>
      <c r="AB381" s="54"/>
      <c r="AC381" s="54"/>
      <c r="AD381" s="54"/>
      <c r="AG381" s="54"/>
      <c r="AH381" s="54"/>
      <c r="AI381" s="54"/>
    </row>
    <row r="382" spans="18:35" x14ac:dyDescent="0.2">
      <c r="R382" s="54"/>
      <c r="S382" s="54"/>
      <c r="T382" s="54"/>
      <c r="W382" s="54"/>
      <c r="X382" s="54"/>
      <c r="Y382" s="54"/>
      <c r="AB382" s="54"/>
      <c r="AC382" s="54"/>
      <c r="AD382" s="54"/>
      <c r="AG382" s="54"/>
      <c r="AH382" s="54"/>
      <c r="AI382" s="54"/>
    </row>
    <row r="383" spans="18:35" x14ac:dyDescent="0.2">
      <c r="R383" s="54"/>
      <c r="S383" s="54"/>
      <c r="T383" s="54"/>
      <c r="W383" s="54"/>
      <c r="X383" s="54"/>
      <c r="Y383" s="54"/>
      <c r="AB383" s="54"/>
      <c r="AC383" s="54"/>
      <c r="AD383" s="54"/>
      <c r="AG383" s="54"/>
      <c r="AH383" s="54"/>
      <c r="AI383" s="54"/>
    </row>
    <row r="384" spans="18:35" x14ac:dyDescent="0.2">
      <c r="R384" s="54"/>
      <c r="S384" s="54"/>
      <c r="T384" s="54"/>
      <c r="W384" s="54"/>
      <c r="X384" s="54"/>
      <c r="Y384" s="54"/>
      <c r="AB384" s="54"/>
      <c r="AC384" s="54"/>
      <c r="AD384" s="54"/>
      <c r="AG384" s="54"/>
      <c r="AH384" s="54"/>
      <c r="AI384" s="54"/>
    </row>
    <row r="385" spans="18:35" x14ac:dyDescent="0.2">
      <c r="R385" s="54"/>
      <c r="S385" s="54"/>
      <c r="T385" s="54"/>
      <c r="W385" s="54"/>
      <c r="X385" s="54"/>
      <c r="Y385" s="54"/>
      <c r="AB385" s="54"/>
      <c r="AC385" s="54"/>
      <c r="AD385" s="54"/>
      <c r="AG385" s="54"/>
      <c r="AH385" s="54"/>
      <c r="AI385" s="54"/>
    </row>
    <row r="386" spans="18:35" x14ac:dyDescent="0.2">
      <c r="R386" s="54"/>
      <c r="S386" s="54"/>
      <c r="T386" s="54"/>
      <c r="W386" s="54"/>
      <c r="X386" s="54"/>
      <c r="Y386" s="54"/>
      <c r="AB386" s="54"/>
      <c r="AC386" s="54"/>
      <c r="AD386" s="54"/>
      <c r="AG386" s="54"/>
      <c r="AH386" s="54"/>
      <c r="AI386" s="54"/>
    </row>
    <row r="387" spans="18:35" x14ac:dyDescent="0.2">
      <c r="R387" s="54"/>
      <c r="S387" s="54"/>
      <c r="T387" s="54"/>
      <c r="W387" s="54"/>
      <c r="X387" s="54"/>
      <c r="Y387" s="54"/>
      <c r="AB387" s="54"/>
      <c r="AC387" s="54"/>
      <c r="AD387" s="54"/>
      <c r="AG387" s="54"/>
      <c r="AH387" s="54"/>
      <c r="AI387" s="54"/>
    </row>
    <row r="388" spans="18:35" x14ac:dyDescent="0.2">
      <c r="R388" s="54"/>
      <c r="S388" s="54"/>
      <c r="T388" s="54"/>
      <c r="W388" s="54"/>
      <c r="X388" s="54"/>
      <c r="Y388" s="54"/>
      <c r="AB388" s="54"/>
      <c r="AC388" s="54"/>
      <c r="AD388" s="54"/>
      <c r="AG388" s="54"/>
      <c r="AH388" s="54"/>
      <c r="AI388" s="54"/>
    </row>
    <row r="389" spans="18:35" x14ac:dyDescent="0.2">
      <c r="R389" s="54"/>
      <c r="S389" s="54"/>
      <c r="T389" s="54"/>
      <c r="W389" s="54"/>
      <c r="X389" s="54"/>
      <c r="Y389" s="54"/>
      <c r="AB389" s="54"/>
      <c r="AC389" s="54"/>
      <c r="AD389" s="54"/>
      <c r="AG389" s="54"/>
      <c r="AH389" s="54"/>
      <c r="AI389" s="54"/>
    </row>
    <row r="390" spans="18:35" x14ac:dyDescent="0.2">
      <c r="R390" s="54"/>
      <c r="S390" s="54"/>
      <c r="T390" s="54"/>
      <c r="W390" s="54"/>
      <c r="X390" s="54"/>
      <c r="Y390" s="54"/>
      <c r="AB390" s="54"/>
      <c r="AC390" s="54"/>
      <c r="AD390" s="54"/>
      <c r="AG390" s="54"/>
      <c r="AH390" s="54"/>
      <c r="AI390" s="54"/>
    </row>
    <row r="391" spans="18:35" x14ac:dyDescent="0.2">
      <c r="R391" s="54"/>
      <c r="S391" s="54"/>
      <c r="T391" s="54"/>
      <c r="W391" s="54"/>
      <c r="X391" s="54"/>
      <c r="Y391" s="54"/>
      <c r="AB391" s="54"/>
      <c r="AC391" s="54"/>
      <c r="AD391" s="54"/>
      <c r="AG391" s="54"/>
      <c r="AH391" s="54"/>
      <c r="AI391" s="54"/>
    </row>
    <row r="392" spans="18:35" x14ac:dyDescent="0.2">
      <c r="R392" s="54"/>
      <c r="S392" s="54"/>
      <c r="T392" s="54"/>
      <c r="W392" s="54"/>
      <c r="X392" s="54"/>
      <c r="Y392" s="54"/>
      <c r="AB392" s="54"/>
      <c r="AC392" s="54"/>
      <c r="AD392" s="54"/>
      <c r="AG392" s="54"/>
      <c r="AH392" s="54"/>
      <c r="AI392" s="54"/>
    </row>
    <row r="393" spans="18:35" x14ac:dyDescent="0.2">
      <c r="R393" s="54"/>
      <c r="S393" s="54"/>
      <c r="T393" s="54"/>
      <c r="W393" s="54"/>
      <c r="X393" s="54"/>
      <c r="Y393" s="54"/>
      <c r="AB393" s="54"/>
      <c r="AC393" s="54"/>
      <c r="AD393" s="54"/>
      <c r="AG393" s="54"/>
      <c r="AH393" s="54"/>
      <c r="AI393" s="54"/>
    </row>
    <row r="394" spans="18:35" x14ac:dyDescent="0.2">
      <c r="R394" s="54"/>
      <c r="S394" s="54"/>
      <c r="T394" s="54"/>
      <c r="W394" s="54"/>
      <c r="X394" s="54"/>
      <c r="Y394" s="54"/>
      <c r="AB394" s="54"/>
      <c r="AC394" s="54"/>
      <c r="AD394" s="54"/>
      <c r="AG394" s="54"/>
      <c r="AH394" s="54"/>
      <c r="AI394" s="54"/>
    </row>
    <row r="395" spans="18:35" x14ac:dyDescent="0.2">
      <c r="R395" s="54"/>
      <c r="S395" s="54"/>
      <c r="T395" s="54"/>
      <c r="W395" s="54"/>
      <c r="X395" s="54"/>
      <c r="Y395" s="54"/>
      <c r="AB395" s="54"/>
      <c r="AC395" s="54"/>
      <c r="AD395" s="54"/>
      <c r="AG395" s="54"/>
      <c r="AH395" s="54"/>
      <c r="AI395" s="54"/>
    </row>
    <row r="396" spans="18:35" x14ac:dyDescent="0.2">
      <c r="R396" s="54"/>
      <c r="S396" s="54"/>
      <c r="T396" s="54"/>
      <c r="W396" s="54"/>
      <c r="X396" s="54"/>
      <c r="Y396" s="54"/>
      <c r="AB396" s="54"/>
      <c r="AC396" s="54"/>
      <c r="AD396" s="54"/>
      <c r="AG396" s="54"/>
      <c r="AH396" s="54"/>
      <c r="AI396" s="54"/>
    </row>
    <row r="397" spans="18:35" x14ac:dyDescent="0.2">
      <c r="R397" s="54"/>
      <c r="S397" s="54"/>
      <c r="T397" s="54"/>
      <c r="W397" s="54"/>
      <c r="X397" s="54"/>
      <c r="Y397" s="54"/>
      <c r="AB397" s="54"/>
      <c r="AC397" s="54"/>
      <c r="AD397" s="54"/>
      <c r="AG397" s="54"/>
      <c r="AH397" s="54"/>
      <c r="AI397" s="54"/>
    </row>
    <row r="398" spans="18:35" x14ac:dyDescent="0.2">
      <c r="R398" s="54"/>
      <c r="S398" s="54"/>
      <c r="T398" s="54"/>
      <c r="W398" s="54"/>
      <c r="X398" s="54"/>
      <c r="Y398" s="54"/>
      <c r="AB398" s="54"/>
      <c r="AC398" s="54"/>
      <c r="AD398" s="54"/>
      <c r="AG398" s="54"/>
      <c r="AH398" s="54"/>
      <c r="AI398" s="54"/>
    </row>
    <row r="399" spans="18:35" x14ac:dyDescent="0.2">
      <c r="R399" s="54"/>
      <c r="S399" s="54"/>
      <c r="T399" s="54"/>
      <c r="W399" s="54"/>
      <c r="X399" s="54"/>
      <c r="Y399" s="54"/>
      <c r="AB399" s="54"/>
      <c r="AC399" s="54"/>
      <c r="AD399" s="54"/>
      <c r="AG399" s="54"/>
      <c r="AH399" s="54"/>
      <c r="AI399" s="54"/>
    </row>
    <row r="400" spans="18:35" x14ac:dyDescent="0.2">
      <c r="R400" s="54"/>
      <c r="S400" s="54"/>
      <c r="T400" s="54"/>
      <c r="W400" s="54"/>
      <c r="X400" s="54"/>
      <c r="Y400" s="54"/>
      <c r="AB400" s="54"/>
      <c r="AC400" s="54"/>
      <c r="AD400" s="54"/>
      <c r="AG400" s="54"/>
      <c r="AH400" s="54"/>
      <c r="AI400" s="54"/>
    </row>
    <row r="401" spans="18:35" x14ac:dyDescent="0.2">
      <c r="R401" s="54"/>
      <c r="S401" s="54"/>
      <c r="T401" s="54"/>
      <c r="W401" s="54"/>
      <c r="X401" s="54"/>
      <c r="Y401" s="54"/>
      <c r="AB401" s="54"/>
      <c r="AC401" s="54"/>
      <c r="AD401" s="54"/>
      <c r="AG401" s="54"/>
      <c r="AH401" s="54"/>
      <c r="AI401" s="54"/>
    </row>
    <row r="402" spans="18:35" x14ac:dyDescent="0.2">
      <c r="R402" s="54"/>
      <c r="S402" s="54"/>
      <c r="T402" s="54"/>
      <c r="W402" s="54"/>
      <c r="X402" s="54"/>
      <c r="Y402" s="54"/>
      <c r="AB402" s="54"/>
      <c r="AC402" s="54"/>
      <c r="AD402" s="54"/>
      <c r="AG402" s="54"/>
      <c r="AH402" s="54"/>
      <c r="AI402" s="54"/>
    </row>
    <row r="403" spans="18:35" x14ac:dyDescent="0.2">
      <c r="R403" s="54"/>
      <c r="S403" s="54"/>
      <c r="T403" s="54"/>
      <c r="W403" s="54"/>
      <c r="X403" s="54"/>
      <c r="Y403" s="54"/>
      <c r="AB403" s="54"/>
      <c r="AC403" s="54"/>
      <c r="AD403" s="54"/>
      <c r="AG403" s="54"/>
      <c r="AH403" s="54"/>
      <c r="AI403" s="54"/>
    </row>
    <row r="404" spans="18:35" x14ac:dyDescent="0.2">
      <c r="R404" s="54"/>
      <c r="S404" s="54"/>
      <c r="T404" s="54"/>
      <c r="W404" s="54"/>
      <c r="X404" s="54"/>
      <c r="Y404" s="54"/>
      <c r="AB404" s="54"/>
      <c r="AC404" s="54"/>
      <c r="AD404" s="54"/>
      <c r="AG404" s="54"/>
      <c r="AH404" s="54"/>
      <c r="AI404" s="54"/>
    </row>
    <row r="405" spans="18:35" x14ac:dyDescent="0.2">
      <c r="R405" s="54"/>
      <c r="S405" s="54"/>
      <c r="T405" s="54"/>
      <c r="W405" s="54"/>
      <c r="X405" s="54"/>
      <c r="Y405" s="54"/>
      <c r="AB405" s="54"/>
      <c r="AC405" s="54"/>
      <c r="AD405" s="54"/>
      <c r="AG405" s="54"/>
      <c r="AH405" s="54"/>
      <c r="AI405" s="54"/>
    </row>
    <row r="406" spans="18:35" x14ac:dyDescent="0.2">
      <c r="R406" s="54"/>
      <c r="S406" s="54"/>
      <c r="T406" s="54"/>
      <c r="W406" s="54"/>
      <c r="X406" s="54"/>
      <c r="Y406" s="54"/>
      <c r="AB406" s="54"/>
      <c r="AC406" s="54"/>
      <c r="AD406" s="54"/>
      <c r="AG406" s="54"/>
      <c r="AH406" s="54"/>
      <c r="AI406" s="54"/>
    </row>
    <row r="407" spans="18:35" x14ac:dyDescent="0.2">
      <c r="R407" s="54"/>
      <c r="S407" s="54"/>
      <c r="T407" s="54"/>
      <c r="W407" s="54"/>
      <c r="X407" s="54"/>
      <c r="Y407" s="54"/>
      <c r="AB407" s="54"/>
      <c r="AC407" s="54"/>
      <c r="AD407" s="54"/>
      <c r="AG407" s="54"/>
      <c r="AH407" s="54"/>
      <c r="AI407" s="54"/>
    </row>
    <row r="408" spans="18:35" x14ac:dyDescent="0.2">
      <c r="R408" s="54"/>
      <c r="S408" s="54"/>
      <c r="T408" s="54"/>
      <c r="W408" s="54"/>
      <c r="X408" s="54"/>
      <c r="Y408" s="54"/>
      <c r="AB408" s="54"/>
      <c r="AC408" s="54"/>
      <c r="AD408" s="54"/>
      <c r="AG408" s="54"/>
      <c r="AH408" s="54"/>
      <c r="AI408" s="54"/>
    </row>
    <row r="409" spans="18:35" x14ac:dyDescent="0.2">
      <c r="R409" s="54"/>
      <c r="S409" s="54"/>
      <c r="T409" s="54"/>
      <c r="W409" s="54"/>
      <c r="X409" s="54"/>
      <c r="Y409" s="54"/>
      <c r="AB409" s="54"/>
      <c r="AC409" s="54"/>
      <c r="AD409" s="54"/>
      <c r="AG409" s="54"/>
      <c r="AH409" s="54"/>
      <c r="AI409" s="54"/>
    </row>
    <row r="410" spans="18:35" x14ac:dyDescent="0.2">
      <c r="R410" s="54"/>
      <c r="S410" s="54"/>
      <c r="T410" s="54"/>
      <c r="W410" s="54"/>
      <c r="X410" s="54"/>
      <c r="Y410" s="54"/>
      <c r="AB410" s="54"/>
      <c r="AC410" s="54"/>
      <c r="AD410" s="54"/>
      <c r="AG410" s="54"/>
      <c r="AH410" s="54"/>
      <c r="AI410" s="54"/>
    </row>
    <row r="411" spans="18:35" x14ac:dyDescent="0.2">
      <c r="R411" s="54"/>
      <c r="S411" s="54"/>
      <c r="T411" s="54"/>
      <c r="W411" s="54"/>
      <c r="X411" s="54"/>
      <c r="Y411" s="54"/>
      <c r="AB411" s="54"/>
      <c r="AC411" s="54"/>
      <c r="AD411" s="54"/>
      <c r="AG411" s="54"/>
      <c r="AH411" s="54"/>
      <c r="AI411" s="54"/>
    </row>
    <row r="412" spans="18:35" x14ac:dyDescent="0.2">
      <c r="R412" s="54"/>
      <c r="S412" s="54"/>
      <c r="T412" s="54"/>
      <c r="W412" s="54"/>
      <c r="X412" s="54"/>
      <c r="Y412" s="54"/>
      <c r="AB412" s="54"/>
      <c r="AC412" s="54"/>
      <c r="AD412" s="54"/>
      <c r="AG412" s="54"/>
      <c r="AH412" s="54"/>
      <c r="AI412" s="54"/>
    </row>
    <row r="413" spans="18:35" x14ac:dyDescent="0.2">
      <c r="R413" s="54"/>
      <c r="S413" s="54"/>
      <c r="T413" s="54"/>
      <c r="W413" s="54"/>
      <c r="X413" s="54"/>
      <c r="Y413" s="54"/>
      <c r="AB413" s="54"/>
      <c r="AC413" s="54"/>
      <c r="AD413" s="54"/>
      <c r="AG413" s="54"/>
      <c r="AH413" s="54"/>
      <c r="AI413" s="54"/>
    </row>
    <row r="414" spans="18:35" x14ac:dyDescent="0.2">
      <c r="R414" s="54"/>
      <c r="S414" s="54"/>
      <c r="T414" s="54"/>
      <c r="W414" s="54"/>
      <c r="X414" s="54"/>
      <c r="Y414" s="54"/>
      <c r="AB414" s="54"/>
      <c r="AC414" s="54"/>
      <c r="AD414" s="54"/>
      <c r="AG414" s="54"/>
      <c r="AH414" s="54"/>
      <c r="AI414" s="54"/>
    </row>
    <row r="415" spans="18:35" x14ac:dyDescent="0.2">
      <c r="R415" s="54"/>
      <c r="S415" s="54"/>
      <c r="T415" s="54"/>
      <c r="W415" s="54"/>
      <c r="X415" s="54"/>
      <c r="Y415" s="54"/>
      <c r="AB415" s="54"/>
      <c r="AC415" s="54"/>
      <c r="AD415" s="54"/>
      <c r="AG415" s="54"/>
      <c r="AH415" s="54"/>
      <c r="AI415" s="54"/>
    </row>
    <row r="416" spans="18:35" x14ac:dyDescent="0.2">
      <c r="R416" s="54"/>
      <c r="S416" s="54"/>
      <c r="T416" s="54"/>
      <c r="W416" s="54"/>
      <c r="X416" s="54"/>
      <c r="Y416" s="54"/>
      <c r="AB416" s="54"/>
      <c r="AC416" s="54"/>
      <c r="AD416" s="54"/>
      <c r="AG416" s="54"/>
      <c r="AH416" s="54"/>
      <c r="AI416" s="54"/>
    </row>
    <row r="417" spans="18:35" x14ac:dyDescent="0.2">
      <c r="R417" s="54"/>
      <c r="S417" s="54"/>
      <c r="T417" s="54"/>
      <c r="W417" s="54"/>
      <c r="X417" s="54"/>
      <c r="Y417" s="54"/>
      <c r="AB417" s="54"/>
      <c r="AC417" s="54"/>
      <c r="AD417" s="54"/>
      <c r="AG417" s="54"/>
      <c r="AH417" s="54"/>
      <c r="AI417" s="54"/>
    </row>
    <row r="418" spans="18:35" x14ac:dyDescent="0.2">
      <c r="R418" s="54"/>
      <c r="S418" s="54"/>
      <c r="T418" s="54"/>
      <c r="W418" s="54"/>
      <c r="X418" s="54"/>
      <c r="Y418" s="54"/>
      <c r="AB418" s="54"/>
      <c r="AC418" s="54"/>
      <c r="AD418" s="54"/>
      <c r="AG418" s="54"/>
      <c r="AH418" s="54"/>
      <c r="AI418" s="54"/>
    </row>
    <row r="419" spans="18:35" x14ac:dyDescent="0.2">
      <c r="R419" s="54"/>
      <c r="S419" s="54"/>
      <c r="T419" s="54"/>
      <c r="W419" s="54"/>
      <c r="X419" s="54"/>
      <c r="Y419" s="54"/>
      <c r="AB419" s="54"/>
      <c r="AC419" s="54"/>
      <c r="AD419" s="54"/>
      <c r="AG419" s="54"/>
      <c r="AH419" s="54"/>
      <c r="AI419" s="54"/>
    </row>
    <row r="420" spans="18:35" x14ac:dyDescent="0.2">
      <c r="R420" s="54"/>
      <c r="S420" s="54"/>
      <c r="T420" s="54"/>
      <c r="W420" s="54"/>
      <c r="X420" s="54"/>
      <c r="Y420" s="54"/>
      <c r="AB420" s="54"/>
      <c r="AC420" s="54"/>
      <c r="AD420" s="54"/>
      <c r="AG420" s="54"/>
      <c r="AH420" s="54"/>
      <c r="AI420" s="54"/>
    </row>
    <row r="421" spans="18:35" x14ac:dyDescent="0.2">
      <c r="R421" s="54"/>
      <c r="S421" s="54"/>
      <c r="T421" s="54"/>
      <c r="W421" s="54"/>
      <c r="X421" s="54"/>
      <c r="Y421" s="54"/>
      <c r="AB421" s="54"/>
      <c r="AC421" s="54"/>
      <c r="AD421" s="54"/>
      <c r="AG421" s="54"/>
      <c r="AH421" s="54"/>
      <c r="AI421" s="54"/>
    </row>
    <row r="422" spans="18:35" x14ac:dyDescent="0.2">
      <c r="R422" s="54"/>
      <c r="S422" s="54"/>
      <c r="T422" s="54"/>
      <c r="W422" s="54"/>
      <c r="X422" s="54"/>
      <c r="Y422" s="54"/>
      <c r="AB422" s="54"/>
      <c r="AC422" s="54"/>
      <c r="AD422" s="54"/>
      <c r="AG422" s="54"/>
      <c r="AH422" s="54"/>
      <c r="AI422" s="54"/>
    </row>
    <row r="423" spans="18:35" x14ac:dyDescent="0.2">
      <c r="R423" s="54"/>
      <c r="S423" s="54"/>
      <c r="T423" s="54"/>
      <c r="W423" s="54"/>
      <c r="X423" s="54"/>
      <c r="Y423" s="54"/>
      <c r="AB423" s="54"/>
      <c r="AC423" s="54"/>
      <c r="AD423" s="54"/>
      <c r="AG423" s="54"/>
      <c r="AH423" s="54"/>
      <c r="AI423" s="54"/>
    </row>
    <row r="424" spans="18:35" x14ac:dyDescent="0.2">
      <c r="R424" s="54"/>
      <c r="S424" s="54"/>
      <c r="T424" s="54"/>
      <c r="W424" s="54"/>
      <c r="X424" s="54"/>
      <c r="Y424" s="54"/>
      <c r="AB424" s="54"/>
      <c r="AC424" s="54"/>
      <c r="AD424" s="54"/>
      <c r="AG424" s="54"/>
      <c r="AH424" s="54"/>
      <c r="AI424" s="54"/>
    </row>
    <row r="425" spans="18:35" x14ac:dyDescent="0.2">
      <c r="R425" s="54"/>
      <c r="S425" s="54"/>
      <c r="T425" s="54"/>
      <c r="W425" s="54"/>
      <c r="X425" s="54"/>
      <c r="Y425" s="54"/>
      <c r="AB425" s="54"/>
      <c r="AC425" s="54"/>
      <c r="AD425" s="54"/>
      <c r="AG425" s="54"/>
      <c r="AH425" s="54"/>
      <c r="AI425" s="54"/>
    </row>
    <row r="426" spans="18:35" x14ac:dyDescent="0.2">
      <c r="R426" s="54"/>
      <c r="S426" s="54"/>
      <c r="T426" s="54"/>
      <c r="W426" s="54"/>
      <c r="X426" s="54"/>
      <c r="Y426" s="54"/>
      <c r="AB426" s="54"/>
      <c r="AC426" s="54"/>
      <c r="AD426" s="54"/>
      <c r="AG426" s="54"/>
      <c r="AH426" s="54"/>
      <c r="AI426" s="54"/>
    </row>
    <row r="427" spans="18:35" x14ac:dyDescent="0.2">
      <c r="R427" s="54"/>
      <c r="S427" s="54"/>
      <c r="T427" s="54"/>
      <c r="W427" s="54"/>
      <c r="X427" s="54"/>
      <c r="Y427" s="54"/>
      <c r="AB427" s="54"/>
      <c r="AC427" s="54"/>
      <c r="AD427" s="54"/>
      <c r="AG427" s="54"/>
      <c r="AH427" s="54"/>
      <c r="AI427" s="54"/>
    </row>
    <row r="428" spans="18:35" x14ac:dyDescent="0.2">
      <c r="R428" s="54"/>
      <c r="S428" s="54"/>
      <c r="T428" s="54"/>
      <c r="W428" s="54"/>
      <c r="X428" s="54"/>
      <c r="Y428" s="54"/>
      <c r="AB428" s="54"/>
      <c r="AC428" s="54"/>
      <c r="AD428" s="54"/>
      <c r="AG428" s="54"/>
      <c r="AH428" s="54"/>
      <c r="AI428" s="54"/>
    </row>
    <row r="429" spans="18:35" x14ac:dyDescent="0.2">
      <c r="R429" s="54"/>
      <c r="S429" s="54"/>
      <c r="T429" s="54"/>
      <c r="W429" s="54"/>
      <c r="X429" s="54"/>
      <c r="Y429" s="54"/>
      <c r="AB429" s="54"/>
      <c r="AC429" s="54"/>
      <c r="AD429" s="54"/>
      <c r="AG429" s="54"/>
      <c r="AH429" s="54"/>
      <c r="AI429" s="54"/>
    </row>
    <row r="430" spans="18:35" x14ac:dyDescent="0.2">
      <c r="R430" s="54"/>
      <c r="S430" s="54"/>
      <c r="T430" s="54"/>
      <c r="W430" s="54"/>
      <c r="X430" s="54"/>
      <c r="Y430" s="54"/>
      <c r="AB430" s="54"/>
      <c r="AC430" s="54"/>
      <c r="AD430" s="54"/>
      <c r="AG430" s="54"/>
      <c r="AH430" s="54"/>
      <c r="AI430" s="54"/>
    </row>
    <row r="431" spans="18:35" x14ac:dyDescent="0.2">
      <c r="R431" s="54"/>
      <c r="S431" s="54"/>
      <c r="T431" s="54"/>
      <c r="W431" s="54"/>
      <c r="X431" s="54"/>
      <c r="Y431" s="54"/>
      <c r="AB431" s="54"/>
      <c r="AC431" s="54"/>
      <c r="AD431" s="54"/>
      <c r="AG431" s="54"/>
      <c r="AH431" s="54"/>
      <c r="AI431" s="54"/>
    </row>
    <row r="432" spans="18:35" x14ac:dyDescent="0.2">
      <c r="R432" s="54"/>
      <c r="S432" s="54"/>
      <c r="T432" s="54"/>
      <c r="W432" s="54"/>
      <c r="X432" s="54"/>
      <c r="Y432" s="54"/>
      <c r="AB432" s="54"/>
      <c r="AC432" s="54"/>
      <c r="AD432" s="54"/>
      <c r="AG432" s="54"/>
      <c r="AH432" s="54"/>
      <c r="AI432" s="54"/>
    </row>
    <row r="433" spans="18:35" x14ac:dyDescent="0.2">
      <c r="R433" s="54"/>
      <c r="S433" s="54"/>
      <c r="T433" s="54"/>
      <c r="W433" s="54"/>
      <c r="X433" s="54"/>
      <c r="Y433" s="54"/>
      <c r="AB433" s="54"/>
      <c r="AC433" s="54"/>
      <c r="AD433" s="54"/>
      <c r="AG433" s="54"/>
      <c r="AH433" s="54"/>
      <c r="AI433" s="54"/>
    </row>
    <row r="434" spans="18:35" x14ac:dyDescent="0.2">
      <c r="R434" s="54"/>
      <c r="S434" s="54"/>
      <c r="T434" s="54"/>
      <c r="W434" s="54"/>
      <c r="X434" s="54"/>
      <c r="Y434" s="54"/>
      <c r="AB434" s="54"/>
      <c r="AC434" s="54"/>
      <c r="AD434" s="54"/>
      <c r="AG434" s="54"/>
      <c r="AH434" s="54"/>
      <c r="AI434" s="54"/>
    </row>
    <row r="435" spans="18:35" x14ac:dyDescent="0.2">
      <c r="R435" s="54"/>
      <c r="S435" s="54"/>
      <c r="T435" s="54"/>
      <c r="W435" s="54"/>
      <c r="X435" s="54"/>
      <c r="Y435" s="54"/>
      <c r="AB435" s="54"/>
      <c r="AC435" s="54"/>
      <c r="AD435" s="54"/>
      <c r="AG435" s="54"/>
      <c r="AH435" s="54"/>
      <c r="AI435" s="54"/>
    </row>
    <row r="436" spans="18:35" x14ac:dyDescent="0.2">
      <c r="R436" s="54"/>
      <c r="S436" s="54"/>
      <c r="T436" s="54"/>
      <c r="W436" s="54"/>
      <c r="X436" s="54"/>
      <c r="Y436" s="54"/>
      <c r="AB436" s="54"/>
      <c r="AC436" s="54"/>
      <c r="AD436" s="54"/>
      <c r="AG436" s="54"/>
      <c r="AH436" s="54"/>
      <c r="AI436" s="54"/>
    </row>
    <row r="437" spans="18:35" x14ac:dyDescent="0.2">
      <c r="R437" s="54"/>
      <c r="S437" s="54"/>
      <c r="T437" s="54"/>
      <c r="W437" s="54"/>
      <c r="X437" s="54"/>
      <c r="Y437" s="54"/>
      <c r="AB437" s="54"/>
      <c r="AC437" s="54"/>
      <c r="AD437" s="54"/>
      <c r="AG437" s="54"/>
      <c r="AH437" s="54"/>
      <c r="AI437" s="54"/>
    </row>
    <row r="438" spans="18:35" x14ac:dyDescent="0.2">
      <c r="R438" s="54"/>
      <c r="S438" s="54"/>
      <c r="T438" s="54"/>
      <c r="W438" s="54"/>
      <c r="X438" s="54"/>
      <c r="Y438" s="54"/>
      <c r="AB438" s="54"/>
      <c r="AC438" s="54"/>
      <c r="AD438" s="54"/>
      <c r="AG438" s="54"/>
      <c r="AH438" s="54"/>
      <c r="AI438" s="54"/>
    </row>
    <row r="439" spans="18:35" x14ac:dyDescent="0.2">
      <c r="R439" s="54"/>
      <c r="S439" s="54"/>
      <c r="T439" s="54"/>
      <c r="W439" s="54"/>
      <c r="X439" s="54"/>
      <c r="Y439" s="54"/>
      <c r="AB439" s="54"/>
      <c r="AC439" s="54"/>
      <c r="AD439" s="54"/>
      <c r="AG439" s="54"/>
      <c r="AH439" s="54"/>
      <c r="AI439" s="54"/>
    </row>
    <row r="440" spans="18:35" x14ac:dyDescent="0.2">
      <c r="R440" s="54"/>
      <c r="S440" s="54"/>
      <c r="T440" s="54"/>
      <c r="W440" s="54"/>
      <c r="X440" s="54"/>
      <c r="Y440" s="54"/>
      <c r="AB440" s="54"/>
      <c r="AC440" s="54"/>
      <c r="AD440" s="54"/>
      <c r="AG440" s="54"/>
      <c r="AH440" s="54"/>
      <c r="AI440" s="54"/>
    </row>
    <row r="441" spans="18:35" x14ac:dyDescent="0.2">
      <c r="R441" s="54"/>
      <c r="S441" s="54"/>
      <c r="T441" s="54"/>
      <c r="W441" s="54"/>
      <c r="X441" s="54"/>
      <c r="Y441" s="54"/>
      <c r="AB441" s="54"/>
      <c r="AC441" s="54"/>
      <c r="AD441" s="54"/>
      <c r="AG441" s="54"/>
      <c r="AH441" s="54"/>
      <c r="AI441" s="54"/>
    </row>
    <row r="442" spans="18:35" x14ac:dyDescent="0.2">
      <c r="R442" s="54"/>
      <c r="S442" s="54"/>
      <c r="T442" s="54"/>
      <c r="W442" s="54"/>
      <c r="X442" s="54"/>
      <c r="Y442" s="54"/>
      <c r="AB442" s="54"/>
      <c r="AC442" s="54"/>
      <c r="AD442" s="54"/>
      <c r="AG442" s="54"/>
      <c r="AH442" s="54"/>
      <c r="AI442" s="54"/>
    </row>
    <row r="443" spans="18:35" x14ac:dyDescent="0.2">
      <c r="R443" s="54"/>
      <c r="S443" s="54"/>
      <c r="T443" s="54"/>
      <c r="W443" s="54"/>
      <c r="X443" s="54"/>
      <c r="Y443" s="54"/>
      <c r="AB443" s="54"/>
      <c r="AC443" s="54"/>
      <c r="AD443" s="54"/>
      <c r="AG443" s="54"/>
      <c r="AH443" s="54"/>
      <c r="AI443" s="54"/>
    </row>
    <row r="444" spans="18:35" x14ac:dyDescent="0.2">
      <c r="R444" s="54"/>
      <c r="S444" s="54"/>
      <c r="T444" s="54"/>
      <c r="W444" s="54"/>
      <c r="X444" s="54"/>
      <c r="Y444" s="54"/>
      <c r="AB444" s="54"/>
      <c r="AC444" s="54"/>
      <c r="AD444" s="54"/>
      <c r="AG444" s="54"/>
      <c r="AH444" s="54"/>
      <c r="AI444" s="54"/>
    </row>
    <row r="445" spans="18:35" x14ac:dyDescent="0.2">
      <c r="R445" s="54"/>
      <c r="S445" s="54"/>
      <c r="T445" s="54"/>
      <c r="W445" s="54"/>
      <c r="X445" s="54"/>
      <c r="Y445" s="54"/>
      <c r="AB445" s="54"/>
      <c r="AC445" s="54"/>
      <c r="AD445" s="54"/>
      <c r="AG445" s="54"/>
      <c r="AH445" s="54"/>
      <c r="AI445" s="54"/>
    </row>
    <row r="446" spans="18:35" x14ac:dyDescent="0.2">
      <c r="R446" s="54"/>
      <c r="S446" s="54"/>
      <c r="T446" s="54"/>
      <c r="W446" s="54"/>
      <c r="X446" s="54"/>
      <c r="Y446" s="54"/>
      <c r="AB446" s="54"/>
      <c r="AC446" s="54"/>
      <c r="AD446" s="54"/>
      <c r="AG446" s="54"/>
      <c r="AH446" s="54"/>
      <c r="AI446" s="54"/>
    </row>
    <row r="447" spans="18:35" x14ac:dyDescent="0.2">
      <c r="R447" s="54"/>
      <c r="S447" s="54"/>
      <c r="T447" s="54"/>
      <c r="W447" s="54"/>
      <c r="X447" s="54"/>
      <c r="Y447" s="54"/>
      <c r="AB447" s="54"/>
      <c r="AC447" s="54"/>
      <c r="AD447" s="54"/>
      <c r="AG447" s="54"/>
      <c r="AH447" s="54"/>
      <c r="AI447" s="54"/>
    </row>
    <row r="448" spans="18:35" x14ac:dyDescent="0.2">
      <c r="R448" s="54"/>
      <c r="S448" s="54"/>
      <c r="T448" s="54"/>
      <c r="W448" s="54"/>
      <c r="X448" s="54"/>
      <c r="Y448" s="54"/>
      <c r="AB448" s="54"/>
      <c r="AC448" s="54"/>
      <c r="AD448" s="54"/>
      <c r="AG448" s="54"/>
      <c r="AH448" s="54"/>
      <c r="AI448" s="54"/>
    </row>
    <row r="449" spans="18:35" x14ac:dyDescent="0.2">
      <c r="R449" s="54"/>
      <c r="S449" s="54"/>
      <c r="T449" s="54"/>
      <c r="W449" s="54"/>
      <c r="X449" s="54"/>
      <c r="Y449" s="54"/>
      <c r="AB449" s="54"/>
      <c r="AC449" s="54"/>
      <c r="AD449" s="54"/>
      <c r="AG449" s="54"/>
      <c r="AH449" s="54"/>
      <c r="AI449" s="54"/>
    </row>
    <row r="450" spans="18:35" x14ac:dyDescent="0.2">
      <c r="R450" s="54"/>
      <c r="S450" s="54"/>
      <c r="T450" s="54"/>
      <c r="W450" s="54"/>
      <c r="X450" s="54"/>
      <c r="Y450" s="54"/>
      <c r="AB450" s="54"/>
      <c r="AC450" s="54"/>
      <c r="AD450" s="54"/>
      <c r="AG450" s="54"/>
      <c r="AH450" s="54"/>
      <c r="AI450" s="54"/>
    </row>
    <row r="451" spans="18:35" x14ac:dyDescent="0.2">
      <c r="R451" s="54"/>
      <c r="S451" s="54"/>
      <c r="T451" s="54"/>
      <c r="W451" s="54"/>
      <c r="X451" s="54"/>
      <c r="Y451" s="54"/>
      <c r="AB451" s="54"/>
      <c r="AC451" s="54"/>
      <c r="AD451" s="54"/>
      <c r="AG451" s="54"/>
      <c r="AH451" s="54"/>
      <c r="AI451" s="54"/>
    </row>
    <row r="452" spans="18:35" x14ac:dyDescent="0.2">
      <c r="R452" s="54"/>
      <c r="S452" s="54"/>
      <c r="T452" s="54"/>
      <c r="W452" s="54"/>
      <c r="X452" s="54"/>
      <c r="Y452" s="54"/>
      <c r="AB452" s="54"/>
      <c r="AC452" s="54"/>
      <c r="AD452" s="54"/>
      <c r="AG452" s="54"/>
      <c r="AH452" s="54"/>
      <c r="AI452" s="54"/>
    </row>
    <row r="453" spans="18:35" x14ac:dyDescent="0.2">
      <c r="R453" s="54"/>
      <c r="S453" s="54"/>
      <c r="T453" s="54"/>
      <c r="W453" s="54"/>
      <c r="X453" s="54"/>
      <c r="Y453" s="54"/>
      <c r="AB453" s="54"/>
      <c r="AC453" s="54"/>
      <c r="AD453" s="54"/>
      <c r="AG453" s="54"/>
      <c r="AH453" s="54"/>
      <c r="AI453" s="54"/>
    </row>
    <row r="454" spans="18:35" x14ac:dyDescent="0.2">
      <c r="R454" s="54"/>
      <c r="S454" s="54"/>
      <c r="T454" s="54"/>
      <c r="W454" s="54"/>
      <c r="X454" s="54"/>
      <c r="Y454" s="54"/>
      <c r="AB454" s="54"/>
      <c r="AC454" s="54"/>
      <c r="AD454" s="54"/>
      <c r="AG454" s="54"/>
      <c r="AH454" s="54"/>
      <c r="AI454" s="54"/>
    </row>
    <row r="455" spans="18:35" x14ac:dyDescent="0.2">
      <c r="R455" s="54"/>
      <c r="S455" s="54"/>
      <c r="T455" s="54"/>
      <c r="W455" s="54"/>
      <c r="X455" s="54"/>
      <c r="Y455" s="54"/>
      <c r="AB455" s="54"/>
      <c r="AC455" s="54"/>
      <c r="AD455" s="54"/>
      <c r="AG455" s="54"/>
      <c r="AH455" s="54"/>
      <c r="AI455" s="54"/>
    </row>
    <row r="456" spans="18:35" x14ac:dyDescent="0.2">
      <c r="R456" s="54"/>
      <c r="S456" s="54"/>
      <c r="T456" s="54"/>
      <c r="W456" s="54"/>
      <c r="X456" s="54"/>
      <c r="Y456" s="54"/>
      <c r="AB456" s="54"/>
      <c r="AC456" s="54"/>
      <c r="AD456" s="54"/>
      <c r="AG456" s="54"/>
      <c r="AH456" s="54"/>
      <c r="AI456" s="54"/>
    </row>
    <row r="457" spans="18:35" x14ac:dyDescent="0.2">
      <c r="R457" s="54"/>
      <c r="S457" s="54"/>
      <c r="T457" s="54"/>
      <c r="W457" s="54"/>
      <c r="X457" s="54"/>
      <c r="Y457" s="54"/>
      <c r="AB457" s="54"/>
      <c r="AC457" s="54"/>
      <c r="AD457" s="54"/>
      <c r="AG457" s="54"/>
      <c r="AH457" s="54"/>
      <c r="AI457" s="54"/>
    </row>
    <row r="458" spans="18:35" x14ac:dyDescent="0.2">
      <c r="R458" s="54"/>
      <c r="S458" s="54"/>
      <c r="T458" s="54"/>
      <c r="W458" s="54"/>
      <c r="X458" s="54"/>
      <c r="Y458" s="54"/>
      <c r="AB458" s="54"/>
      <c r="AC458" s="54"/>
      <c r="AD458" s="54"/>
      <c r="AG458" s="54"/>
      <c r="AH458" s="54"/>
      <c r="AI458" s="54"/>
    </row>
    <row r="459" spans="18:35" x14ac:dyDescent="0.2">
      <c r="R459" s="54"/>
      <c r="S459" s="54"/>
      <c r="T459" s="54"/>
      <c r="W459" s="54"/>
      <c r="X459" s="54"/>
      <c r="Y459" s="54"/>
      <c r="AB459" s="54"/>
      <c r="AC459" s="54"/>
      <c r="AD459" s="54"/>
      <c r="AG459" s="54"/>
      <c r="AH459" s="54"/>
      <c r="AI459" s="54"/>
    </row>
    <row r="460" spans="18:35" x14ac:dyDescent="0.2">
      <c r="R460" s="54"/>
      <c r="S460" s="54"/>
      <c r="T460" s="54"/>
      <c r="W460" s="54"/>
      <c r="X460" s="54"/>
      <c r="Y460" s="54"/>
      <c r="AB460" s="54"/>
      <c r="AC460" s="54"/>
      <c r="AD460" s="54"/>
      <c r="AG460" s="54"/>
      <c r="AH460" s="54"/>
      <c r="AI460" s="54"/>
    </row>
    <row r="461" spans="18:35" x14ac:dyDescent="0.2">
      <c r="R461" s="54"/>
      <c r="S461" s="54"/>
      <c r="T461" s="54"/>
      <c r="W461" s="54"/>
      <c r="X461" s="54"/>
      <c r="Y461" s="54"/>
      <c r="AB461" s="54"/>
      <c r="AC461" s="54"/>
      <c r="AD461" s="54"/>
      <c r="AG461" s="54"/>
      <c r="AH461" s="54"/>
      <c r="AI461" s="54"/>
    </row>
    <row r="462" spans="18:35" x14ac:dyDescent="0.2">
      <c r="AG462" s="54"/>
      <c r="AH462" s="54"/>
      <c r="AI462" s="54"/>
    </row>
  </sheetData>
  <sheetProtection algorithmName="SHA-512" hashValue="e6qaAW8oTIDM3m+BnDqWUdQaJbcLvpYEFOdrG/yRbzJMl8/Y8oPEFWVBN0pZg85kzhFdBrAqs63gZ2RNYLDv/g==" saltValue="Lq4GzHk9dP2a7FwwjxzEdQ==" spinCount="100000" sheet="1" selectLockedCells="1"/>
  <mergeCells count="4">
    <mergeCell ref="F77:H77"/>
    <mergeCell ref="O3:P3"/>
    <mergeCell ref="A1:Q1"/>
    <mergeCell ref="F86:G86"/>
  </mergeCells>
  <phoneticPr fontId="6" type="noConversion"/>
  <conditionalFormatting sqref="E6 E8">
    <cfRule type="cellIs" dxfId="15" priority="21" stopIfTrue="1" operator="notBetween">
      <formula>4</formula>
      <formula>55</formula>
    </cfRule>
  </conditionalFormatting>
  <conditionalFormatting sqref="E9">
    <cfRule type="cellIs" dxfId="14" priority="18" stopIfTrue="1" operator="notBetween">
      <formula>0.8</formula>
      <formula>55</formula>
    </cfRule>
  </conditionalFormatting>
  <conditionalFormatting sqref="E40">
    <cfRule type="cellIs" dxfId="13" priority="16" stopIfTrue="1" operator="lessThanOrEqual">
      <formula>0</formula>
    </cfRule>
  </conditionalFormatting>
  <conditionalFormatting sqref="E42">
    <cfRule type="cellIs" dxfId="12" priority="15" stopIfTrue="1" operator="lessThan">
      <formula>$E$41</formula>
    </cfRule>
  </conditionalFormatting>
  <conditionalFormatting sqref="E44">
    <cfRule type="cellIs" dxfId="11" priority="14" stopIfTrue="1" operator="greaterThan">
      <formula>$E$43</formula>
    </cfRule>
  </conditionalFormatting>
  <conditionalFormatting sqref="E49">
    <cfRule type="cellIs" dxfId="10" priority="12" stopIfTrue="1" operator="equal">
      <formula>0</formula>
    </cfRule>
  </conditionalFormatting>
  <conditionalFormatting sqref="E51">
    <cfRule type="cellIs" dxfId="9" priority="11" stopIfTrue="1" operator="lessThan">
      <formula>$E$50</formula>
    </cfRule>
  </conditionalFormatting>
  <conditionalFormatting sqref="E53">
    <cfRule type="cellIs" dxfId="8" priority="9" stopIfTrue="1" operator="greaterThan">
      <formula>$E$52</formula>
    </cfRule>
    <cfRule type="cellIs" dxfId="7" priority="10" stopIfTrue="1" operator="equal">
      <formula>0</formula>
    </cfRule>
  </conditionalFormatting>
  <conditionalFormatting sqref="E62">
    <cfRule type="cellIs" dxfId="6" priority="7" operator="notBetween">
      <formula>55</formula>
      <formula>4</formula>
    </cfRule>
  </conditionalFormatting>
  <conditionalFormatting sqref="E58">
    <cfRule type="cellIs" dxfId="5" priority="5" operator="lessThanOrEqual">
      <formula>1.28</formula>
    </cfRule>
  </conditionalFormatting>
  <conditionalFormatting sqref="E11">
    <cfRule type="cellIs" dxfId="4" priority="24" stopIfTrue="1" operator="notBetween">
      <formula>600</formula>
      <formula>100</formula>
    </cfRule>
  </conditionalFormatting>
  <conditionalFormatting sqref="E7">
    <cfRule type="cellIs" dxfId="3" priority="4" operator="notBetween">
      <formula>$E$6</formula>
      <formula>$E$8</formula>
    </cfRule>
  </conditionalFormatting>
  <conditionalFormatting sqref="E60">
    <cfRule type="expression" dxfId="2" priority="3">
      <formula>DITHER=2</formula>
    </cfRule>
  </conditionalFormatting>
  <conditionalFormatting sqref="D61">
    <cfRule type="expression" dxfId="1" priority="2">
      <formula>DITHER=2</formula>
    </cfRule>
  </conditionalFormatting>
  <conditionalFormatting sqref="D60">
    <cfRule type="expression" dxfId="0" priority="1">
      <formula>DITHER=2</formula>
    </cfRule>
  </conditionalFormatting>
  <hyperlinks>
    <hyperlink ref="C3" r:id="rId1" xr:uid="{00000000-0004-0000-0000-000000000000}"/>
    <hyperlink ref="O2" r:id="rId2" xr:uid="{00000000-0004-0000-0000-000001000000}"/>
    <hyperlink ref="O3:P3" location="Licenses!A1" display="TERMS OF USE" xr:uid="{DC7B42D1-2C8A-4B39-8A59-68243D901433}"/>
  </hyperlinks>
  <printOptions horizontalCentered="1" verticalCentered="1"/>
  <pageMargins left="0.1" right="0.1" top="0.1" bottom="0.1" header="0.25" footer="0.25"/>
  <pageSetup scale="46" orientation="portrait" r:id="rId3"/>
  <headerFooter alignWithMargins="0"/>
  <rowBreaks count="1" manualBreakCount="1">
    <brk id="114" max="16383" man="1"/>
  </rowBreaks>
  <ignoredErrors>
    <ignoredError sqref="E76 E30" unlockedFormula="1"/>
  </ignoredErrors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3660" r:id="rId7" name="Drop Down 892">
              <controlPr defaultSize="0" autoLine="0" autoPict="0">
                <anchor moveWithCells="1">
                  <from>
                    <xdr:col>6</xdr:col>
                    <xdr:colOff>514350</xdr:colOff>
                    <xdr:row>11</xdr:row>
                    <xdr:rowOff>66675</xdr:rowOff>
                  </from>
                  <to>
                    <xdr:col>7</xdr:col>
                    <xdr:colOff>95250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88" r:id="rId8" name="Button 520">
              <controlPr locked="0" defaultSize="0" print="0" autoFill="0" autoPict="0" macro="[0]!FIXValues">
                <anchor moveWithCells="1" sizeWithCells="1">
                  <from>
                    <xdr:col>2</xdr:col>
                    <xdr:colOff>314325</xdr:colOff>
                    <xdr:row>77</xdr:row>
                    <xdr:rowOff>76200</xdr:rowOff>
                  </from>
                  <to>
                    <xdr:col>2</xdr:col>
                    <xdr:colOff>895350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60" r:id="rId9" name="Button 492">
              <controlPr locked="0" defaultSize="0" print="0" autoFill="0" autoPict="0" macro="[0]!RESETvalues">
                <anchor moveWithCells="1" sizeWithCells="1">
                  <from>
                    <xdr:col>2</xdr:col>
                    <xdr:colOff>314325</xdr:colOff>
                    <xdr:row>77</xdr:row>
                    <xdr:rowOff>76200</xdr:rowOff>
                  </from>
                  <to>
                    <xdr:col>2</xdr:col>
                    <xdr:colOff>895350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829" r:id="rId10" name="Spinner 61">
              <controlPr defaultSize="0" autoPict="0">
                <anchor moveWithCells="1" sizeWithCells="1">
                  <from>
                    <xdr:col>5</xdr:col>
                    <xdr:colOff>9525</xdr:colOff>
                    <xdr:row>70</xdr:row>
                    <xdr:rowOff>0</xdr:rowOff>
                  </from>
                  <to>
                    <xdr:col>5</xdr:col>
                    <xdr:colOff>180975</xdr:colOff>
                    <xdr:row>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895" r:id="rId11" name="Spinner 127">
              <controlPr defaultSize="0" autoPict="0">
                <anchor moveWithCells="1" sizeWithCells="1">
                  <from>
                    <xdr:col>5</xdr:col>
                    <xdr:colOff>123825</xdr:colOff>
                    <xdr:row>6</xdr:row>
                    <xdr:rowOff>9525</xdr:rowOff>
                  </from>
                  <to>
                    <xdr:col>5</xdr:col>
                    <xdr:colOff>304800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2924" r:id="rId12" name="Drop Down 156">
              <controlPr defaultSize="0" autoLine="0" autoPict="0">
                <anchor>
                  <from>
                    <xdr:col>7</xdr:col>
                    <xdr:colOff>219075</xdr:colOff>
                    <xdr:row>83</xdr:row>
                    <xdr:rowOff>9525</xdr:rowOff>
                  </from>
                  <to>
                    <xdr:col>9</xdr:col>
                    <xdr:colOff>200025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029" r:id="rId13" name="Drop Down 261">
              <controlPr defaultSize="0" autoLine="0" autoPict="0">
                <anchor moveWithCells="1">
                  <from>
                    <xdr:col>0</xdr:col>
                    <xdr:colOff>9525</xdr:colOff>
                    <xdr:row>59</xdr:row>
                    <xdr:rowOff>0</xdr:rowOff>
                  </from>
                  <to>
                    <xdr:col>1</xdr:col>
                    <xdr:colOff>476250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295" r:id="rId14" name="Spinner 527">
              <controlPr defaultSize="0" autoPict="0">
                <anchor moveWithCells="1" sizeWithCells="1">
                  <from>
                    <xdr:col>13</xdr:col>
                    <xdr:colOff>428625</xdr:colOff>
                    <xdr:row>46</xdr:row>
                    <xdr:rowOff>0</xdr:rowOff>
                  </from>
                  <to>
                    <xdr:col>14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3669" r:id="rId15" name="Spinner 901">
              <controlPr defaultSize="0" autoPict="0">
                <anchor moveWithCells="1" sizeWithCells="1">
                  <from>
                    <xdr:col>13</xdr:col>
                    <xdr:colOff>428625</xdr:colOff>
                    <xdr:row>83</xdr:row>
                    <xdr:rowOff>0</xdr:rowOff>
                  </from>
                  <to>
                    <xdr:col>14</xdr:col>
                    <xdr:colOff>0</xdr:colOff>
                    <xdr:row>84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0000"/>
  </sheetPr>
  <dimension ref="A1:M81"/>
  <sheetViews>
    <sheetView topLeftCell="A40" zoomScale="85" zoomScaleNormal="85" workbookViewId="0">
      <selection activeCell="K68" sqref="K68"/>
    </sheetView>
  </sheetViews>
  <sheetFormatPr defaultRowHeight="12.75" x14ac:dyDescent="0.2"/>
  <cols>
    <col min="1" max="1" width="9.5703125" style="226" customWidth="1"/>
    <col min="2" max="2" width="20.28515625" style="226" customWidth="1"/>
    <col min="3" max="3" width="16.140625" style="226" customWidth="1"/>
    <col min="4" max="4" width="20.140625" style="226" customWidth="1"/>
    <col min="5" max="5" width="17.28515625" style="226" customWidth="1"/>
    <col min="6" max="6" width="20.5703125" style="226" bestFit="1" customWidth="1"/>
    <col min="7" max="7" width="9.7109375" style="226" customWidth="1"/>
    <col min="8" max="8" width="16.140625" style="226" customWidth="1"/>
    <col min="9" max="9" width="14.7109375" style="226" customWidth="1"/>
    <col min="10" max="10" width="18.42578125" style="226" customWidth="1"/>
    <col min="11" max="11" width="26.42578125" style="226" customWidth="1"/>
    <col min="12" max="12" width="9.140625" style="226"/>
    <col min="13" max="13" width="9.140625" style="227"/>
    <col min="14" max="256" width="9.140625" style="226"/>
    <col min="257" max="257" width="8.7109375" style="226" bestFit="1" customWidth="1"/>
    <col min="258" max="258" width="13.28515625" style="226" customWidth="1"/>
    <col min="259" max="259" width="16.140625" style="226" bestFit="1" customWidth="1"/>
    <col min="260" max="260" width="23.5703125" style="226" customWidth="1"/>
    <col min="261" max="261" width="17.28515625" style="226" customWidth="1"/>
    <col min="262" max="262" width="20.5703125" style="226" bestFit="1" customWidth="1"/>
    <col min="263" max="263" width="17.140625" style="226" customWidth="1"/>
    <col min="264" max="264" width="21.85546875" style="226" bestFit="1" customWidth="1"/>
    <col min="265" max="265" width="17.140625" style="226" bestFit="1" customWidth="1"/>
    <col min="266" max="266" width="18.140625" style="226" bestFit="1" customWidth="1"/>
    <col min="267" max="267" width="26.42578125" style="226" customWidth="1"/>
    <col min="268" max="512" width="9.140625" style="226"/>
    <col min="513" max="513" width="8.7109375" style="226" bestFit="1" customWidth="1"/>
    <col min="514" max="514" width="13.28515625" style="226" customWidth="1"/>
    <col min="515" max="515" width="16.140625" style="226" bestFit="1" customWidth="1"/>
    <col min="516" max="516" width="23.5703125" style="226" customWidth="1"/>
    <col min="517" max="517" width="17.28515625" style="226" customWidth="1"/>
    <col min="518" max="518" width="20.5703125" style="226" bestFit="1" customWidth="1"/>
    <col min="519" max="519" width="17.140625" style="226" customWidth="1"/>
    <col min="520" max="520" width="21.85546875" style="226" bestFit="1" customWidth="1"/>
    <col min="521" max="521" width="17.140625" style="226" bestFit="1" customWidth="1"/>
    <col min="522" max="522" width="18.140625" style="226" bestFit="1" customWidth="1"/>
    <col min="523" max="523" width="26.42578125" style="226" customWidth="1"/>
    <col min="524" max="768" width="9.140625" style="226"/>
    <col min="769" max="769" width="8.7109375" style="226" bestFit="1" customWidth="1"/>
    <col min="770" max="770" width="13.28515625" style="226" customWidth="1"/>
    <col min="771" max="771" width="16.140625" style="226" bestFit="1" customWidth="1"/>
    <col min="772" max="772" width="23.5703125" style="226" customWidth="1"/>
    <col min="773" max="773" width="17.28515625" style="226" customWidth="1"/>
    <col min="774" max="774" width="20.5703125" style="226" bestFit="1" customWidth="1"/>
    <col min="775" max="775" width="17.140625" style="226" customWidth="1"/>
    <col min="776" max="776" width="21.85546875" style="226" bestFit="1" customWidth="1"/>
    <col min="777" max="777" width="17.140625" style="226" bestFit="1" customWidth="1"/>
    <col min="778" max="778" width="18.140625" style="226" bestFit="1" customWidth="1"/>
    <col min="779" max="779" width="26.42578125" style="226" customWidth="1"/>
    <col min="780" max="1024" width="9.140625" style="226"/>
    <col min="1025" max="1025" width="8.7109375" style="226" bestFit="1" customWidth="1"/>
    <col min="1026" max="1026" width="13.28515625" style="226" customWidth="1"/>
    <col min="1027" max="1027" width="16.140625" style="226" bestFit="1" customWidth="1"/>
    <col min="1028" max="1028" width="23.5703125" style="226" customWidth="1"/>
    <col min="1029" max="1029" width="17.28515625" style="226" customWidth="1"/>
    <col min="1030" max="1030" width="20.5703125" style="226" bestFit="1" customWidth="1"/>
    <col min="1031" max="1031" width="17.140625" style="226" customWidth="1"/>
    <col min="1032" max="1032" width="21.85546875" style="226" bestFit="1" customWidth="1"/>
    <col min="1033" max="1033" width="17.140625" style="226" bestFit="1" customWidth="1"/>
    <col min="1034" max="1034" width="18.140625" style="226" bestFit="1" customWidth="1"/>
    <col min="1035" max="1035" width="26.42578125" style="226" customWidth="1"/>
    <col min="1036" max="1280" width="9.140625" style="226"/>
    <col min="1281" max="1281" width="8.7109375" style="226" bestFit="1" customWidth="1"/>
    <col min="1282" max="1282" width="13.28515625" style="226" customWidth="1"/>
    <col min="1283" max="1283" width="16.140625" style="226" bestFit="1" customWidth="1"/>
    <col min="1284" max="1284" width="23.5703125" style="226" customWidth="1"/>
    <col min="1285" max="1285" width="17.28515625" style="226" customWidth="1"/>
    <col min="1286" max="1286" width="20.5703125" style="226" bestFit="1" customWidth="1"/>
    <col min="1287" max="1287" width="17.140625" style="226" customWidth="1"/>
    <col min="1288" max="1288" width="21.85546875" style="226" bestFit="1" customWidth="1"/>
    <col min="1289" max="1289" width="17.140625" style="226" bestFit="1" customWidth="1"/>
    <col min="1290" max="1290" width="18.140625" style="226" bestFit="1" customWidth="1"/>
    <col min="1291" max="1291" width="26.42578125" style="226" customWidth="1"/>
    <col min="1292" max="1536" width="9.140625" style="226"/>
    <col min="1537" max="1537" width="8.7109375" style="226" bestFit="1" customWidth="1"/>
    <col min="1538" max="1538" width="13.28515625" style="226" customWidth="1"/>
    <col min="1539" max="1539" width="16.140625" style="226" bestFit="1" customWidth="1"/>
    <col min="1540" max="1540" width="23.5703125" style="226" customWidth="1"/>
    <col min="1541" max="1541" width="17.28515625" style="226" customWidth="1"/>
    <col min="1542" max="1542" width="20.5703125" style="226" bestFit="1" customWidth="1"/>
    <col min="1543" max="1543" width="17.140625" style="226" customWidth="1"/>
    <col min="1544" max="1544" width="21.85546875" style="226" bestFit="1" customWidth="1"/>
    <col min="1545" max="1545" width="17.140625" style="226" bestFit="1" customWidth="1"/>
    <col min="1546" max="1546" width="18.140625" style="226" bestFit="1" customWidth="1"/>
    <col min="1547" max="1547" width="26.42578125" style="226" customWidth="1"/>
    <col min="1548" max="1792" width="9.140625" style="226"/>
    <col min="1793" max="1793" width="8.7109375" style="226" bestFit="1" customWidth="1"/>
    <col min="1794" max="1794" width="13.28515625" style="226" customWidth="1"/>
    <col min="1795" max="1795" width="16.140625" style="226" bestFit="1" customWidth="1"/>
    <col min="1796" max="1796" width="23.5703125" style="226" customWidth="1"/>
    <col min="1797" max="1797" width="17.28515625" style="226" customWidth="1"/>
    <col min="1798" max="1798" width="20.5703125" style="226" bestFit="1" customWidth="1"/>
    <col min="1799" max="1799" width="17.140625" style="226" customWidth="1"/>
    <col min="1800" max="1800" width="21.85546875" style="226" bestFit="1" customWidth="1"/>
    <col min="1801" max="1801" width="17.140625" style="226" bestFit="1" customWidth="1"/>
    <col min="1802" max="1802" width="18.140625" style="226" bestFit="1" customWidth="1"/>
    <col min="1803" max="1803" width="26.42578125" style="226" customWidth="1"/>
    <col min="1804" max="2048" width="9.140625" style="226"/>
    <col min="2049" max="2049" width="8.7109375" style="226" bestFit="1" customWidth="1"/>
    <col min="2050" max="2050" width="13.28515625" style="226" customWidth="1"/>
    <col min="2051" max="2051" width="16.140625" style="226" bestFit="1" customWidth="1"/>
    <col min="2052" max="2052" width="23.5703125" style="226" customWidth="1"/>
    <col min="2053" max="2053" width="17.28515625" style="226" customWidth="1"/>
    <col min="2054" max="2054" width="20.5703125" style="226" bestFit="1" customWidth="1"/>
    <col min="2055" max="2055" width="17.140625" style="226" customWidth="1"/>
    <col min="2056" max="2056" width="21.85546875" style="226" bestFit="1" customWidth="1"/>
    <col min="2057" max="2057" width="17.140625" style="226" bestFit="1" customWidth="1"/>
    <col min="2058" max="2058" width="18.140625" style="226" bestFit="1" customWidth="1"/>
    <col min="2059" max="2059" width="26.42578125" style="226" customWidth="1"/>
    <col min="2060" max="2304" width="9.140625" style="226"/>
    <col min="2305" max="2305" width="8.7109375" style="226" bestFit="1" customWidth="1"/>
    <col min="2306" max="2306" width="13.28515625" style="226" customWidth="1"/>
    <col min="2307" max="2307" width="16.140625" style="226" bestFit="1" customWidth="1"/>
    <col min="2308" max="2308" width="23.5703125" style="226" customWidth="1"/>
    <col min="2309" max="2309" width="17.28515625" style="226" customWidth="1"/>
    <col min="2310" max="2310" width="20.5703125" style="226" bestFit="1" customWidth="1"/>
    <col min="2311" max="2311" width="17.140625" style="226" customWidth="1"/>
    <col min="2312" max="2312" width="21.85546875" style="226" bestFit="1" customWidth="1"/>
    <col min="2313" max="2313" width="17.140625" style="226" bestFit="1" customWidth="1"/>
    <col min="2314" max="2314" width="18.140625" style="226" bestFit="1" customWidth="1"/>
    <col min="2315" max="2315" width="26.42578125" style="226" customWidth="1"/>
    <col min="2316" max="2560" width="9.140625" style="226"/>
    <col min="2561" max="2561" width="8.7109375" style="226" bestFit="1" customWidth="1"/>
    <col min="2562" max="2562" width="13.28515625" style="226" customWidth="1"/>
    <col min="2563" max="2563" width="16.140625" style="226" bestFit="1" customWidth="1"/>
    <col min="2564" max="2564" width="23.5703125" style="226" customWidth="1"/>
    <col min="2565" max="2565" width="17.28515625" style="226" customWidth="1"/>
    <col min="2566" max="2566" width="20.5703125" style="226" bestFit="1" customWidth="1"/>
    <col min="2567" max="2567" width="17.140625" style="226" customWidth="1"/>
    <col min="2568" max="2568" width="21.85546875" style="226" bestFit="1" customWidth="1"/>
    <col min="2569" max="2569" width="17.140625" style="226" bestFit="1" customWidth="1"/>
    <col min="2570" max="2570" width="18.140625" style="226" bestFit="1" customWidth="1"/>
    <col min="2571" max="2571" width="26.42578125" style="226" customWidth="1"/>
    <col min="2572" max="2816" width="9.140625" style="226"/>
    <col min="2817" max="2817" width="8.7109375" style="226" bestFit="1" customWidth="1"/>
    <col min="2818" max="2818" width="13.28515625" style="226" customWidth="1"/>
    <col min="2819" max="2819" width="16.140625" style="226" bestFit="1" customWidth="1"/>
    <col min="2820" max="2820" width="23.5703125" style="226" customWidth="1"/>
    <col min="2821" max="2821" width="17.28515625" style="226" customWidth="1"/>
    <col min="2822" max="2822" width="20.5703125" style="226" bestFit="1" customWidth="1"/>
    <col min="2823" max="2823" width="17.140625" style="226" customWidth="1"/>
    <col min="2824" max="2824" width="21.85546875" style="226" bestFit="1" customWidth="1"/>
    <col min="2825" max="2825" width="17.140625" style="226" bestFit="1" customWidth="1"/>
    <col min="2826" max="2826" width="18.140625" style="226" bestFit="1" customWidth="1"/>
    <col min="2827" max="2827" width="26.42578125" style="226" customWidth="1"/>
    <col min="2828" max="3072" width="9.140625" style="226"/>
    <col min="3073" max="3073" width="8.7109375" style="226" bestFit="1" customWidth="1"/>
    <col min="3074" max="3074" width="13.28515625" style="226" customWidth="1"/>
    <col min="3075" max="3075" width="16.140625" style="226" bestFit="1" customWidth="1"/>
    <col min="3076" max="3076" width="23.5703125" style="226" customWidth="1"/>
    <col min="3077" max="3077" width="17.28515625" style="226" customWidth="1"/>
    <col min="3078" max="3078" width="20.5703125" style="226" bestFit="1" customWidth="1"/>
    <col min="3079" max="3079" width="17.140625" style="226" customWidth="1"/>
    <col min="3080" max="3080" width="21.85546875" style="226" bestFit="1" customWidth="1"/>
    <col min="3081" max="3081" width="17.140625" style="226" bestFit="1" customWidth="1"/>
    <col min="3082" max="3082" width="18.140625" style="226" bestFit="1" customWidth="1"/>
    <col min="3083" max="3083" width="26.42578125" style="226" customWidth="1"/>
    <col min="3084" max="3328" width="9.140625" style="226"/>
    <col min="3329" max="3329" width="8.7109375" style="226" bestFit="1" customWidth="1"/>
    <col min="3330" max="3330" width="13.28515625" style="226" customWidth="1"/>
    <col min="3331" max="3331" width="16.140625" style="226" bestFit="1" customWidth="1"/>
    <col min="3332" max="3332" width="23.5703125" style="226" customWidth="1"/>
    <col min="3333" max="3333" width="17.28515625" style="226" customWidth="1"/>
    <col min="3334" max="3334" width="20.5703125" style="226" bestFit="1" customWidth="1"/>
    <col min="3335" max="3335" width="17.140625" style="226" customWidth="1"/>
    <col min="3336" max="3336" width="21.85546875" style="226" bestFit="1" customWidth="1"/>
    <col min="3337" max="3337" width="17.140625" style="226" bestFit="1" customWidth="1"/>
    <col min="3338" max="3338" width="18.140625" style="226" bestFit="1" customWidth="1"/>
    <col min="3339" max="3339" width="26.42578125" style="226" customWidth="1"/>
    <col min="3340" max="3584" width="9.140625" style="226"/>
    <col min="3585" max="3585" width="8.7109375" style="226" bestFit="1" customWidth="1"/>
    <col min="3586" max="3586" width="13.28515625" style="226" customWidth="1"/>
    <col min="3587" max="3587" width="16.140625" style="226" bestFit="1" customWidth="1"/>
    <col min="3588" max="3588" width="23.5703125" style="226" customWidth="1"/>
    <col min="3589" max="3589" width="17.28515625" style="226" customWidth="1"/>
    <col min="3590" max="3590" width="20.5703125" style="226" bestFit="1" customWidth="1"/>
    <col min="3591" max="3591" width="17.140625" style="226" customWidth="1"/>
    <col min="3592" max="3592" width="21.85546875" style="226" bestFit="1" customWidth="1"/>
    <col min="3593" max="3593" width="17.140625" style="226" bestFit="1" customWidth="1"/>
    <col min="3594" max="3594" width="18.140625" style="226" bestFit="1" customWidth="1"/>
    <col min="3595" max="3595" width="26.42578125" style="226" customWidth="1"/>
    <col min="3596" max="3840" width="9.140625" style="226"/>
    <col min="3841" max="3841" width="8.7109375" style="226" bestFit="1" customWidth="1"/>
    <col min="3842" max="3842" width="13.28515625" style="226" customWidth="1"/>
    <col min="3843" max="3843" width="16.140625" style="226" bestFit="1" customWidth="1"/>
    <col min="3844" max="3844" width="23.5703125" style="226" customWidth="1"/>
    <col min="3845" max="3845" width="17.28515625" style="226" customWidth="1"/>
    <col min="3846" max="3846" width="20.5703125" style="226" bestFit="1" customWidth="1"/>
    <col min="3847" max="3847" width="17.140625" style="226" customWidth="1"/>
    <col min="3848" max="3848" width="21.85546875" style="226" bestFit="1" customWidth="1"/>
    <col min="3849" max="3849" width="17.140625" style="226" bestFit="1" customWidth="1"/>
    <col min="3850" max="3850" width="18.140625" style="226" bestFit="1" customWidth="1"/>
    <col min="3851" max="3851" width="26.42578125" style="226" customWidth="1"/>
    <col min="3852" max="4096" width="9.140625" style="226"/>
    <col min="4097" max="4097" width="8.7109375" style="226" bestFit="1" customWidth="1"/>
    <col min="4098" max="4098" width="13.28515625" style="226" customWidth="1"/>
    <col min="4099" max="4099" width="16.140625" style="226" bestFit="1" customWidth="1"/>
    <col min="4100" max="4100" width="23.5703125" style="226" customWidth="1"/>
    <col min="4101" max="4101" width="17.28515625" style="226" customWidth="1"/>
    <col min="4102" max="4102" width="20.5703125" style="226" bestFit="1" customWidth="1"/>
    <col min="4103" max="4103" width="17.140625" style="226" customWidth="1"/>
    <col min="4104" max="4104" width="21.85546875" style="226" bestFit="1" customWidth="1"/>
    <col min="4105" max="4105" width="17.140625" style="226" bestFit="1" customWidth="1"/>
    <col min="4106" max="4106" width="18.140625" style="226" bestFit="1" customWidth="1"/>
    <col min="4107" max="4107" width="26.42578125" style="226" customWidth="1"/>
    <col min="4108" max="4352" width="9.140625" style="226"/>
    <col min="4353" max="4353" width="8.7109375" style="226" bestFit="1" customWidth="1"/>
    <col min="4354" max="4354" width="13.28515625" style="226" customWidth="1"/>
    <col min="4355" max="4355" width="16.140625" style="226" bestFit="1" customWidth="1"/>
    <col min="4356" max="4356" width="23.5703125" style="226" customWidth="1"/>
    <col min="4357" max="4357" width="17.28515625" style="226" customWidth="1"/>
    <col min="4358" max="4358" width="20.5703125" style="226" bestFit="1" customWidth="1"/>
    <col min="4359" max="4359" width="17.140625" style="226" customWidth="1"/>
    <col min="4360" max="4360" width="21.85546875" style="226" bestFit="1" customWidth="1"/>
    <col min="4361" max="4361" width="17.140625" style="226" bestFit="1" customWidth="1"/>
    <col min="4362" max="4362" width="18.140625" style="226" bestFit="1" customWidth="1"/>
    <col min="4363" max="4363" width="26.42578125" style="226" customWidth="1"/>
    <col min="4364" max="4608" width="9.140625" style="226"/>
    <col min="4609" max="4609" width="8.7109375" style="226" bestFit="1" customWidth="1"/>
    <col min="4610" max="4610" width="13.28515625" style="226" customWidth="1"/>
    <col min="4611" max="4611" width="16.140625" style="226" bestFit="1" customWidth="1"/>
    <col min="4612" max="4612" width="23.5703125" style="226" customWidth="1"/>
    <col min="4613" max="4613" width="17.28515625" style="226" customWidth="1"/>
    <col min="4614" max="4614" width="20.5703125" style="226" bestFit="1" customWidth="1"/>
    <col min="4615" max="4615" width="17.140625" style="226" customWidth="1"/>
    <col min="4616" max="4616" width="21.85546875" style="226" bestFit="1" customWidth="1"/>
    <col min="4617" max="4617" width="17.140625" style="226" bestFit="1" customWidth="1"/>
    <col min="4618" max="4618" width="18.140625" style="226" bestFit="1" customWidth="1"/>
    <col min="4619" max="4619" width="26.42578125" style="226" customWidth="1"/>
    <col min="4620" max="4864" width="9.140625" style="226"/>
    <col min="4865" max="4865" width="8.7109375" style="226" bestFit="1" customWidth="1"/>
    <col min="4866" max="4866" width="13.28515625" style="226" customWidth="1"/>
    <col min="4867" max="4867" width="16.140625" style="226" bestFit="1" customWidth="1"/>
    <col min="4868" max="4868" width="23.5703125" style="226" customWidth="1"/>
    <col min="4869" max="4869" width="17.28515625" style="226" customWidth="1"/>
    <col min="4870" max="4870" width="20.5703125" style="226" bestFit="1" customWidth="1"/>
    <col min="4871" max="4871" width="17.140625" style="226" customWidth="1"/>
    <col min="4872" max="4872" width="21.85546875" style="226" bestFit="1" customWidth="1"/>
    <col min="4873" max="4873" width="17.140625" style="226" bestFit="1" customWidth="1"/>
    <col min="4874" max="4874" width="18.140625" style="226" bestFit="1" customWidth="1"/>
    <col min="4875" max="4875" width="26.42578125" style="226" customWidth="1"/>
    <col min="4876" max="5120" width="9.140625" style="226"/>
    <col min="5121" max="5121" width="8.7109375" style="226" bestFit="1" customWidth="1"/>
    <col min="5122" max="5122" width="13.28515625" style="226" customWidth="1"/>
    <col min="5123" max="5123" width="16.140625" style="226" bestFit="1" customWidth="1"/>
    <col min="5124" max="5124" width="23.5703125" style="226" customWidth="1"/>
    <col min="5125" max="5125" width="17.28515625" style="226" customWidth="1"/>
    <col min="5126" max="5126" width="20.5703125" style="226" bestFit="1" customWidth="1"/>
    <col min="5127" max="5127" width="17.140625" style="226" customWidth="1"/>
    <col min="5128" max="5128" width="21.85546875" style="226" bestFit="1" customWidth="1"/>
    <col min="5129" max="5129" width="17.140625" style="226" bestFit="1" customWidth="1"/>
    <col min="5130" max="5130" width="18.140625" style="226" bestFit="1" customWidth="1"/>
    <col min="5131" max="5131" width="26.42578125" style="226" customWidth="1"/>
    <col min="5132" max="5376" width="9.140625" style="226"/>
    <col min="5377" max="5377" width="8.7109375" style="226" bestFit="1" customWidth="1"/>
    <col min="5378" max="5378" width="13.28515625" style="226" customWidth="1"/>
    <col min="5379" max="5379" width="16.140625" style="226" bestFit="1" customWidth="1"/>
    <col min="5380" max="5380" width="23.5703125" style="226" customWidth="1"/>
    <col min="5381" max="5381" width="17.28515625" style="226" customWidth="1"/>
    <col min="5382" max="5382" width="20.5703125" style="226" bestFit="1" customWidth="1"/>
    <col min="5383" max="5383" width="17.140625" style="226" customWidth="1"/>
    <col min="5384" max="5384" width="21.85546875" style="226" bestFit="1" customWidth="1"/>
    <col min="5385" max="5385" width="17.140625" style="226" bestFit="1" customWidth="1"/>
    <col min="5386" max="5386" width="18.140625" style="226" bestFit="1" customWidth="1"/>
    <col min="5387" max="5387" width="26.42578125" style="226" customWidth="1"/>
    <col min="5388" max="5632" width="9.140625" style="226"/>
    <col min="5633" max="5633" width="8.7109375" style="226" bestFit="1" customWidth="1"/>
    <col min="5634" max="5634" width="13.28515625" style="226" customWidth="1"/>
    <col min="5635" max="5635" width="16.140625" style="226" bestFit="1" customWidth="1"/>
    <col min="5636" max="5636" width="23.5703125" style="226" customWidth="1"/>
    <col min="5637" max="5637" width="17.28515625" style="226" customWidth="1"/>
    <col min="5638" max="5638" width="20.5703125" style="226" bestFit="1" customWidth="1"/>
    <col min="5639" max="5639" width="17.140625" style="226" customWidth="1"/>
    <col min="5640" max="5640" width="21.85546875" style="226" bestFit="1" customWidth="1"/>
    <col min="5641" max="5641" width="17.140625" style="226" bestFit="1" customWidth="1"/>
    <col min="5642" max="5642" width="18.140625" style="226" bestFit="1" customWidth="1"/>
    <col min="5643" max="5643" width="26.42578125" style="226" customWidth="1"/>
    <col min="5644" max="5888" width="9.140625" style="226"/>
    <col min="5889" max="5889" width="8.7109375" style="226" bestFit="1" customWidth="1"/>
    <col min="5890" max="5890" width="13.28515625" style="226" customWidth="1"/>
    <col min="5891" max="5891" width="16.140625" style="226" bestFit="1" customWidth="1"/>
    <col min="5892" max="5892" width="23.5703125" style="226" customWidth="1"/>
    <col min="5893" max="5893" width="17.28515625" style="226" customWidth="1"/>
    <col min="5894" max="5894" width="20.5703125" style="226" bestFit="1" customWidth="1"/>
    <col min="5895" max="5895" width="17.140625" style="226" customWidth="1"/>
    <col min="5896" max="5896" width="21.85546875" style="226" bestFit="1" customWidth="1"/>
    <col min="5897" max="5897" width="17.140625" style="226" bestFit="1" customWidth="1"/>
    <col min="5898" max="5898" width="18.140625" style="226" bestFit="1" customWidth="1"/>
    <col min="5899" max="5899" width="26.42578125" style="226" customWidth="1"/>
    <col min="5900" max="6144" width="9.140625" style="226"/>
    <col min="6145" max="6145" width="8.7109375" style="226" bestFit="1" customWidth="1"/>
    <col min="6146" max="6146" width="13.28515625" style="226" customWidth="1"/>
    <col min="6147" max="6147" width="16.140625" style="226" bestFit="1" customWidth="1"/>
    <col min="6148" max="6148" width="23.5703125" style="226" customWidth="1"/>
    <col min="6149" max="6149" width="17.28515625" style="226" customWidth="1"/>
    <col min="6150" max="6150" width="20.5703125" style="226" bestFit="1" customWidth="1"/>
    <col min="6151" max="6151" width="17.140625" style="226" customWidth="1"/>
    <col min="6152" max="6152" width="21.85546875" style="226" bestFit="1" customWidth="1"/>
    <col min="6153" max="6153" width="17.140625" style="226" bestFit="1" customWidth="1"/>
    <col min="6154" max="6154" width="18.140625" style="226" bestFit="1" customWidth="1"/>
    <col min="6155" max="6155" width="26.42578125" style="226" customWidth="1"/>
    <col min="6156" max="6400" width="9.140625" style="226"/>
    <col min="6401" max="6401" width="8.7109375" style="226" bestFit="1" customWidth="1"/>
    <col min="6402" max="6402" width="13.28515625" style="226" customWidth="1"/>
    <col min="6403" max="6403" width="16.140625" style="226" bestFit="1" customWidth="1"/>
    <col min="6404" max="6404" width="23.5703125" style="226" customWidth="1"/>
    <col min="6405" max="6405" width="17.28515625" style="226" customWidth="1"/>
    <col min="6406" max="6406" width="20.5703125" style="226" bestFit="1" customWidth="1"/>
    <col min="6407" max="6407" width="17.140625" style="226" customWidth="1"/>
    <col min="6408" max="6408" width="21.85546875" style="226" bestFit="1" customWidth="1"/>
    <col min="6409" max="6409" width="17.140625" style="226" bestFit="1" customWidth="1"/>
    <col min="6410" max="6410" width="18.140625" style="226" bestFit="1" customWidth="1"/>
    <col min="6411" max="6411" width="26.42578125" style="226" customWidth="1"/>
    <col min="6412" max="6656" width="9.140625" style="226"/>
    <col min="6657" max="6657" width="8.7109375" style="226" bestFit="1" customWidth="1"/>
    <col min="6658" max="6658" width="13.28515625" style="226" customWidth="1"/>
    <col min="6659" max="6659" width="16.140625" style="226" bestFit="1" customWidth="1"/>
    <col min="6660" max="6660" width="23.5703125" style="226" customWidth="1"/>
    <col min="6661" max="6661" width="17.28515625" style="226" customWidth="1"/>
    <col min="6662" max="6662" width="20.5703125" style="226" bestFit="1" customWidth="1"/>
    <col min="6663" max="6663" width="17.140625" style="226" customWidth="1"/>
    <col min="6664" max="6664" width="21.85546875" style="226" bestFit="1" customWidth="1"/>
    <col min="6665" max="6665" width="17.140625" style="226" bestFit="1" customWidth="1"/>
    <col min="6666" max="6666" width="18.140625" style="226" bestFit="1" customWidth="1"/>
    <col min="6667" max="6667" width="26.42578125" style="226" customWidth="1"/>
    <col min="6668" max="6912" width="9.140625" style="226"/>
    <col min="6913" max="6913" width="8.7109375" style="226" bestFit="1" customWidth="1"/>
    <col min="6914" max="6914" width="13.28515625" style="226" customWidth="1"/>
    <col min="6915" max="6915" width="16.140625" style="226" bestFit="1" customWidth="1"/>
    <col min="6916" max="6916" width="23.5703125" style="226" customWidth="1"/>
    <col min="6917" max="6917" width="17.28515625" style="226" customWidth="1"/>
    <col min="6918" max="6918" width="20.5703125" style="226" bestFit="1" customWidth="1"/>
    <col min="6919" max="6919" width="17.140625" style="226" customWidth="1"/>
    <col min="6920" max="6920" width="21.85546875" style="226" bestFit="1" customWidth="1"/>
    <col min="6921" max="6921" width="17.140625" style="226" bestFit="1" customWidth="1"/>
    <col min="6922" max="6922" width="18.140625" style="226" bestFit="1" customWidth="1"/>
    <col min="6923" max="6923" width="26.42578125" style="226" customWidth="1"/>
    <col min="6924" max="7168" width="9.140625" style="226"/>
    <col min="7169" max="7169" width="8.7109375" style="226" bestFit="1" customWidth="1"/>
    <col min="7170" max="7170" width="13.28515625" style="226" customWidth="1"/>
    <col min="7171" max="7171" width="16.140625" style="226" bestFit="1" customWidth="1"/>
    <col min="7172" max="7172" width="23.5703125" style="226" customWidth="1"/>
    <col min="7173" max="7173" width="17.28515625" style="226" customWidth="1"/>
    <col min="7174" max="7174" width="20.5703125" style="226" bestFit="1" customWidth="1"/>
    <col min="7175" max="7175" width="17.140625" style="226" customWidth="1"/>
    <col min="7176" max="7176" width="21.85546875" style="226" bestFit="1" customWidth="1"/>
    <col min="7177" max="7177" width="17.140625" style="226" bestFit="1" customWidth="1"/>
    <col min="7178" max="7178" width="18.140625" style="226" bestFit="1" customWidth="1"/>
    <col min="7179" max="7179" width="26.42578125" style="226" customWidth="1"/>
    <col min="7180" max="7424" width="9.140625" style="226"/>
    <col min="7425" max="7425" width="8.7109375" style="226" bestFit="1" customWidth="1"/>
    <col min="7426" max="7426" width="13.28515625" style="226" customWidth="1"/>
    <col min="7427" max="7427" width="16.140625" style="226" bestFit="1" customWidth="1"/>
    <col min="7428" max="7428" width="23.5703125" style="226" customWidth="1"/>
    <col min="7429" max="7429" width="17.28515625" style="226" customWidth="1"/>
    <col min="7430" max="7430" width="20.5703125" style="226" bestFit="1" customWidth="1"/>
    <col min="7431" max="7431" width="17.140625" style="226" customWidth="1"/>
    <col min="7432" max="7432" width="21.85546875" style="226" bestFit="1" customWidth="1"/>
    <col min="7433" max="7433" width="17.140625" style="226" bestFit="1" customWidth="1"/>
    <col min="7434" max="7434" width="18.140625" style="226" bestFit="1" customWidth="1"/>
    <col min="7435" max="7435" width="26.42578125" style="226" customWidth="1"/>
    <col min="7436" max="7680" width="9.140625" style="226"/>
    <col min="7681" max="7681" width="8.7109375" style="226" bestFit="1" customWidth="1"/>
    <col min="7682" max="7682" width="13.28515625" style="226" customWidth="1"/>
    <col min="7683" max="7683" width="16.140625" style="226" bestFit="1" customWidth="1"/>
    <col min="7684" max="7684" width="23.5703125" style="226" customWidth="1"/>
    <col min="7685" max="7685" width="17.28515625" style="226" customWidth="1"/>
    <col min="7686" max="7686" width="20.5703125" style="226" bestFit="1" customWidth="1"/>
    <col min="7687" max="7687" width="17.140625" style="226" customWidth="1"/>
    <col min="7688" max="7688" width="21.85546875" style="226" bestFit="1" customWidth="1"/>
    <col min="7689" max="7689" width="17.140625" style="226" bestFit="1" customWidth="1"/>
    <col min="7690" max="7690" width="18.140625" style="226" bestFit="1" customWidth="1"/>
    <col min="7691" max="7691" width="26.42578125" style="226" customWidth="1"/>
    <col min="7692" max="7936" width="9.140625" style="226"/>
    <col min="7937" max="7937" width="8.7109375" style="226" bestFit="1" customWidth="1"/>
    <col min="7938" max="7938" width="13.28515625" style="226" customWidth="1"/>
    <col min="7939" max="7939" width="16.140625" style="226" bestFit="1" customWidth="1"/>
    <col min="7940" max="7940" width="23.5703125" style="226" customWidth="1"/>
    <col min="7941" max="7941" width="17.28515625" style="226" customWidth="1"/>
    <col min="7942" max="7942" width="20.5703125" style="226" bestFit="1" customWidth="1"/>
    <col min="7943" max="7943" width="17.140625" style="226" customWidth="1"/>
    <col min="7944" max="7944" width="21.85546875" style="226" bestFit="1" customWidth="1"/>
    <col min="7945" max="7945" width="17.140625" style="226" bestFit="1" customWidth="1"/>
    <col min="7946" max="7946" width="18.140625" style="226" bestFit="1" customWidth="1"/>
    <col min="7947" max="7947" width="26.42578125" style="226" customWidth="1"/>
    <col min="7948" max="8192" width="9.140625" style="226"/>
    <col min="8193" max="8193" width="8.7109375" style="226" bestFit="1" customWidth="1"/>
    <col min="8194" max="8194" width="13.28515625" style="226" customWidth="1"/>
    <col min="8195" max="8195" width="16.140625" style="226" bestFit="1" customWidth="1"/>
    <col min="8196" max="8196" width="23.5703125" style="226" customWidth="1"/>
    <col min="8197" max="8197" width="17.28515625" style="226" customWidth="1"/>
    <col min="8198" max="8198" width="20.5703125" style="226" bestFit="1" customWidth="1"/>
    <col min="8199" max="8199" width="17.140625" style="226" customWidth="1"/>
    <col min="8200" max="8200" width="21.85546875" style="226" bestFit="1" customWidth="1"/>
    <col min="8201" max="8201" width="17.140625" style="226" bestFit="1" customWidth="1"/>
    <col min="8202" max="8202" width="18.140625" style="226" bestFit="1" customWidth="1"/>
    <col min="8203" max="8203" width="26.42578125" style="226" customWidth="1"/>
    <col min="8204" max="8448" width="9.140625" style="226"/>
    <col min="8449" max="8449" width="8.7109375" style="226" bestFit="1" customWidth="1"/>
    <col min="8450" max="8450" width="13.28515625" style="226" customWidth="1"/>
    <col min="8451" max="8451" width="16.140625" style="226" bestFit="1" customWidth="1"/>
    <col min="8452" max="8452" width="23.5703125" style="226" customWidth="1"/>
    <col min="8453" max="8453" width="17.28515625" style="226" customWidth="1"/>
    <col min="8454" max="8454" width="20.5703125" style="226" bestFit="1" customWidth="1"/>
    <col min="8455" max="8455" width="17.140625" style="226" customWidth="1"/>
    <col min="8456" max="8456" width="21.85546875" style="226" bestFit="1" customWidth="1"/>
    <col min="8457" max="8457" width="17.140625" style="226" bestFit="1" customWidth="1"/>
    <col min="8458" max="8458" width="18.140625" style="226" bestFit="1" customWidth="1"/>
    <col min="8459" max="8459" width="26.42578125" style="226" customWidth="1"/>
    <col min="8460" max="8704" width="9.140625" style="226"/>
    <col min="8705" max="8705" width="8.7109375" style="226" bestFit="1" customWidth="1"/>
    <col min="8706" max="8706" width="13.28515625" style="226" customWidth="1"/>
    <col min="8707" max="8707" width="16.140625" style="226" bestFit="1" customWidth="1"/>
    <col min="8708" max="8708" width="23.5703125" style="226" customWidth="1"/>
    <col min="8709" max="8709" width="17.28515625" style="226" customWidth="1"/>
    <col min="8710" max="8710" width="20.5703125" style="226" bestFit="1" customWidth="1"/>
    <col min="8711" max="8711" width="17.140625" style="226" customWidth="1"/>
    <col min="8712" max="8712" width="21.85546875" style="226" bestFit="1" customWidth="1"/>
    <col min="8713" max="8713" width="17.140625" style="226" bestFit="1" customWidth="1"/>
    <col min="8714" max="8714" width="18.140625" style="226" bestFit="1" customWidth="1"/>
    <col min="8715" max="8715" width="26.42578125" style="226" customWidth="1"/>
    <col min="8716" max="8960" width="9.140625" style="226"/>
    <col min="8961" max="8961" width="8.7109375" style="226" bestFit="1" customWidth="1"/>
    <col min="8962" max="8962" width="13.28515625" style="226" customWidth="1"/>
    <col min="8963" max="8963" width="16.140625" style="226" bestFit="1" customWidth="1"/>
    <col min="8964" max="8964" width="23.5703125" style="226" customWidth="1"/>
    <col min="8965" max="8965" width="17.28515625" style="226" customWidth="1"/>
    <col min="8966" max="8966" width="20.5703125" style="226" bestFit="1" customWidth="1"/>
    <col min="8967" max="8967" width="17.140625" style="226" customWidth="1"/>
    <col min="8968" max="8968" width="21.85546875" style="226" bestFit="1" customWidth="1"/>
    <col min="8969" max="8969" width="17.140625" style="226" bestFit="1" customWidth="1"/>
    <col min="8970" max="8970" width="18.140625" style="226" bestFit="1" customWidth="1"/>
    <col min="8971" max="8971" width="26.42578125" style="226" customWidth="1"/>
    <col min="8972" max="9216" width="9.140625" style="226"/>
    <col min="9217" max="9217" width="8.7109375" style="226" bestFit="1" customWidth="1"/>
    <col min="9218" max="9218" width="13.28515625" style="226" customWidth="1"/>
    <col min="9219" max="9219" width="16.140625" style="226" bestFit="1" customWidth="1"/>
    <col min="9220" max="9220" width="23.5703125" style="226" customWidth="1"/>
    <col min="9221" max="9221" width="17.28515625" style="226" customWidth="1"/>
    <col min="9222" max="9222" width="20.5703125" style="226" bestFit="1" customWidth="1"/>
    <col min="9223" max="9223" width="17.140625" style="226" customWidth="1"/>
    <col min="9224" max="9224" width="21.85546875" style="226" bestFit="1" customWidth="1"/>
    <col min="9225" max="9225" width="17.140625" style="226" bestFit="1" customWidth="1"/>
    <col min="9226" max="9226" width="18.140625" style="226" bestFit="1" customWidth="1"/>
    <col min="9227" max="9227" width="26.42578125" style="226" customWidth="1"/>
    <col min="9228" max="9472" width="9.140625" style="226"/>
    <col min="9473" max="9473" width="8.7109375" style="226" bestFit="1" customWidth="1"/>
    <col min="9474" max="9474" width="13.28515625" style="226" customWidth="1"/>
    <col min="9475" max="9475" width="16.140625" style="226" bestFit="1" customWidth="1"/>
    <col min="9476" max="9476" width="23.5703125" style="226" customWidth="1"/>
    <col min="9477" max="9477" width="17.28515625" style="226" customWidth="1"/>
    <col min="9478" max="9478" width="20.5703125" style="226" bestFit="1" customWidth="1"/>
    <col min="9479" max="9479" width="17.140625" style="226" customWidth="1"/>
    <col min="9480" max="9480" width="21.85546875" style="226" bestFit="1" customWidth="1"/>
    <col min="9481" max="9481" width="17.140625" style="226" bestFit="1" customWidth="1"/>
    <col min="9482" max="9482" width="18.140625" style="226" bestFit="1" customWidth="1"/>
    <col min="9483" max="9483" width="26.42578125" style="226" customWidth="1"/>
    <col min="9484" max="9728" width="9.140625" style="226"/>
    <col min="9729" max="9729" width="8.7109375" style="226" bestFit="1" customWidth="1"/>
    <col min="9730" max="9730" width="13.28515625" style="226" customWidth="1"/>
    <col min="9731" max="9731" width="16.140625" style="226" bestFit="1" customWidth="1"/>
    <col min="9732" max="9732" width="23.5703125" style="226" customWidth="1"/>
    <col min="9733" max="9733" width="17.28515625" style="226" customWidth="1"/>
    <col min="9734" max="9734" width="20.5703125" style="226" bestFit="1" customWidth="1"/>
    <col min="9735" max="9735" width="17.140625" style="226" customWidth="1"/>
    <col min="9736" max="9736" width="21.85546875" style="226" bestFit="1" customWidth="1"/>
    <col min="9737" max="9737" width="17.140625" style="226" bestFit="1" customWidth="1"/>
    <col min="9738" max="9738" width="18.140625" style="226" bestFit="1" customWidth="1"/>
    <col min="9739" max="9739" width="26.42578125" style="226" customWidth="1"/>
    <col min="9740" max="9984" width="9.140625" style="226"/>
    <col min="9985" max="9985" width="8.7109375" style="226" bestFit="1" customWidth="1"/>
    <col min="9986" max="9986" width="13.28515625" style="226" customWidth="1"/>
    <col min="9987" max="9987" width="16.140625" style="226" bestFit="1" customWidth="1"/>
    <col min="9988" max="9988" width="23.5703125" style="226" customWidth="1"/>
    <col min="9989" max="9989" width="17.28515625" style="226" customWidth="1"/>
    <col min="9990" max="9990" width="20.5703125" style="226" bestFit="1" customWidth="1"/>
    <col min="9991" max="9991" width="17.140625" style="226" customWidth="1"/>
    <col min="9992" max="9992" width="21.85546875" style="226" bestFit="1" customWidth="1"/>
    <col min="9993" max="9993" width="17.140625" style="226" bestFit="1" customWidth="1"/>
    <col min="9994" max="9994" width="18.140625" style="226" bestFit="1" customWidth="1"/>
    <col min="9995" max="9995" width="26.42578125" style="226" customWidth="1"/>
    <col min="9996" max="10240" width="9.140625" style="226"/>
    <col min="10241" max="10241" width="8.7109375" style="226" bestFit="1" customWidth="1"/>
    <col min="10242" max="10242" width="13.28515625" style="226" customWidth="1"/>
    <col min="10243" max="10243" width="16.140625" style="226" bestFit="1" customWidth="1"/>
    <col min="10244" max="10244" width="23.5703125" style="226" customWidth="1"/>
    <col min="10245" max="10245" width="17.28515625" style="226" customWidth="1"/>
    <col min="10246" max="10246" width="20.5703125" style="226" bestFit="1" customWidth="1"/>
    <col min="10247" max="10247" width="17.140625" style="226" customWidth="1"/>
    <col min="10248" max="10248" width="21.85546875" style="226" bestFit="1" customWidth="1"/>
    <col min="10249" max="10249" width="17.140625" style="226" bestFit="1" customWidth="1"/>
    <col min="10250" max="10250" width="18.140625" style="226" bestFit="1" customWidth="1"/>
    <col min="10251" max="10251" width="26.42578125" style="226" customWidth="1"/>
    <col min="10252" max="10496" width="9.140625" style="226"/>
    <col min="10497" max="10497" width="8.7109375" style="226" bestFit="1" customWidth="1"/>
    <col min="10498" max="10498" width="13.28515625" style="226" customWidth="1"/>
    <col min="10499" max="10499" width="16.140625" style="226" bestFit="1" customWidth="1"/>
    <col min="10500" max="10500" width="23.5703125" style="226" customWidth="1"/>
    <col min="10501" max="10501" width="17.28515625" style="226" customWidth="1"/>
    <col min="10502" max="10502" width="20.5703125" style="226" bestFit="1" customWidth="1"/>
    <col min="10503" max="10503" width="17.140625" style="226" customWidth="1"/>
    <col min="10504" max="10504" width="21.85546875" style="226" bestFit="1" customWidth="1"/>
    <col min="10505" max="10505" width="17.140625" style="226" bestFit="1" customWidth="1"/>
    <col min="10506" max="10506" width="18.140625" style="226" bestFit="1" customWidth="1"/>
    <col min="10507" max="10507" width="26.42578125" style="226" customWidth="1"/>
    <col min="10508" max="10752" width="9.140625" style="226"/>
    <col min="10753" max="10753" width="8.7109375" style="226" bestFit="1" customWidth="1"/>
    <col min="10754" max="10754" width="13.28515625" style="226" customWidth="1"/>
    <col min="10755" max="10755" width="16.140625" style="226" bestFit="1" customWidth="1"/>
    <col min="10756" max="10756" width="23.5703125" style="226" customWidth="1"/>
    <col min="10757" max="10757" width="17.28515625" style="226" customWidth="1"/>
    <col min="10758" max="10758" width="20.5703125" style="226" bestFit="1" customWidth="1"/>
    <col min="10759" max="10759" width="17.140625" style="226" customWidth="1"/>
    <col min="10760" max="10760" width="21.85546875" style="226" bestFit="1" customWidth="1"/>
    <col min="10761" max="10761" width="17.140625" style="226" bestFit="1" customWidth="1"/>
    <col min="10762" max="10762" width="18.140625" style="226" bestFit="1" customWidth="1"/>
    <col min="10763" max="10763" width="26.42578125" style="226" customWidth="1"/>
    <col min="10764" max="11008" width="9.140625" style="226"/>
    <col min="11009" max="11009" width="8.7109375" style="226" bestFit="1" customWidth="1"/>
    <col min="11010" max="11010" width="13.28515625" style="226" customWidth="1"/>
    <col min="11011" max="11011" width="16.140625" style="226" bestFit="1" customWidth="1"/>
    <col min="11012" max="11012" width="23.5703125" style="226" customWidth="1"/>
    <col min="11013" max="11013" width="17.28515625" style="226" customWidth="1"/>
    <col min="11014" max="11014" width="20.5703125" style="226" bestFit="1" customWidth="1"/>
    <col min="11015" max="11015" width="17.140625" style="226" customWidth="1"/>
    <col min="11016" max="11016" width="21.85546875" style="226" bestFit="1" customWidth="1"/>
    <col min="11017" max="11017" width="17.140625" style="226" bestFit="1" customWidth="1"/>
    <col min="11018" max="11018" width="18.140625" style="226" bestFit="1" customWidth="1"/>
    <col min="11019" max="11019" width="26.42578125" style="226" customWidth="1"/>
    <col min="11020" max="11264" width="9.140625" style="226"/>
    <col min="11265" max="11265" width="8.7109375" style="226" bestFit="1" customWidth="1"/>
    <col min="11266" max="11266" width="13.28515625" style="226" customWidth="1"/>
    <col min="11267" max="11267" width="16.140625" style="226" bestFit="1" customWidth="1"/>
    <col min="11268" max="11268" width="23.5703125" style="226" customWidth="1"/>
    <col min="11269" max="11269" width="17.28515625" style="226" customWidth="1"/>
    <col min="11270" max="11270" width="20.5703125" style="226" bestFit="1" customWidth="1"/>
    <col min="11271" max="11271" width="17.140625" style="226" customWidth="1"/>
    <col min="11272" max="11272" width="21.85546875" style="226" bestFit="1" customWidth="1"/>
    <col min="11273" max="11273" width="17.140625" style="226" bestFit="1" customWidth="1"/>
    <col min="11274" max="11274" width="18.140625" style="226" bestFit="1" customWidth="1"/>
    <col min="11275" max="11275" width="26.42578125" style="226" customWidth="1"/>
    <col min="11276" max="11520" width="9.140625" style="226"/>
    <col min="11521" max="11521" width="8.7109375" style="226" bestFit="1" customWidth="1"/>
    <col min="11522" max="11522" width="13.28515625" style="226" customWidth="1"/>
    <col min="11523" max="11523" width="16.140625" style="226" bestFit="1" customWidth="1"/>
    <col min="11524" max="11524" width="23.5703125" style="226" customWidth="1"/>
    <col min="11525" max="11525" width="17.28515625" style="226" customWidth="1"/>
    <col min="11526" max="11526" width="20.5703125" style="226" bestFit="1" customWidth="1"/>
    <col min="11527" max="11527" width="17.140625" style="226" customWidth="1"/>
    <col min="11528" max="11528" width="21.85546875" style="226" bestFit="1" customWidth="1"/>
    <col min="11529" max="11529" width="17.140625" style="226" bestFit="1" customWidth="1"/>
    <col min="11530" max="11530" width="18.140625" style="226" bestFit="1" customWidth="1"/>
    <col min="11531" max="11531" width="26.42578125" style="226" customWidth="1"/>
    <col min="11532" max="11776" width="9.140625" style="226"/>
    <col min="11777" max="11777" width="8.7109375" style="226" bestFit="1" customWidth="1"/>
    <col min="11778" max="11778" width="13.28515625" style="226" customWidth="1"/>
    <col min="11779" max="11779" width="16.140625" style="226" bestFit="1" customWidth="1"/>
    <col min="11780" max="11780" width="23.5703125" style="226" customWidth="1"/>
    <col min="11781" max="11781" width="17.28515625" style="226" customWidth="1"/>
    <col min="11782" max="11782" width="20.5703125" style="226" bestFit="1" customWidth="1"/>
    <col min="11783" max="11783" width="17.140625" style="226" customWidth="1"/>
    <col min="11784" max="11784" width="21.85546875" style="226" bestFit="1" customWidth="1"/>
    <col min="11785" max="11785" width="17.140625" style="226" bestFit="1" customWidth="1"/>
    <col min="11786" max="11786" width="18.140625" style="226" bestFit="1" customWidth="1"/>
    <col min="11787" max="11787" width="26.42578125" style="226" customWidth="1"/>
    <col min="11788" max="12032" width="9.140625" style="226"/>
    <col min="12033" max="12033" width="8.7109375" style="226" bestFit="1" customWidth="1"/>
    <col min="12034" max="12034" width="13.28515625" style="226" customWidth="1"/>
    <col min="12035" max="12035" width="16.140625" style="226" bestFit="1" customWidth="1"/>
    <col min="12036" max="12036" width="23.5703125" style="226" customWidth="1"/>
    <col min="12037" max="12037" width="17.28515625" style="226" customWidth="1"/>
    <col min="12038" max="12038" width="20.5703125" style="226" bestFit="1" customWidth="1"/>
    <col min="12039" max="12039" width="17.140625" style="226" customWidth="1"/>
    <col min="12040" max="12040" width="21.85546875" style="226" bestFit="1" customWidth="1"/>
    <col min="12041" max="12041" width="17.140625" style="226" bestFit="1" customWidth="1"/>
    <col min="12042" max="12042" width="18.140625" style="226" bestFit="1" customWidth="1"/>
    <col min="12043" max="12043" width="26.42578125" style="226" customWidth="1"/>
    <col min="12044" max="12288" width="9.140625" style="226"/>
    <col min="12289" max="12289" width="8.7109375" style="226" bestFit="1" customWidth="1"/>
    <col min="12290" max="12290" width="13.28515625" style="226" customWidth="1"/>
    <col min="12291" max="12291" width="16.140625" style="226" bestFit="1" customWidth="1"/>
    <col min="12292" max="12292" width="23.5703125" style="226" customWidth="1"/>
    <col min="12293" max="12293" width="17.28515625" style="226" customWidth="1"/>
    <col min="12294" max="12294" width="20.5703125" style="226" bestFit="1" customWidth="1"/>
    <col min="12295" max="12295" width="17.140625" style="226" customWidth="1"/>
    <col min="12296" max="12296" width="21.85546875" style="226" bestFit="1" customWidth="1"/>
    <col min="12297" max="12297" width="17.140625" style="226" bestFit="1" customWidth="1"/>
    <col min="12298" max="12298" width="18.140625" style="226" bestFit="1" customWidth="1"/>
    <col min="12299" max="12299" width="26.42578125" style="226" customWidth="1"/>
    <col min="12300" max="12544" width="9.140625" style="226"/>
    <col min="12545" max="12545" width="8.7109375" style="226" bestFit="1" customWidth="1"/>
    <col min="12546" max="12546" width="13.28515625" style="226" customWidth="1"/>
    <col min="12547" max="12547" width="16.140625" style="226" bestFit="1" customWidth="1"/>
    <col min="12548" max="12548" width="23.5703125" style="226" customWidth="1"/>
    <col min="12549" max="12549" width="17.28515625" style="226" customWidth="1"/>
    <col min="12550" max="12550" width="20.5703125" style="226" bestFit="1" customWidth="1"/>
    <col min="12551" max="12551" width="17.140625" style="226" customWidth="1"/>
    <col min="12552" max="12552" width="21.85546875" style="226" bestFit="1" customWidth="1"/>
    <col min="12553" max="12553" width="17.140625" style="226" bestFit="1" customWidth="1"/>
    <col min="12554" max="12554" width="18.140625" style="226" bestFit="1" customWidth="1"/>
    <col min="12555" max="12555" width="26.42578125" style="226" customWidth="1"/>
    <col min="12556" max="12800" width="9.140625" style="226"/>
    <col min="12801" max="12801" width="8.7109375" style="226" bestFit="1" customWidth="1"/>
    <col min="12802" max="12802" width="13.28515625" style="226" customWidth="1"/>
    <col min="12803" max="12803" width="16.140625" style="226" bestFit="1" customWidth="1"/>
    <col min="12804" max="12804" width="23.5703125" style="226" customWidth="1"/>
    <col min="12805" max="12805" width="17.28515625" style="226" customWidth="1"/>
    <col min="12806" max="12806" width="20.5703125" style="226" bestFit="1" customWidth="1"/>
    <col min="12807" max="12807" width="17.140625" style="226" customWidth="1"/>
    <col min="12808" max="12808" width="21.85546875" style="226" bestFit="1" customWidth="1"/>
    <col min="12809" max="12809" width="17.140625" style="226" bestFit="1" customWidth="1"/>
    <col min="12810" max="12810" width="18.140625" style="226" bestFit="1" customWidth="1"/>
    <col min="12811" max="12811" width="26.42578125" style="226" customWidth="1"/>
    <col min="12812" max="13056" width="9.140625" style="226"/>
    <col min="13057" max="13057" width="8.7109375" style="226" bestFit="1" customWidth="1"/>
    <col min="13058" max="13058" width="13.28515625" style="226" customWidth="1"/>
    <col min="13059" max="13059" width="16.140625" style="226" bestFit="1" customWidth="1"/>
    <col min="13060" max="13060" width="23.5703125" style="226" customWidth="1"/>
    <col min="13061" max="13061" width="17.28515625" style="226" customWidth="1"/>
    <col min="13062" max="13062" width="20.5703125" style="226" bestFit="1" customWidth="1"/>
    <col min="13063" max="13063" width="17.140625" style="226" customWidth="1"/>
    <col min="13064" max="13064" width="21.85546875" style="226" bestFit="1" customWidth="1"/>
    <col min="13065" max="13065" width="17.140625" style="226" bestFit="1" customWidth="1"/>
    <col min="13066" max="13066" width="18.140625" style="226" bestFit="1" customWidth="1"/>
    <col min="13067" max="13067" width="26.42578125" style="226" customWidth="1"/>
    <col min="13068" max="13312" width="9.140625" style="226"/>
    <col min="13313" max="13313" width="8.7109375" style="226" bestFit="1" customWidth="1"/>
    <col min="13314" max="13314" width="13.28515625" style="226" customWidth="1"/>
    <col min="13315" max="13315" width="16.140625" style="226" bestFit="1" customWidth="1"/>
    <col min="13316" max="13316" width="23.5703125" style="226" customWidth="1"/>
    <col min="13317" max="13317" width="17.28515625" style="226" customWidth="1"/>
    <col min="13318" max="13318" width="20.5703125" style="226" bestFit="1" customWidth="1"/>
    <col min="13319" max="13319" width="17.140625" style="226" customWidth="1"/>
    <col min="13320" max="13320" width="21.85546875" style="226" bestFit="1" customWidth="1"/>
    <col min="13321" max="13321" width="17.140625" style="226" bestFit="1" customWidth="1"/>
    <col min="13322" max="13322" width="18.140625" style="226" bestFit="1" customWidth="1"/>
    <col min="13323" max="13323" width="26.42578125" style="226" customWidth="1"/>
    <col min="13324" max="13568" width="9.140625" style="226"/>
    <col min="13569" max="13569" width="8.7109375" style="226" bestFit="1" customWidth="1"/>
    <col min="13570" max="13570" width="13.28515625" style="226" customWidth="1"/>
    <col min="13571" max="13571" width="16.140625" style="226" bestFit="1" customWidth="1"/>
    <col min="13572" max="13572" width="23.5703125" style="226" customWidth="1"/>
    <col min="13573" max="13573" width="17.28515625" style="226" customWidth="1"/>
    <col min="13574" max="13574" width="20.5703125" style="226" bestFit="1" customWidth="1"/>
    <col min="13575" max="13575" width="17.140625" style="226" customWidth="1"/>
    <col min="13576" max="13576" width="21.85546875" style="226" bestFit="1" customWidth="1"/>
    <col min="13577" max="13577" width="17.140625" style="226" bestFit="1" customWidth="1"/>
    <col min="13578" max="13578" width="18.140625" style="226" bestFit="1" customWidth="1"/>
    <col min="13579" max="13579" width="26.42578125" style="226" customWidth="1"/>
    <col min="13580" max="13824" width="9.140625" style="226"/>
    <col min="13825" max="13825" width="8.7109375" style="226" bestFit="1" customWidth="1"/>
    <col min="13826" max="13826" width="13.28515625" style="226" customWidth="1"/>
    <col min="13827" max="13827" width="16.140625" style="226" bestFit="1" customWidth="1"/>
    <col min="13828" max="13828" width="23.5703125" style="226" customWidth="1"/>
    <col min="13829" max="13829" width="17.28515625" style="226" customWidth="1"/>
    <col min="13830" max="13830" width="20.5703125" style="226" bestFit="1" customWidth="1"/>
    <col min="13831" max="13831" width="17.140625" style="226" customWidth="1"/>
    <col min="13832" max="13832" width="21.85546875" style="226" bestFit="1" customWidth="1"/>
    <col min="13833" max="13833" width="17.140625" style="226" bestFit="1" customWidth="1"/>
    <col min="13834" max="13834" width="18.140625" style="226" bestFit="1" customWidth="1"/>
    <col min="13835" max="13835" width="26.42578125" style="226" customWidth="1"/>
    <col min="13836" max="14080" width="9.140625" style="226"/>
    <col min="14081" max="14081" width="8.7109375" style="226" bestFit="1" customWidth="1"/>
    <col min="14082" max="14082" width="13.28515625" style="226" customWidth="1"/>
    <col min="14083" max="14083" width="16.140625" style="226" bestFit="1" customWidth="1"/>
    <col min="14084" max="14084" width="23.5703125" style="226" customWidth="1"/>
    <col min="14085" max="14085" width="17.28515625" style="226" customWidth="1"/>
    <col min="14086" max="14086" width="20.5703125" style="226" bestFit="1" customWidth="1"/>
    <col min="14087" max="14087" width="17.140625" style="226" customWidth="1"/>
    <col min="14088" max="14088" width="21.85546875" style="226" bestFit="1" customWidth="1"/>
    <col min="14089" max="14089" width="17.140625" style="226" bestFit="1" customWidth="1"/>
    <col min="14090" max="14090" width="18.140625" style="226" bestFit="1" customWidth="1"/>
    <col min="14091" max="14091" width="26.42578125" style="226" customWidth="1"/>
    <col min="14092" max="14336" width="9.140625" style="226"/>
    <col min="14337" max="14337" width="8.7109375" style="226" bestFit="1" customWidth="1"/>
    <col min="14338" max="14338" width="13.28515625" style="226" customWidth="1"/>
    <col min="14339" max="14339" width="16.140625" style="226" bestFit="1" customWidth="1"/>
    <col min="14340" max="14340" width="23.5703125" style="226" customWidth="1"/>
    <col min="14341" max="14341" width="17.28515625" style="226" customWidth="1"/>
    <col min="14342" max="14342" width="20.5703125" style="226" bestFit="1" customWidth="1"/>
    <col min="14343" max="14343" width="17.140625" style="226" customWidth="1"/>
    <col min="14344" max="14344" width="21.85546875" style="226" bestFit="1" customWidth="1"/>
    <col min="14345" max="14345" width="17.140625" style="226" bestFit="1" customWidth="1"/>
    <col min="14346" max="14346" width="18.140625" style="226" bestFit="1" customWidth="1"/>
    <col min="14347" max="14347" width="26.42578125" style="226" customWidth="1"/>
    <col min="14348" max="14592" width="9.140625" style="226"/>
    <col min="14593" max="14593" width="8.7109375" style="226" bestFit="1" customWidth="1"/>
    <col min="14594" max="14594" width="13.28515625" style="226" customWidth="1"/>
    <col min="14595" max="14595" width="16.140625" style="226" bestFit="1" customWidth="1"/>
    <col min="14596" max="14596" width="23.5703125" style="226" customWidth="1"/>
    <col min="14597" max="14597" width="17.28515625" style="226" customWidth="1"/>
    <col min="14598" max="14598" width="20.5703125" style="226" bestFit="1" customWidth="1"/>
    <col min="14599" max="14599" width="17.140625" style="226" customWidth="1"/>
    <col min="14600" max="14600" width="21.85546875" style="226" bestFit="1" customWidth="1"/>
    <col min="14601" max="14601" width="17.140625" style="226" bestFit="1" customWidth="1"/>
    <col min="14602" max="14602" width="18.140625" style="226" bestFit="1" customWidth="1"/>
    <col min="14603" max="14603" width="26.42578125" style="226" customWidth="1"/>
    <col min="14604" max="14848" width="9.140625" style="226"/>
    <col min="14849" max="14849" width="8.7109375" style="226" bestFit="1" customWidth="1"/>
    <col min="14850" max="14850" width="13.28515625" style="226" customWidth="1"/>
    <col min="14851" max="14851" width="16.140625" style="226" bestFit="1" customWidth="1"/>
    <col min="14852" max="14852" width="23.5703125" style="226" customWidth="1"/>
    <col min="14853" max="14853" width="17.28515625" style="226" customWidth="1"/>
    <col min="14854" max="14854" width="20.5703125" style="226" bestFit="1" customWidth="1"/>
    <col min="14855" max="14855" width="17.140625" style="226" customWidth="1"/>
    <col min="14856" max="14856" width="21.85546875" style="226" bestFit="1" customWidth="1"/>
    <col min="14857" max="14857" width="17.140625" style="226" bestFit="1" customWidth="1"/>
    <col min="14858" max="14858" width="18.140625" style="226" bestFit="1" customWidth="1"/>
    <col min="14859" max="14859" width="26.42578125" style="226" customWidth="1"/>
    <col min="14860" max="15104" width="9.140625" style="226"/>
    <col min="15105" max="15105" width="8.7109375" style="226" bestFit="1" customWidth="1"/>
    <col min="15106" max="15106" width="13.28515625" style="226" customWidth="1"/>
    <col min="15107" max="15107" width="16.140625" style="226" bestFit="1" customWidth="1"/>
    <col min="15108" max="15108" width="23.5703125" style="226" customWidth="1"/>
    <col min="15109" max="15109" width="17.28515625" style="226" customWidth="1"/>
    <col min="15110" max="15110" width="20.5703125" style="226" bestFit="1" customWidth="1"/>
    <col min="15111" max="15111" width="17.140625" style="226" customWidth="1"/>
    <col min="15112" max="15112" width="21.85546875" style="226" bestFit="1" customWidth="1"/>
    <col min="15113" max="15113" width="17.140625" style="226" bestFit="1" customWidth="1"/>
    <col min="15114" max="15114" width="18.140625" style="226" bestFit="1" customWidth="1"/>
    <col min="15115" max="15115" width="26.42578125" style="226" customWidth="1"/>
    <col min="15116" max="15360" width="9.140625" style="226"/>
    <col min="15361" max="15361" width="8.7109375" style="226" bestFit="1" customWidth="1"/>
    <col min="15362" max="15362" width="13.28515625" style="226" customWidth="1"/>
    <col min="15363" max="15363" width="16.140625" style="226" bestFit="1" customWidth="1"/>
    <col min="15364" max="15364" width="23.5703125" style="226" customWidth="1"/>
    <col min="15365" max="15365" width="17.28515625" style="226" customWidth="1"/>
    <col min="15366" max="15366" width="20.5703125" style="226" bestFit="1" customWidth="1"/>
    <col min="15367" max="15367" width="17.140625" style="226" customWidth="1"/>
    <col min="15368" max="15368" width="21.85546875" style="226" bestFit="1" customWidth="1"/>
    <col min="15369" max="15369" width="17.140625" style="226" bestFit="1" customWidth="1"/>
    <col min="15370" max="15370" width="18.140625" style="226" bestFit="1" customWidth="1"/>
    <col min="15371" max="15371" width="26.42578125" style="226" customWidth="1"/>
    <col min="15372" max="15616" width="9.140625" style="226"/>
    <col min="15617" max="15617" width="8.7109375" style="226" bestFit="1" customWidth="1"/>
    <col min="15618" max="15618" width="13.28515625" style="226" customWidth="1"/>
    <col min="15619" max="15619" width="16.140625" style="226" bestFit="1" customWidth="1"/>
    <col min="15620" max="15620" width="23.5703125" style="226" customWidth="1"/>
    <col min="15621" max="15621" width="17.28515625" style="226" customWidth="1"/>
    <col min="15622" max="15622" width="20.5703125" style="226" bestFit="1" customWidth="1"/>
    <col min="15623" max="15623" width="17.140625" style="226" customWidth="1"/>
    <col min="15624" max="15624" width="21.85546875" style="226" bestFit="1" customWidth="1"/>
    <col min="15625" max="15625" width="17.140625" style="226" bestFit="1" customWidth="1"/>
    <col min="15626" max="15626" width="18.140625" style="226" bestFit="1" customWidth="1"/>
    <col min="15627" max="15627" width="26.42578125" style="226" customWidth="1"/>
    <col min="15628" max="15872" width="9.140625" style="226"/>
    <col min="15873" max="15873" width="8.7109375" style="226" bestFit="1" customWidth="1"/>
    <col min="15874" max="15874" width="13.28515625" style="226" customWidth="1"/>
    <col min="15875" max="15875" width="16.140625" style="226" bestFit="1" customWidth="1"/>
    <col min="15876" max="15876" width="23.5703125" style="226" customWidth="1"/>
    <col min="15877" max="15877" width="17.28515625" style="226" customWidth="1"/>
    <col min="15878" max="15878" width="20.5703125" style="226" bestFit="1" customWidth="1"/>
    <col min="15879" max="15879" width="17.140625" style="226" customWidth="1"/>
    <col min="15880" max="15880" width="21.85546875" style="226" bestFit="1" customWidth="1"/>
    <col min="15881" max="15881" width="17.140625" style="226" bestFit="1" customWidth="1"/>
    <col min="15882" max="15882" width="18.140625" style="226" bestFit="1" customWidth="1"/>
    <col min="15883" max="15883" width="26.42578125" style="226" customWidth="1"/>
    <col min="15884" max="16128" width="9.140625" style="226"/>
    <col min="16129" max="16129" width="8.7109375" style="226" bestFit="1" customWidth="1"/>
    <col min="16130" max="16130" width="13.28515625" style="226" customWidth="1"/>
    <col min="16131" max="16131" width="16.140625" style="226" bestFit="1" customWidth="1"/>
    <col min="16132" max="16132" width="23.5703125" style="226" customWidth="1"/>
    <col min="16133" max="16133" width="17.28515625" style="226" customWidth="1"/>
    <col min="16134" max="16134" width="20.5703125" style="226" bestFit="1" customWidth="1"/>
    <col min="16135" max="16135" width="17.140625" style="226" customWidth="1"/>
    <col min="16136" max="16136" width="21.85546875" style="226" bestFit="1" customWidth="1"/>
    <col min="16137" max="16137" width="17.140625" style="226" bestFit="1" customWidth="1"/>
    <col min="16138" max="16138" width="18.140625" style="226" bestFit="1" customWidth="1"/>
    <col min="16139" max="16139" width="26.42578125" style="226" customWidth="1"/>
    <col min="16140" max="16384" width="9.140625" style="226"/>
  </cols>
  <sheetData>
    <row r="1" spans="13:13" s="261" customFormat="1" x14ac:dyDescent="0.2">
      <c r="M1" s="262"/>
    </row>
    <row r="2" spans="13:13" s="261" customFormat="1" x14ac:dyDescent="0.2">
      <c r="M2" s="262"/>
    </row>
    <row r="3" spans="13:13" s="261" customFormat="1" x14ac:dyDescent="0.2">
      <c r="M3" s="262"/>
    </row>
    <row r="4" spans="13:13" s="261" customFormat="1" x14ac:dyDescent="0.2">
      <c r="M4" s="262"/>
    </row>
    <row r="5" spans="13:13" s="261" customFormat="1" x14ac:dyDescent="0.2">
      <c r="M5" s="262"/>
    </row>
    <row r="6" spans="13:13" s="261" customFormat="1" x14ac:dyDescent="0.2">
      <c r="M6" s="262"/>
    </row>
    <row r="7" spans="13:13" s="261" customFormat="1" x14ac:dyDescent="0.2">
      <c r="M7" s="262"/>
    </row>
    <row r="8" spans="13:13" s="261" customFormat="1" x14ac:dyDescent="0.2">
      <c r="M8" s="262"/>
    </row>
    <row r="9" spans="13:13" s="261" customFormat="1" x14ac:dyDescent="0.2">
      <c r="M9" s="262"/>
    </row>
    <row r="10" spans="13:13" s="261" customFormat="1" x14ac:dyDescent="0.2">
      <c r="M10" s="262"/>
    </row>
    <row r="11" spans="13:13" s="261" customFormat="1" x14ac:dyDescent="0.2">
      <c r="M11" s="262"/>
    </row>
    <row r="12" spans="13:13" s="261" customFormat="1" x14ac:dyDescent="0.2">
      <c r="M12" s="262"/>
    </row>
    <row r="13" spans="13:13" s="261" customFormat="1" x14ac:dyDescent="0.2">
      <c r="M13" s="262"/>
    </row>
    <row r="14" spans="13:13" s="261" customFormat="1" x14ac:dyDescent="0.2">
      <c r="M14" s="262"/>
    </row>
    <row r="15" spans="13:13" s="261" customFormat="1" x14ac:dyDescent="0.2">
      <c r="M15" s="262"/>
    </row>
    <row r="16" spans="13:13" s="261" customFormat="1" x14ac:dyDescent="0.2">
      <c r="M16" s="262"/>
    </row>
    <row r="17" spans="13:13" s="261" customFormat="1" x14ac:dyDescent="0.2">
      <c r="M17" s="262"/>
    </row>
    <row r="18" spans="13:13" s="261" customFormat="1" x14ac:dyDescent="0.2">
      <c r="M18" s="262"/>
    </row>
    <row r="19" spans="13:13" s="261" customFormat="1" x14ac:dyDescent="0.2">
      <c r="M19" s="262"/>
    </row>
    <row r="20" spans="13:13" s="261" customFormat="1" x14ac:dyDescent="0.2">
      <c r="M20" s="262"/>
    </row>
    <row r="21" spans="13:13" s="261" customFormat="1" x14ac:dyDescent="0.2">
      <c r="M21" s="262"/>
    </row>
    <row r="22" spans="13:13" s="261" customFormat="1" x14ac:dyDescent="0.2">
      <c r="M22" s="262"/>
    </row>
    <row r="23" spans="13:13" s="261" customFormat="1" x14ac:dyDescent="0.2">
      <c r="M23" s="262"/>
    </row>
    <row r="24" spans="13:13" s="261" customFormat="1" x14ac:dyDescent="0.2">
      <c r="M24" s="262"/>
    </row>
    <row r="25" spans="13:13" s="261" customFormat="1" x14ac:dyDescent="0.2">
      <c r="M25" s="262"/>
    </row>
    <row r="26" spans="13:13" s="261" customFormat="1" x14ac:dyDescent="0.2">
      <c r="M26" s="262"/>
    </row>
    <row r="27" spans="13:13" s="261" customFormat="1" x14ac:dyDescent="0.2">
      <c r="M27" s="262"/>
    </row>
    <row r="28" spans="13:13" s="261" customFormat="1" x14ac:dyDescent="0.2">
      <c r="M28" s="262"/>
    </row>
    <row r="29" spans="13:13" s="261" customFormat="1" x14ac:dyDescent="0.2">
      <c r="M29" s="262"/>
    </row>
    <row r="30" spans="13:13" s="261" customFormat="1" x14ac:dyDescent="0.2">
      <c r="M30" s="262"/>
    </row>
    <row r="31" spans="13:13" s="261" customFormat="1" x14ac:dyDescent="0.2">
      <c r="M31" s="262"/>
    </row>
    <row r="32" spans="13:13" s="261" customFormat="1" x14ac:dyDescent="0.2">
      <c r="M32" s="262"/>
    </row>
    <row r="33" spans="1:13" s="261" customFormat="1" x14ac:dyDescent="0.2">
      <c r="M33" s="262"/>
    </row>
    <row r="34" spans="1:13" s="261" customFormat="1" x14ac:dyDescent="0.2">
      <c r="M34" s="262"/>
    </row>
    <row r="35" spans="1:13" s="261" customFormat="1" x14ac:dyDescent="0.2">
      <c r="M35" s="262"/>
    </row>
    <row r="36" spans="1:13" s="261" customFormat="1" x14ac:dyDescent="0.2">
      <c r="M36" s="262"/>
    </row>
    <row r="37" spans="1:13" s="261" customFormat="1" x14ac:dyDescent="0.2">
      <c r="M37" s="262"/>
    </row>
    <row r="38" spans="1:13" s="261" customFormat="1" x14ac:dyDescent="0.2">
      <c r="M38" s="262"/>
    </row>
    <row r="39" spans="1:13" s="261" customFormat="1" x14ac:dyDescent="0.2">
      <c r="M39" s="262"/>
    </row>
    <row r="40" spans="1:13" s="261" customFormat="1" x14ac:dyDescent="0.2">
      <c r="M40" s="262"/>
    </row>
    <row r="41" spans="1:13" s="261" customFormat="1" x14ac:dyDescent="0.2">
      <c r="M41" s="262"/>
    </row>
    <row r="42" spans="1:13" s="261" customFormat="1" x14ac:dyDescent="0.2">
      <c r="M42" s="262"/>
    </row>
    <row r="43" spans="1:13" s="261" customFormat="1" x14ac:dyDescent="0.2">
      <c r="M43" s="262"/>
    </row>
    <row r="44" spans="1:13" s="261" customFormat="1" ht="15.75" customHeight="1" x14ac:dyDescent="0.2"/>
    <row r="45" spans="1:13" s="261" customFormat="1" ht="23.25" customHeight="1" x14ac:dyDescent="0.2">
      <c r="B45" s="261" t="s">
        <v>958</v>
      </c>
    </row>
    <row r="46" spans="1:13" s="261" customFormat="1" ht="24.75" customHeight="1" x14ac:dyDescent="0.25">
      <c r="A46" s="266" t="str">
        <f>"VIN = "&amp;VIN_min&amp;" V to "&amp;VIN_max&amp;" V, VOUT = "&amp; Vout &amp;" V, IOUT = " &amp;Iout &amp; " A,  Fsw = " &amp; Fsw/1000 &amp;" kHz, Current Limit = "&amp;ROUNDUP(Ilimit_DC,0)&amp;" A"</f>
        <v>VIN = 9 V to 36 V, VOUT = 12 V, IOUT = 4 A,  Fsw = 370 kHz, Current Limit = 15 A</v>
      </c>
    </row>
    <row r="47" spans="1:13" ht="24.75" customHeight="1" thickBot="1" x14ac:dyDescent="0.25">
      <c r="A47" s="228" t="s">
        <v>657</v>
      </c>
    </row>
    <row r="48" spans="1:13" ht="18" customHeight="1" x14ac:dyDescent="0.2">
      <c r="A48" s="532" t="s">
        <v>326</v>
      </c>
      <c r="B48" s="533" t="s">
        <v>325</v>
      </c>
      <c r="C48" s="533" t="s">
        <v>8</v>
      </c>
      <c r="D48" s="671" t="s">
        <v>111</v>
      </c>
      <c r="E48" s="672"/>
      <c r="F48" s="672"/>
      <c r="G48" s="673"/>
      <c r="H48" s="534" t="s">
        <v>312</v>
      </c>
      <c r="I48" s="534" t="s">
        <v>190</v>
      </c>
      <c r="J48" s="534" t="s">
        <v>313</v>
      </c>
      <c r="L48" s="227"/>
      <c r="M48" s="226"/>
    </row>
    <row r="49" spans="1:12" s="233" customFormat="1" ht="15.75" customHeight="1" x14ac:dyDescent="0.2">
      <c r="A49" s="230">
        <v>2</v>
      </c>
      <c r="B49" s="231" t="s">
        <v>669</v>
      </c>
      <c r="C49" s="245">
        <v>0.1</v>
      </c>
      <c r="D49" s="653">
        <f t="shared" ref="D49:D59" si="0">C49</f>
        <v>0.1</v>
      </c>
      <c r="E49" s="654"/>
      <c r="F49" s="654"/>
      <c r="G49" s="246"/>
      <c r="H49" s="247" t="s">
        <v>317</v>
      </c>
      <c r="I49" s="232" t="s">
        <v>314</v>
      </c>
      <c r="J49" s="232" t="s">
        <v>314</v>
      </c>
      <c r="L49" s="234"/>
    </row>
    <row r="50" spans="1:12" s="233" customFormat="1" ht="15.75" x14ac:dyDescent="0.2">
      <c r="A50" s="229">
        <v>1</v>
      </c>
      <c r="B50" s="248" t="s">
        <v>318</v>
      </c>
      <c r="C50" s="257">
        <f>'Design Converter'!D79</f>
        <v>27</v>
      </c>
      <c r="D50" s="655">
        <f t="shared" si="0"/>
        <v>27</v>
      </c>
      <c r="E50" s="656"/>
      <c r="F50" s="656"/>
      <c r="G50" s="250"/>
      <c r="H50" s="251" t="s">
        <v>317</v>
      </c>
      <c r="I50" s="252" t="s">
        <v>314</v>
      </c>
      <c r="J50" s="252" t="s">
        <v>314</v>
      </c>
      <c r="L50" s="234"/>
    </row>
    <row r="51" spans="1:12" s="233" customFormat="1" ht="15.75" x14ac:dyDescent="0.2">
      <c r="A51" s="229">
        <v>1</v>
      </c>
      <c r="B51" s="248" t="s">
        <v>319</v>
      </c>
      <c r="C51" s="249">
        <f>'Design Converter'!D80</f>
        <v>820</v>
      </c>
      <c r="D51" s="661">
        <f t="shared" si="0"/>
        <v>820</v>
      </c>
      <c r="E51" s="662"/>
      <c r="F51" s="662"/>
      <c r="G51" s="250"/>
      <c r="H51" s="251" t="s">
        <v>317</v>
      </c>
      <c r="I51" s="252" t="s">
        <v>314</v>
      </c>
      <c r="J51" s="252" t="s">
        <v>314</v>
      </c>
      <c r="L51" s="234"/>
    </row>
    <row r="52" spans="1:12" s="233" customFormat="1" ht="15.75" x14ac:dyDescent="0.2">
      <c r="A52" s="229">
        <v>1</v>
      </c>
      <c r="B52" s="248" t="s">
        <v>661</v>
      </c>
      <c r="C52" s="249">
        <f>Cslope</f>
        <v>120</v>
      </c>
      <c r="D52" s="661">
        <f t="shared" si="0"/>
        <v>120</v>
      </c>
      <c r="E52" s="662"/>
      <c r="F52" s="662"/>
      <c r="G52" s="250"/>
      <c r="H52" s="251" t="s">
        <v>317</v>
      </c>
      <c r="I52" s="252" t="s">
        <v>314</v>
      </c>
      <c r="J52" s="252" t="s">
        <v>314</v>
      </c>
      <c r="L52" s="234"/>
    </row>
    <row r="53" spans="1:12" s="233" customFormat="1" ht="15.75" x14ac:dyDescent="0.2">
      <c r="A53" s="240">
        <v>1</v>
      </c>
      <c r="B53" s="241" t="s">
        <v>320</v>
      </c>
      <c r="C53" s="253">
        <v>100</v>
      </c>
      <c r="D53" s="663">
        <f>C53</f>
        <v>100</v>
      </c>
      <c r="E53" s="664"/>
      <c r="F53" s="664"/>
      <c r="G53" s="254"/>
      <c r="H53" s="243" t="s">
        <v>317</v>
      </c>
      <c r="I53" s="244" t="s">
        <v>314</v>
      </c>
      <c r="J53" s="244" t="s">
        <v>314</v>
      </c>
      <c r="L53" s="234"/>
    </row>
    <row r="54" spans="1:12" s="233" customFormat="1" ht="15.75" x14ac:dyDescent="0.2">
      <c r="A54" s="235">
        <v>1</v>
      </c>
      <c r="B54" s="236" t="s">
        <v>668</v>
      </c>
      <c r="C54" s="480">
        <f>Cdither*1000000000</f>
        <v>47</v>
      </c>
      <c r="D54" s="674">
        <f>C54</f>
        <v>47</v>
      </c>
      <c r="E54" s="675"/>
      <c r="F54" s="675"/>
      <c r="G54" s="481"/>
      <c r="H54" s="238" t="s">
        <v>317</v>
      </c>
      <c r="I54" s="239" t="s">
        <v>314</v>
      </c>
      <c r="J54" s="239" t="s">
        <v>314</v>
      </c>
      <c r="L54" s="234"/>
    </row>
    <row r="55" spans="1:12" s="233" customFormat="1" ht="15.75" x14ac:dyDescent="0.2">
      <c r="A55" s="229">
        <f>ROUNDUP('Design Converter'!E51/10,0)</f>
        <v>12</v>
      </c>
      <c r="B55" s="248" t="s">
        <v>321</v>
      </c>
      <c r="C55" s="256">
        <v>10</v>
      </c>
      <c r="D55" s="667">
        <f>C55</f>
        <v>10</v>
      </c>
      <c r="E55" s="668"/>
      <c r="F55" s="668"/>
      <c r="G55" s="250"/>
      <c r="H55" s="251">
        <v>1210</v>
      </c>
      <c r="I55" s="252" t="s">
        <v>314</v>
      </c>
      <c r="J55" s="252" t="s">
        <v>314</v>
      </c>
      <c r="L55" s="234"/>
    </row>
    <row r="56" spans="1:12" s="233" customFormat="1" ht="15.75" x14ac:dyDescent="0.2">
      <c r="A56" s="229">
        <f>ROUNDUP('Design Converter'!E42/22,0)</f>
        <v>10</v>
      </c>
      <c r="B56" s="248" t="s">
        <v>322</v>
      </c>
      <c r="C56" s="256">
        <v>22</v>
      </c>
      <c r="D56" s="657">
        <f>C56</f>
        <v>22</v>
      </c>
      <c r="E56" s="658"/>
      <c r="F56" s="658"/>
      <c r="G56" s="250"/>
      <c r="H56" s="251">
        <v>1210</v>
      </c>
      <c r="I56" s="252" t="s">
        <v>314</v>
      </c>
      <c r="J56" s="252" t="s">
        <v>314</v>
      </c>
      <c r="L56" s="234"/>
    </row>
    <row r="57" spans="1:12" s="233" customFormat="1" ht="15.75" x14ac:dyDescent="0.2">
      <c r="A57" s="229">
        <v>1</v>
      </c>
      <c r="B57" s="248" t="s">
        <v>323</v>
      </c>
      <c r="C57" s="257">
        <f>'Design Converter'!E59</f>
        <v>220</v>
      </c>
      <c r="D57" s="655">
        <f>C57</f>
        <v>220</v>
      </c>
      <c r="E57" s="656"/>
      <c r="F57" s="656"/>
      <c r="G57" s="250"/>
      <c r="H57" s="251" t="s">
        <v>317</v>
      </c>
      <c r="I57" s="252" t="s">
        <v>314</v>
      </c>
      <c r="J57" s="252" t="s">
        <v>314</v>
      </c>
      <c r="L57" s="234"/>
    </row>
    <row r="58" spans="1:12" s="233" customFormat="1" ht="15.75" x14ac:dyDescent="0.2">
      <c r="A58" s="240">
        <v>1</v>
      </c>
      <c r="B58" s="241" t="s">
        <v>670</v>
      </c>
      <c r="C58" s="255">
        <v>1</v>
      </c>
      <c r="D58" s="665">
        <f t="shared" si="0"/>
        <v>1</v>
      </c>
      <c r="E58" s="666"/>
      <c r="F58" s="666"/>
      <c r="G58" s="254"/>
      <c r="H58" s="243" t="s">
        <v>317</v>
      </c>
      <c r="I58" s="244" t="s">
        <v>314</v>
      </c>
      <c r="J58" s="244" t="s">
        <v>314</v>
      </c>
      <c r="L58" s="234"/>
    </row>
    <row r="59" spans="1:12" s="233" customFormat="1" ht="15.75" x14ac:dyDescent="0.2">
      <c r="A59" s="240">
        <v>1</v>
      </c>
      <c r="B59" s="241" t="s">
        <v>324</v>
      </c>
      <c r="C59" s="255">
        <v>0.1</v>
      </c>
      <c r="D59" s="659">
        <f t="shared" si="0"/>
        <v>0.1</v>
      </c>
      <c r="E59" s="660"/>
      <c r="F59" s="660"/>
      <c r="G59" s="254"/>
      <c r="H59" s="243" t="s">
        <v>317</v>
      </c>
      <c r="I59" s="244" t="s">
        <v>314</v>
      </c>
      <c r="J59" s="244" t="s">
        <v>314</v>
      </c>
      <c r="L59" s="234"/>
    </row>
    <row r="60" spans="1:12" s="233" customFormat="1" ht="15.75" customHeight="1" x14ac:dyDescent="0.2">
      <c r="A60" s="240">
        <v>3</v>
      </c>
      <c r="B60" s="241" t="s">
        <v>667</v>
      </c>
      <c r="C60" s="258" t="s">
        <v>315</v>
      </c>
      <c r="D60" s="669" t="s">
        <v>666</v>
      </c>
      <c r="E60" s="670"/>
      <c r="F60" s="670"/>
      <c r="G60" s="254"/>
      <c r="H60" s="259" t="s">
        <v>328</v>
      </c>
      <c r="I60" s="244" t="s">
        <v>328</v>
      </c>
      <c r="J60" s="244" t="s">
        <v>327</v>
      </c>
      <c r="L60" s="234"/>
    </row>
    <row r="61" spans="1:12" s="233" customFormat="1" ht="15.75" x14ac:dyDescent="0.2">
      <c r="A61" s="229">
        <v>1</v>
      </c>
      <c r="B61" s="248" t="s">
        <v>662</v>
      </c>
      <c r="C61" s="260">
        <f>'Design Converter'!E16</f>
        <v>4.7</v>
      </c>
      <c r="D61" s="685" t="str">
        <f>"Inductor, "&amp;Lf*1000000&amp;"µH, "&amp;Rdcr*1000&amp;"mΩ, &gt;"&amp;ROUNDUP(IL_peak_OCP*1.1,0)&amp;"A"</f>
        <v>Inductor, 4.7µH, 13.2mΩ, &gt;11A</v>
      </c>
      <c r="E61" s="686"/>
      <c r="F61" s="686"/>
      <c r="G61" s="687"/>
      <c r="H61" s="252" t="s">
        <v>328</v>
      </c>
      <c r="I61" s="252" t="s">
        <v>328</v>
      </c>
      <c r="J61" s="252" t="s">
        <v>327</v>
      </c>
      <c r="L61" s="234"/>
    </row>
    <row r="62" spans="1:12" s="233" customFormat="1" ht="15.75" x14ac:dyDescent="0.2">
      <c r="A62" s="240">
        <v>2</v>
      </c>
      <c r="B62" s="241" t="s">
        <v>763</v>
      </c>
      <c r="C62" s="258" t="s">
        <v>315</v>
      </c>
      <c r="D62" s="679">
        <f>'Design Converter'!E87</f>
        <v>10</v>
      </c>
      <c r="E62" s="680"/>
      <c r="F62" s="680"/>
      <c r="G62" s="681"/>
      <c r="H62" s="244" t="s">
        <v>314</v>
      </c>
      <c r="I62" s="244" t="str">
        <f>'Design Converter'!E85</f>
        <v>P1006BK</v>
      </c>
      <c r="J62" s="244" t="s">
        <v>328</v>
      </c>
      <c r="L62" s="234"/>
    </row>
    <row r="63" spans="1:12" s="233" customFormat="1" ht="15.75" x14ac:dyDescent="0.2">
      <c r="A63" s="240">
        <v>2</v>
      </c>
      <c r="B63" s="241" t="s">
        <v>764</v>
      </c>
      <c r="C63" s="258" t="s">
        <v>315</v>
      </c>
      <c r="D63" s="679">
        <f>'Design Converter'!E100</f>
        <v>10</v>
      </c>
      <c r="E63" s="680"/>
      <c r="F63" s="680"/>
      <c r="G63" s="681"/>
      <c r="H63" s="244" t="s">
        <v>314</v>
      </c>
      <c r="I63" s="244" t="str">
        <f>'Design Converter'!E98</f>
        <v>P1006BK</v>
      </c>
      <c r="J63" s="244" t="s">
        <v>328</v>
      </c>
      <c r="L63" s="234"/>
    </row>
    <row r="64" spans="1:12" s="233" customFormat="1" ht="15.75" x14ac:dyDescent="0.2">
      <c r="A64" s="235">
        <v>1</v>
      </c>
      <c r="B64" s="236" t="s">
        <v>329</v>
      </c>
      <c r="C64" s="237">
        <f>'Design Converter'!D78</f>
        <v>4.87</v>
      </c>
      <c r="D64" s="647">
        <f t="shared" ref="D64:D74" si="1">C64</f>
        <v>4.87</v>
      </c>
      <c r="E64" s="648"/>
      <c r="F64" s="648"/>
      <c r="G64" s="649"/>
      <c r="H64" s="238" t="s">
        <v>317</v>
      </c>
      <c r="I64" s="239" t="s">
        <v>314</v>
      </c>
      <c r="J64" s="239" t="s">
        <v>314</v>
      </c>
      <c r="L64" s="234"/>
    </row>
    <row r="65" spans="1:12" s="233" customFormat="1" ht="15.75" x14ac:dyDescent="0.2">
      <c r="A65" s="235">
        <v>1</v>
      </c>
      <c r="B65" s="236" t="s">
        <v>333</v>
      </c>
      <c r="C65" s="479">
        <f>Rs*1000</f>
        <v>15</v>
      </c>
      <c r="D65" s="682">
        <f t="shared" si="1"/>
        <v>15</v>
      </c>
      <c r="E65" s="683"/>
      <c r="F65" s="683"/>
      <c r="G65" s="684"/>
      <c r="H65" s="238">
        <v>2512</v>
      </c>
      <c r="I65" s="239" t="s">
        <v>314</v>
      </c>
      <c r="J65" s="239" t="s">
        <v>314</v>
      </c>
      <c r="L65" s="234"/>
    </row>
    <row r="66" spans="1:12" s="233" customFormat="1" ht="15.75" x14ac:dyDescent="0.2">
      <c r="A66" s="235">
        <v>1</v>
      </c>
      <c r="B66" s="236" t="s">
        <v>791</v>
      </c>
      <c r="C66" s="479">
        <f>'Standard Value Calculator'!O21</f>
        <v>4.12</v>
      </c>
      <c r="D66" s="682">
        <f>C66</f>
        <v>4.12</v>
      </c>
      <c r="E66" s="683"/>
      <c r="F66" s="683"/>
      <c r="G66" s="684"/>
      <c r="H66" s="238">
        <v>2512</v>
      </c>
      <c r="I66" s="239" t="s">
        <v>314</v>
      </c>
      <c r="J66" s="239" t="s">
        <v>314</v>
      </c>
      <c r="L66" s="234"/>
    </row>
    <row r="67" spans="1:12" s="233" customFormat="1" ht="15.75" x14ac:dyDescent="0.2">
      <c r="A67" s="235">
        <v>1</v>
      </c>
      <c r="B67" s="236" t="s">
        <v>664</v>
      </c>
      <c r="C67" s="237">
        <f>'Design Converter'!E12</f>
        <v>21.5</v>
      </c>
      <c r="D67" s="647">
        <f t="shared" si="1"/>
        <v>21.5</v>
      </c>
      <c r="E67" s="648"/>
      <c r="F67" s="648"/>
      <c r="G67" s="649"/>
      <c r="H67" s="238" t="s">
        <v>317</v>
      </c>
      <c r="I67" s="239" t="s">
        <v>314</v>
      </c>
      <c r="J67" s="239" t="s">
        <v>314</v>
      </c>
      <c r="L67" s="234"/>
    </row>
    <row r="68" spans="1:12" s="233" customFormat="1" ht="15.75" x14ac:dyDescent="0.2">
      <c r="A68" s="235">
        <v>1</v>
      </c>
      <c r="B68" s="236" t="s">
        <v>335</v>
      </c>
      <c r="C68" s="237">
        <f>'Design Converter'!E73</f>
        <v>280</v>
      </c>
      <c r="D68" s="647">
        <f t="shared" si="1"/>
        <v>280</v>
      </c>
      <c r="E68" s="648"/>
      <c r="F68" s="648"/>
      <c r="G68" s="649"/>
      <c r="H68" s="238" t="s">
        <v>317</v>
      </c>
      <c r="I68" s="239" t="s">
        <v>314</v>
      </c>
      <c r="J68" s="239" t="s">
        <v>314</v>
      </c>
      <c r="L68" s="234"/>
    </row>
    <row r="69" spans="1:12" s="233" customFormat="1" ht="15.75" x14ac:dyDescent="0.2">
      <c r="A69" s="235">
        <v>1</v>
      </c>
      <c r="B69" s="236" t="s">
        <v>336</v>
      </c>
      <c r="C69" s="237">
        <f>'Design Converter'!E74</f>
        <v>20</v>
      </c>
      <c r="D69" s="647">
        <f t="shared" si="1"/>
        <v>20</v>
      </c>
      <c r="E69" s="648"/>
      <c r="F69" s="648"/>
      <c r="G69" s="649"/>
      <c r="H69" s="238" t="s">
        <v>317</v>
      </c>
      <c r="I69" s="239" t="s">
        <v>314</v>
      </c>
      <c r="J69" s="239" t="s">
        <v>314</v>
      </c>
      <c r="L69" s="234"/>
    </row>
    <row r="70" spans="1:12" s="233" customFormat="1" ht="15.75" x14ac:dyDescent="0.2">
      <c r="A70" s="240">
        <v>1</v>
      </c>
      <c r="B70" s="241" t="s">
        <v>334</v>
      </c>
      <c r="C70" s="242">
        <v>20</v>
      </c>
      <c r="D70" s="676">
        <f t="shared" si="1"/>
        <v>20</v>
      </c>
      <c r="E70" s="677"/>
      <c r="F70" s="677"/>
      <c r="G70" s="678"/>
      <c r="H70" s="243" t="s">
        <v>317</v>
      </c>
      <c r="I70" s="244" t="s">
        <v>314</v>
      </c>
      <c r="J70" s="244" t="s">
        <v>314</v>
      </c>
      <c r="L70" s="234"/>
    </row>
    <row r="71" spans="1:12" s="477" customFormat="1" ht="15.75" x14ac:dyDescent="0.2">
      <c r="A71" s="240">
        <v>2</v>
      </c>
      <c r="B71" s="241" t="s">
        <v>663</v>
      </c>
      <c r="C71" s="258">
        <v>100</v>
      </c>
      <c r="D71" s="650">
        <f t="shared" si="1"/>
        <v>100</v>
      </c>
      <c r="E71" s="651"/>
      <c r="F71" s="651"/>
      <c r="G71" s="652"/>
      <c r="H71" s="243" t="s">
        <v>317</v>
      </c>
      <c r="I71" s="244" t="s">
        <v>314</v>
      </c>
      <c r="J71" s="244" t="s">
        <v>314</v>
      </c>
      <c r="L71" s="478"/>
    </row>
    <row r="72" spans="1:12" s="233" customFormat="1" ht="15.75" x14ac:dyDescent="0.2">
      <c r="A72" s="235">
        <v>1</v>
      </c>
      <c r="B72" s="236" t="s">
        <v>330</v>
      </c>
      <c r="C72" s="237">
        <f>'Design Converter'!E64</f>
        <v>249</v>
      </c>
      <c r="D72" s="647">
        <f t="shared" si="1"/>
        <v>249</v>
      </c>
      <c r="E72" s="648"/>
      <c r="F72" s="648"/>
      <c r="G72" s="649"/>
      <c r="H72" s="238" t="s">
        <v>317</v>
      </c>
      <c r="I72" s="239" t="s">
        <v>314</v>
      </c>
      <c r="J72" s="239" t="s">
        <v>314</v>
      </c>
      <c r="L72" s="234"/>
    </row>
    <row r="73" spans="1:12" s="233" customFormat="1" ht="15.75" x14ac:dyDescent="0.2">
      <c r="A73" s="235">
        <v>1</v>
      </c>
      <c r="B73" s="236" t="s">
        <v>331</v>
      </c>
      <c r="C73" s="237">
        <f>'Design Converter'!E65</f>
        <v>36.5</v>
      </c>
      <c r="D73" s="647">
        <f t="shared" si="1"/>
        <v>36.5</v>
      </c>
      <c r="E73" s="648"/>
      <c r="F73" s="648"/>
      <c r="G73" s="649"/>
      <c r="H73" s="238" t="s">
        <v>317</v>
      </c>
      <c r="I73" s="239" t="s">
        <v>314</v>
      </c>
      <c r="J73" s="239" t="s">
        <v>314</v>
      </c>
      <c r="L73" s="234"/>
    </row>
    <row r="74" spans="1:12" s="233" customFormat="1" ht="15.75" x14ac:dyDescent="0.2">
      <c r="A74" s="240">
        <v>1</v>
      </c>
      <c r="B74" s="241" t="s">
        <v>332</v>
      </c>
      <c r="C74" s="258">
        <v>2.2000000000000002</v>
      </c>
      <c r="D74" s="650">
        <f t="shared" si="1"/>
        <v>2.2000000000000002</v>
      </c>
      <c r="E74" s="651"/>
      <c r="F74" s="651"/>
      <c r="G74" s="652"/>
      <c r="H74" s="243" t="s">
        <v>317</v>
      </c>
      <c r="I74" s="244" t="s">
        <v>314</v>
      </c>
      <c r="J74" s="244" t="s">
        <v>314</v>
      </c>
      <c r="L74" s="234"/>
    </row>
    <row r="75" spans="1:12" s="233" customFormat="1" ht="14.25" customHeight="1" x14ac:dyDescent="0.2">
      <c r="A75" s="688">
        <v>1</v>
      </c>
      <c r="B75" s="700" t="s">
        <v>337</v>
      </c>
      <c r="C75" s="698" t="s">
        <v>960</v>
      </c>
      <c r="D75" s="692" t="s">
        <v>961</v>
      </c>
      <c r="E75" s="693"/>
      <c r="F75" s="693"/>
      <c r="G75" s="694"/>
      <c r="H75" s="690" t="s">
        <v>930</v>
      </c>
      <c r="I75" s="690" t="s">
        <v>962</v>
      </c>
      <c r="J75" s="690" t="s">
        <v>316</v>
      </c>
      <c r="L75" s="234"/>
    </row>
    <row r="76" spans="1:12" x14ac:dyDescent="0.2">
      <c r="A76" s="689"/>
      <c r="B76" s="701"/>
      <c r="C76" s="699"/>
      <c r="D76" s="695"/>
      <c r="E76" s="696"/>
      <c r="F76" s="696"/>
      <c r="G76" s="697"/>
      <c r="H76" s="691"/>
      <c r="I76" s="691"/>
      <c r="J76" s="691"/>
    </row>
    <row r="78" spans="1:12" x14ac:dyDescent="0.2">
      <c r="A78" s="268" t="s">
        <v>348</v>
      </c>
    </row>
    <row r="79" spans="1:12" ht="14.25" x14ac:dyDescent="0.2">
      <c r="A79" s="132" t="s">
        <v>931</v>
      </c>
      <c r="D79" s="616" t="s">
        <v>929</v>
      </c>
      <c r="E79" s="226" t="s">
        <v>932</v>
      </c>
    </row>
    <row r="80" spans="1:12" x14ac:dyDescent="0.2">
      <c r="A80" s="226" t="s">
        <v>672</v>
      </c>
    </row>
    <row r="81" spans="1:1" x14ac:dyDescent="0.2">
      <c r="A81" s="226" t="s">
        <v>665</v>
      </c>
    </row>
  </sheetData>
  <sheetProtection algorithmName="SHA-512" hashValue="zj1ZOnG5ZLGSkkI2DY+gLCmMrw8P71rfXz4EjDqFTQDrzLYAT9t914azVd1TpbpUEWgsBhQAsjkRT2W6kuKRPg==" saltValue="T/kYANAVyhg7qATEXom6mA==" spinCount="100000" sheet="1" objects="1" selectLockedCells="1" selectUnlockedCells="1"/>
  <mergeCells count="34">
    <mergeCell ref="A75:A76"/>
    <mergeCell ref="J75:J76"/>
    <mergeCell ref="D75:G76"/>
    <mergeCell ref="C75:C76"/>
    <mergeCell ref="B75:B76"/>
    <mergeCell ref="H75:H76"/>
    <mergeCell ref="I75:I76"/>
    <mergeCell ref="D48:G48"/>
    <mergeCell ref="D54:F54"/>
    <mergeCell ref="D70:G70"/>
    <mergeCell ref="D68:G68"/>
    <mergeCell ref="D69:G69"/>
    <mergeCell ref="D62:G62"/>
    <mergeCell ref="D63:G63"/>
    <mergeCell ref="D67:G67"/>
    <mergeCell ref="D65:G65"/>
    <mergeCell ref="D66:G66"/>
    <mergeCell ref="D61:G61"/>
    <mergeCell ref="D72:G72"/>
    <mergeCell ref="D73:G73"/>
    <mergeCell ref="D74:G74"/>
    <mergeCell ref="D71:G71"/>
    <mergeCell ref="D49:F49"/>
    <mergeCell ref="D50:F50"/>
    <mergeCell ref="D56:F56"/>
    <mergeCell ref="D57:F57"/>
    <mergeCell ref="D59:F59"/>
    <mergeCell ref="D51:F51"/>
    <mergeCell ref="D52:F52"/>
    <mergeCell ref="D53:F53"/>
    <mergeCell ref="D58:F58"/>
    <mergeCell ref="D55:F55"/>
    <mergeCell ref="D60:F60"/>
    <mergeCell ref="D64:G64"/>
  </mergeCells>
  <phoneticPr fontId="98" type="noConversion"/>
  <hyperlinks>
    <hyperlink ref="D79" r:id="rId1" xr:uid="{00000000-0004-0000-0100-000000000000}"/>
  </hyperlinks>
  <printOptions horizontalCentered="1"/>
  <pageMargins left="0.23" right="0.23" top="0.7" bottom="0.61" header="0.3" footer="0.5"/>
  <pageSetup scale="46" fitToHeight="2" orientation="landscape" r:id="rId2"/>
  <headerFooter alignWithMargins="0"/>
  <ignoredErrors>
    <ignoredError sqref="H49:H54 H72:H74 H68:H70 H64 H58:H59 H57 H61 H67 H71" numberStoredAsText="1"/>
  </ignoredError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0894D-E924-457D-9952-A79F2715328C}">
  <sheetPr codeName="Sheet11"/>
  <dimension ref="A1:AM47"/>
  <sheetViews>
    <sheetView showGridLines="0" showRowColHeaders="0" zoomScaleNormal="100" workbookViewId="0">
      <selection activeCell="M27" sqref="M27"/>
    </sheetView>
  </sheetViews>
  <sheetFormatPr defaultColWidth="9.140625" defaultRowHeight="14.25" x14ac:dyDescent="0.2"/>
  <cols>
    <col min="1" max="1" width="25.7109375" style="629" bestFit="1" customWidth="1"/>
    <col min="2" max="2" width="56.5703125" style="630" customWidth="1"/>
    <col min="3" max="11" width="9.140625" style="623"/>
    <col min="12" max="12" width="20.42578125" style="623" customWidth="1"/>
    <col min="13" max="16384" width="9.140625" style="623"/>
  </cols>
  <sheetData>
    <row r="1" spans="1:12" x14ac:dyDescent="0.2">
      <c r="A1" s="703"/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</row>
    <row r="2" spans="1:12" x14ac:dyDescent="0.2">
      <c r="A2" s="703"/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</row>
    <row r="3" spans="1:12" x14ac:dyDescent="0.2">
      <c r="A3" s="703"/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</row>
    <row r="4" spans="1:12" ht="12.75" customHeight="1" x14ac:dyDescent="0.2">
      <c r="A4" s="704"/>
      <c r="B4" s="704"/>
      <c r="C4" s="704"/>
      <c r="D4" s="704"/>
      <c r="E4" s="704"/>
      <c r="F4" s="704"/>
      <c r="G4" s="704"/>
      <c r="H4" s="704"/>
      <c r="I4" s="704"/>
      <c r="J4" s="704"/>
      <c r="K4" s="704"/>
      <c r="L4" s="704"/>
    </row>
    <row r="5" spans="1:12" x14ac:dyDescent="0.2">
      <c r="A5" s="624" t="s">
        <v>968</v>
      </c>
      <c r="B5" s="625" t="s">
        <v>974</v>
      </c>
      <c r="C5" s="626"/>
      <c r="D5" s="626"/>
      <c r="E5" s="626"/>
      <c r="F5" s="626"/>
      <c r="G5" s="626"/>
      <c r="H5" s="626"/>
      <c r="I5" s="626"/>
      <c r="J5" s="626"/>
      <c r="K5" s="627"/>
      <c r="L5" s="628"/>
    </row>
    <row r="6" spans="1:12" x14ac:dyDescent="0.2">
      <c r="A6" s="624"/>
      <c r="B6" s="625"/>
      <c r="C6" s="626"/>
      <c r="D6" s="626"/>
      <c r="E6" s="626"/>
      <c r="F6" s="626"/>
      <c r="G6" s="626"/>
      <c r="H6" s="626"/>
      <c r="I6" s="626"/>
      <c r="J6" s="628"/>
      <c r="K6" s="628"/>
      <c r="L6" s="628"/>
    </row>
    <row r="35" spans="1:39" x14ac:dyDescent="0.2">
      <c r="A35" s="631" t="s">
        <v>970</v>
      </c>
      <c r="B35" s="632"/>
      <c r="C35" s="626"/>
      <c r="D35" s="626"/>
      <c r="E35" s="626"/>
      <c r="F35" s="626"/>
      <c r="G35" s="626"/>
      <c r="H35" s="626"/>
      <c r="I35" s="626"/>
      <c r="J35" s="626"/>
      <c r="K35" s="626"/>
    </row>
    <row r="36" spans="1:39" x14ac:dyDescent="0.2">
      <c r="A36" s="633" t="s">
        <v>971</v>
      </c>
      <c r="B36" s="705" t="s">
        <v>972</v>
      </c>
      <c r="C36" s="705"/>
      <c r="D36" s="705"/>
      <c r="E36" s="705"/>
      <c r="F36" s="705"/>
      <c r="G36" s="705"/>
      <c r="H36" s="705"/>
      <c r="I36" s="705"/>
      <c r="J36" s="705"/>
      <c r="K36" s="705"/>
    </row>
    <row r="37" spans="1:39" x14ac:dyDescent="0.2">
      <c r="A37" s="631" t="s">
        <v>969</v>
      </c>
      <c r="B37" s="706" t="s">
        <v>973</v>
      </c>
      <c r="C37" s="706"/>
      <c r="D37" s="706"/>
      <c r="E37" s="706"/>
      <c r="F37" s="706"/>
      <c r="G37" s="706"/>
      <c r="H37" s="706"/>
      <c r="I37" s="706"/>
      <c r="J37" s="706"/>
      <c r="K37" s="706"/>
    </row>
    <row r="38" spans="1:39" ht="14.25" customHeight="1" x14ac:dyDescent="0.2">
      <c r="A38" s="631" t="s">
        <v>974</v>
      </c>
      <c r="B38" s="702" t="s">
        <v>978</v>
      </c>
      <c r="C38" s="702"/>
      <c r="D38" s="702"/>
      <c r="E38" s="702"/>
      <c r="F38" s="702"/>
      <c r="G38" s="702"/>
      <c r="H38" s="702"/>
      <c r="I38" s="702"/>
      <c r="J38" s="702"/>
      <c r="K38" s="702"/>
    </row>
    <row r="39" spans="1:39" ht="14.25" customHeight="1" x14ac:dyDescent="0.2">
      <c r="A39" s="631"/>
      <c r="B39" s="702"/>
      <c r="C39" s="702"/>
      <c r="D39" s="702"/>
      <c r="E39" s="702"/>
      <c r="F39" s="702"/>
      <c r="G39" s="702"/>
      <c r="H39" s="702"/>
      <c r="I39" s="702"/>
      <c r="J39" s="702"/>
      <c r="K39" s="702"/>
    </row>
    <row r="40" spans="1:39" ht="14.25" customHeight="1" x14ac:dyDescent="0.2">
      <c r="A40" s="631"/>
      <c r="B40" s="702"/>
      <c r="C40" s="702"/>
      <c r="D40" s="702"/>
      <c r="E40" s="702"/>
      <c r="F40" s="702"/>
      <c r="G40" s="702"/>
      <c r="H40" s="702"/>
      <c r="I40" s="702"/>
      <c r="J40" s="702"/>
      <c r="K40" s="702"/>
    </row>
    <row r="41" spans="1:39" ht="14.25" customHeight="1" x14ac:dyDescent="0.2">
      <c r="A41" s="631"/>
      <c r="B41" s="702"/>
      <c r="C41" s="702"/>
      <c r="D41" s="702"/>
      <c r="E41" s="702"/>
      <c r="F41" s="702"/>
      <c r="G41" s="702"/>
      <c r="H41" s="702"/>
      <c r="I41" s="702"/>
      <c r="J41" s="702"/>
      <c r="K41" s="702"/>
    </row>
    <row r="42" spans="1:39" x14ac:dyDescent="0.2">
      <c r="A42" s="631"/>
      <c r="B42" s="702"/>
      <c r="C42" s="702"/>
      <c r="D42" s="702"/>
      <c r="E42" s="702"/>
      <c r="F42" s="702"/>
      <c r="G42" s="702"/>
      <c r="H42" s="702"/>
      <c r="I42" s="702"/>
      <c r="J42" s="702"/>
      <c r="K42" s="702"/>
    </row>
    <row r="43" spans="1:39" x14ac:dyDescent="0.2">
      <c r="A43" s="631"/>
      <c r="B43" s="702"/>
      <c r="C43" s="702"/>
      <c r="D43" s="702"/>
      <c r="E43" s="702"/>
      <c r="F43" s="702"/>
      <c r="G43" s="702"/>
      <c r="H43" s="702"/>
      <c r="I43" s="702"/>
      <c r="J43" s="702"/>
      <c r="K43" s="702"/>
    </row>
    <row r="44" spans="1:39" ht="15" x14ac:dyDescent="0.2">
      <c r="A44" s="631"/>
      <c r="B44" s="702"/>
      <c r="C44" s="702"/>
      <c r="D44" s="702"/>
      <c r="E44" s="702"/>
      <c r="F44" s="702"/>
      <c r="G44" s="702"/>
      <c r="H44" s="702"/>
      <c r="I44" s="702"/>
      <c r="J44" s="702"/>
      <c r="K44" s="702"/>
      <c r="L44" s="634"/>
      <c r="M44" s="634"/>
      <c r="N44" s="634"/>
      <c r="O44" s="634"/>
      <c r="P44" s="634"/>
      <c r="Q44" s="634"/>
      <c r="R44" s="634"/>
      <c r="S44" s="634"/>
      <c r="T44" s="634"/>
      <c r="U44" s="634"/>
      <c r="V44" s="634"/>
      <c r="W44" s="634"/>
      <c r="X44" s="634"/>
      <c r="Y44" s="634"/>
      <c r="Z44" s="634"/>
      <c r="AA44" s="634"/>
      <c r="AB44" s="634"/>
      <c r="AC44" s="634"/>
      <c r="AD44" s="634"/>
      <c r="AE44" s="634"/>
      <c r="AF44" s="634"/>
      <c r="AG44" s="634"/>
      <c r="AH44" s="634"/>
      <c r="AI44" s="634"/>
      <c r="AJ44" s="634"/>
      <c r="AK44" s="634"/>
      <c r="AL44" s="634"/>
      <c r="AM44" s="634"/>
    </row>
    <row r="45" spans="1:39" x14ac:dyDescent="0.2">
      <c r="A45" s="631"/>
      <c r="B45" s="702"/>
      <c r="C45" s="702"/>
      <c r="D45" s="702"/>
      <c r="E45" s="702"/>
      <c r="F45" s="702"/>
      <c r="G45" s="702"/>
      <c r="H45" s="702"/>
      <c r="I45" s="702"/>
      <c r="J45" s="702"/>
      <c r="K45" s="702"/>
    </row>
    <row r="46" spans="1:39" x14ac:dyDescent="0.2">
      <c r="A46" s="631"/>
      <c r="B46" s="702"/>
      <c r="C46" s="702"/>
      <c r="D46" s="702"/>
      <c r="E46" s="702"/>
      <c r="F46" s="702"/>
      <c r="G46" s="702"/>
      <c r="H46" s="702"/>
      <c r="I46" s="702"/>
      <c r="J46" s="702"/>
      <c r="K46" s="702"/>
    </row>
    <row r="47" spans="1:39" x14ac:dyDescent="0.2">
      <c r="A47" s="631"/>
      <c r="B47" s="702"/>
      <c r="C47" s="702"/>
      <c r="D47" s="702"/>
      <c r="E47" s="702"/>
      <c r="F47" s="702"/>
      <c r="G47" s="702"/>
      <c r="H47" s="702"/>
      <c r="I47" s="702"/>
      <c r="J47" s="702"/>
      <c r="K47" s="702"/>
    </row>
  </sheetData>
  <sheetProtection algorithmName="SHA-512" hashValue="cfqtYbv5L/P3/EvlO4ZIWUDPNcy1XoRKIFbmzynkTPAfUklDtPiwHs0U8t4otRD/AXw08QtAHLwGeN91s7MqPg==" saltValue="yZicFNltpoIGlnl26ZwJ1g==" spinCount="100000" sheet="1" objects="1" selectLockedCells="1" selectUnlockedCells="1"/>
  <mergeCells count="14">
    <mergeCell ref="B39:K39"/>
    <mergeCell ref="A1:L3"/>
    <mergeCell ref="A4:L4"/>
    <mergeCell ref="B36:K36"/>
    <mergeCell ref="B37:K37"/>
    <mergeCell ref="B38:K38"/>
    <mergeCell ref="B46:K46"/>
    <mergeCell ref="B47:K47"/>
    <mergeCell ref="B40:K40"/>
    <mergeCell ref="B41:K41"/>
    <mergeCell ref="B42:K42"/>
    <mergeCell ref="B43:K43"/>
    <mergeCell ref="B44:K44"/>
    <mergeCell ref="B45:K45"/>
  </mergeCells>
  <phoneticPr fontId="98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rgb="FF0000FF"/>
    <pageSetUpPr fitToPage="1"/>
  </sheetPr>
  <dimension ref="A1:W6"/>
  <sheetViews>
    <sheetView zoomScale="85" zoomScaleNormal="85" zoomScaleSheetLayoutView="80" workbookViewId="0">
      <selection activeCell="L63" sqref="L63"/>
    </sheetView>
  </sheetViews>
  <sheetFormatPr defaultColWidth="9.140625" defaultRowHeight="12.75" x14ac:dyDescent="0.2"/>
  <cols>
    <col min="1" max="13" width="9.140625" style="125"/>
    <col min="14" max="14" width="11.85546875" style="125" customWidth="1"/>
    <col min="15" max="16" width="9.140625" style="125"/>
    <col min="17" max="17" width="15.7109375" style="125" customWidth="1"/>
    <col min="18" max="16384" width="9.140625" style="125"/>
  </cols>
  <sheetData>
    <row r="1" spans="1:23" s="117" customFormat="1" ht="47.25" customHeight="1" x14ac:dyDescent="0.2">
      <c r="A1" s="707" t="s">
        <v>928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</row>
    <row r="6" spans="1:23" ht="20.25" x14ac:dyDescent="0.3">
      <c r="B6" s="126" t="s">
        <v>812</v>
      </c>
      <c r="M6" s="126" t="s">
        <v>813</v>
      </c>
      <c r="W6" s="126" t="s">
        <v>814</v>
      </c>
    </row>
  </sheetData>
  <mergeCells count="1">
    <mergeCell ref="A1:Q1"/>
  </mergeCells>
  <phoneticPr fontId="98" type="noConversion"/>
  <pageMargins left="0.19" right="0.2" top="0.75" bottom="0.75" header="0.3" footer="0.3"/>
  <pageSetup scale="3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P495"/>
  <sheetViews>
    <sheetView workbookViewId="0">
      <pane ySplit="5" topLeftCell="A33" activePane="bottomLeft" state="frozenSplit"/>
      <selection pane="bottomLeft" activeCell="D65" sqref="D65"/>
    </sheetView>
  </sheetViews>
  <sheetFormatPr defaultRowHeight="12.75" x14ac:dyDescent="0.2"/>
  <cols>
    <col min="1" max="1" width="38.85546875" customWidth="1"/>
    <col min="2" max="2" width="12" customWidth="1"/>
    <col min="3" max="3" width="10" style="2" customWidth="1"/>
    <col min="4" max="4" width="13.42578125" customWidth="1"/>
    <col min="5" max="5" width="11.5703125" customWidth="1"/>
    <col min="7" max="7" width="12.42578125" bestFit="1" customWidth="1"/>
    <col min="8" max="8" width="34.7109375" customWidth="1"/>
    <col min="10" max="10" width="12.42578125" bestFit="1" customWidth="1"/>
    <col min="11" max="11" width="15.140625" customWidth="1"/>
    <col min="12" max="12" width="13.28515625" customWidth="1"/>
    <col min="14" max="14" width="7.85546875" customWidth="1"/>
    <col min="16" max="16" width="8.28515625" customWidth="1"/>
  </cols>
  <sheetData>
    <row r="1" spans="1:16" ht="30.75" customHeight="1" x14ac:dyDescent="0.4">
      <c r="A1" s="710" t="s">
        <v>545</v>
      </c>
      <c r="B1" s="710"/>
      <c r="C1" s="710"/>
      <c r="D1" s="710"/>
      <c r="E1" s="710"/>
      <c r="F1" s="710"/>
      <c r="G1" s="710"/>
      <c r="H1" s="710"/>
      <c r="I1" s="710"/>
    </row>
    <row r="2" spans="1:16" ht="12" customHeight="1" x14ac:dyDescent="0.2">
      <c r="A2" s="49"/>
      <c r="B2" s="49" t="s">
        <v>227</v>
      </c>
      <c r="C2" s="50"/>
      <c r="E2" s="49"/>
      <c r="F2" s="49"/>
      <c r="G2" s="49"/>
      <c r="H2" s="49"/>
      <c r="I2" s="49"/>
    </row>
    <row r="3" spans="1:16" ht="11.25" customHeight="1" x14ac:dyDescent="0.2">
      <c r="A3" s="49"/>
      <c r="B3" s="49" t="s">
        <v>276</v>
      </c>
      <c r="C3" s="51"/>
      <c r="E3" s="49"/>
      <c r="F3" s="49"/>
      <c r="G3" s="49"/>
      <c r="H3" s="49"/>
      <c r="I3" s="49"/>
    </row>
    <row r="4" spans="1:16" ht="11.25" customHeight="1" x14ac:dyDescent="0.2">
      <c r="A4" s="49"/>
      <c r="B4" s="49" t="s">
        <v>228</v>
      </c>
      <c r="C4" s="52"/>
      <c r="E4" s="49"/>
      <c r="F4" s="49"/>
      <c r="G4" s="49"/>
      <c r="H4" s="49"/>
      <c r="I4" s="49"/>
    </row>
    <row r="5" spans="1:16" x14ac:dyDescent="0.2">
      <c r="A5" s="2" t="s">
        <v>51</v>
      </c>
      <c r="B5" s="2" t="s">
        <v>8</v>
      </c>
      <c r="C5" s="2" t="s">
        <v>9</v>
      </c>
      <c r="E5" s="709" t="s">
        <v>13</v>
      </c>
      <c r="F5" s="709"/>
      <c r="G5" s="709"/>
      <c r="H5" s="709"/>
      <c r="I5" s="2" t="s">
        <v>573</v>
      </c>
    </row>
    <row r="6" spans="1:16" ht="16.5" thickBot="1" x14ac:dyDescent="0.3">
      <c r="A6" s="580" t="s">
        <v>179</v>
      </c>
      <c r="B6" s="2"/>
      <c r="D6" s="2"/>
      <c r="E6" s="49"/>
      <c r="F6" s="49"/>
      <c r="G6" s="49"/>
      <c r="H6" s="49"/>
      <c r="I6" s="2"/>
    </row>
    <row r="7" spans="1:16" x14ac:dyDescent="0.2">
      <c r="A7" s="222" t="s">
        <v>373</v>
      </c>
      <c r="B7" s="12">
        <f>'Design Converter'!E6</f>
        <v>9</v>
      </c>
      <c r="C7" s="63" t="s">
        <v>0</v>
      </c>
      <c r="D7" s="121" t="s">
        <v>374</v>
      </c>
      <c r="E7" s="63"/>
      <c r="F7" s="63"/>
      <c r="G7" s="63"/>
      <c r="H7" s="63"/>
      <c r="I7" s="64">
        <v>1</v>
      </c>
    </row>
    <row r="8" spans="1:16" x14ac:dyDescent="0.2">
      <c r="A8" s="223"/>
      <c r="B8" s="29">
        <f>'Design Converter'!E7</f>
        <v>12</v>
      </c>
      <c r="C8" t="s">
        <v>0</v>
      </c>
      <c r="D8" t="s">
        <v>14</v>
      </c>
      <c r="I8" s="57"/>
      <c r="K8" s="313" t="s">
        <v>926</v>
      </c>
      <c r="L8" s="120">
        <v>1</v>
      </c>
      <c r="M8" s="118" t="s">
        <v>937</v>
      </c>
      <c r="O8" s="120">
        <v>1</v>
      </c>
    </row>
    <row r="9" spans="1:16" x14ac:dyDescent="0.2">
      <c r="A9" s="223" t="s">
        <v>372</v>
      </c>
      <c r="B9" s="29">
        <f>'Design Converter'!E8</f>
        <v>36</v>
      </c>
      <c r="C9" t="s">
        <v>0</v>
      </c>
      <c r="D9" s="118" t="s">
        <v>375</v>
      </c>
      <c r="I9" s="57"/>
      <c r="K9" s="313" t="s">
        <v>927</v>
      </c>
      <c r="L9" s="120">
        <v>2</v>
      </c>
      <c r="M9" s="118" t="s">
        <v>936</v>
      </c>
      <c r="O9" s="120">
        <v>2</v>
      </c>
    </row>
    <row r="10" spans="1:16" x14ac:dyDescent="0.2">
      <c r="A10" s="223" t="s">
        <v>809</v>
      </c>
      <c r="B10" s="585">
        <f>B40</f>
        <v>9.8845950238221292</v>
      </c>
      <c r="C10" t="s">
        <v>0</v>
      </c>
      <c r="D10" s="118"/>
      <c r="I10" s="57"/>
      <c r="K10" s="597" t="s">
        <v>886</v>
      </c>
      <c r="L10" s="598">
        <v>1</v>
      </c>
      <c r="M10" s="388" t="s">
        <v>934</v>
      </c>
      <c r="O10" s="598">
        <v>1</v>
      </c>
      <c r="P10" s="118" t="s">
        <v>935</v>
      </c>
    </row>
    <row r="11" spans="1:16" x14ac:dyDescent="0.2">
      <c r="A11" s="223"/>
      <c r="B11" s="546"/>
      <c r="C11"/>
      <c r="D11" s="118"/>
      <c r="I11" s="57"/>
    </row>
    <row r="12" spans="1:16" x14ac:dyDescent="0.2">
      <c r="A12" s="56" t="s">
        <v>5</v>
      </c>
      <c r="B12" s="29">
        <f>'Design Converter'!E9</f>
        <v>12</v>
      </c>
      <c r="C12" t="s">
        <v>0</v>
      </c>
      <c r="D12" t="s">
        <v>1</v>
      </c>
      <c r="I12" s="57">
        <v>1</v>
      </c>
    </row>
    <row r="13" spans="1:16" x14ac:dyDescent="0.2">
      <c r="A13" s="56" t="s">
        <v>6</v>
      </c>
      <c r="B13" s="29">
        <f>'Design Converter'!E10</f>
        <v>4</v>
      </c>
      <c r="C13" t="s">
        <v>2</v>
      </c>
      <c r="D13" s="118" t="s">
        <v>376</v>
      </c>
      <c r="I13" s="57">
        <v>1</v>
      </c>
    </row>
    <row r="14" spans="1:16" x14ac:dyDescent="0.2">
      <c r="A14" s="223" t="s">
        <v>470</v>
      </c>
      <c r="B14" s="312">
        <f>Vout/Iout</f>
        <v>3</v>
      </c>
      <c r="C14" s="225" t="s">
        <v>120</v>
      </c>
      <c r="D14" s="118" t="s">
        <v>471</v>
      </c>
      <c r="I14" s="57"/>
    </row>
    <row r="15" spans="1:16" x14ac:dyDescent="0.2">
      <c r="A15" s="223" t="s">
        <v>394</v>
      </c>
      <c r="B15" s="312">
        <f>Vout*Iout</f>
        <v>48</v>
      </c>
      <c r="C15" t="s">
        <v>120</v>
      </c>
      <c r="D15" s="118" t="s">
        <v>426</v>
      </c>
      <c r="I15" s="57"/>
    </row>
    <row r="16" spans="1:16" x14ac:dyDescent="0.2">
      <c r="A16" s="223" t="s">
        <v>152</v>
      </c>
      <c r="B16" s="336">
        <v>0.9</v>
      </c>
      <c r="C16"/>
      <c r="D16" s="621" t="s">
        <v>950</v>
      </c>
      <c r="I16" s="57"/>
    </row>
    <row r="17" spans="1:9" x14ac:dyDescent="0.2">
      <c r="A17" s="223" t="s">
        <v>398</v>
      </c>
      <c r="B17" s="337">
        <f>Pout/Efficiency</f>
        <v>53.333333333333329</v>
      </c>
      <c r="C17" t="s">
        <v>120</v>
      </c>
      <c r="D17" s="118" t="s">
        <v>425</v>
      </c>
      <c r="I17" s="57"/>
    </row>
    <row r="18" spans="1:9" x14ac:dyDescent="0.2">
      <c r="A18" s="223" t="s">
        <v>395</v>
      </c>
      <c r="B18" s="327">
        <f>Pin/VIN_min</f>
        <v>5.9259259259259256</v>
      </c>
      <c r="C18" t="s">
        <v>2</v>
      </c>
      <c r="D18" s="118"/>
      <c r="I18" s="57"/>
    </row>
    <row r="19" spans="1:9" x14ac:dyDescent="0.2">
      <c r="A19" s="223" t="s">
        <v>396</v>
      </c>
      <c r="B19" s="327">
        <f>Pin/VIN_nom</f>
        <v>4.4444444444444438</v>
      </c>
      <c r="C19" t="s">
        <v>2</v>
      </c>
      <c r="D19" s="118" t="s">
        <v>427</v>
      </c>
      <c r="I19" s="57"/>
    </row>
    <row r="20" spans="1:9" x14ac:dyDescent="0.2">
      <c r="A20" s="223" t="s">
        <v>397</v>
      </c>
      <c r="B20" s="327">
        <f>Pin/VIN_max</f>
        <v>1.4814814814814814</v>
      </c>
      <c r="C20" t="s">
        <v>2</v>
      </c>
      <c r="D20" s="118"/>
      <c r="I20" s="57"/>
    </row>
    <row r="21" spans="1:9" x14ac:dyDescent="0.2">
      <c r="A21" s="223"/>
      <c r="C21"/>
      <c r="D21" s="118"/>
      <c r="I21" s="57"/>
    </row>
    <row r="22" spans="1:9" x14ac:dyDescent="0.2">
      <c r="A22" s="58" t="s">
        <v>7</v>
      </c>
      <c r="B22" s="270">
        <f>'Design Converter'!E11*1000</f>
        <v>370000</v>
      </c>
      <c r="C22" s="118" t="s">
        <v>10</v>
      </c>
      <c r="D22" s="118" t="s">
        <v>377</v>
      </c>
      <c r="I22" s="57">
        <v>1</v>
      </c>
    </row>
    <row r="23" spans="1:9" x14ac:dyDescent="0.2">
      <c r="A23" s="223" t="s">
        <v>851</v>
      </c>
      <c r="B23" s="583">
        <f>1/Fsw</f>
        <v>2.7027027027027026E-6</v>
      </c>
      <c r="C23" s="118" t="s">
        <v>800</v>
      </c>
      <c r="D23" s="118" t="s">
        <v>850</v>
      </c>
      <c r="I23" s="57"/>
    </row>
    <row r="24" spans="1:9" x14ac:dyDescent="0.2">
      <c r="A24" s="58" t="s">
        <v>44</v>
      </c>
      <c r="B24" s="59">
        <v>0.8</v>
      </c>
      <c r="C24" t="s">
        <v>0</v>
      </c>
      <c r="D24" t="s">
        <v>45</v>
      </c>
      <c r="I24" s="57"/>
    </row>
    <row r="25" spans="1:9" x14ac:dyDescent="0.2">
      <c r="A25" s="223" t="s">
        <v>359</v>
      </c>
      <c r="B25" s="328">
        <f>((1/Fsw)-190*10^-9)/(116*10^-12)</f>
        <v>21661.230195712953</v>
      </c>
      <c r="C25" s="225" t="s">
        <v>120</v>
      </c>
      <c r="D25" t="s">
        <v>428</v>
      </c>
      <c r="F25" s="620" t="s">
        <v>946</v>
      </c>
      <c r="I25" s="57"/>
    </row>
    <row r="26" spans="1:9" x14ac:dyDescent="0.2">
      <c r="A26" s="223"/>
      <c r="B26" s="333"/>
      <c r="C26" s="225"/>
      <c r="I26" s="57"/>
    </row>
    <row r="27" spans="1:9" x14ac:dyDescent="0.2">
      <c r="A27" s="223"/>
      <c r="B27" s="333"/>
      <c r="C27" s="225"/>
      <c r="I27" s="57"/>
    </row>
    <row r="28" spans="1:9" x14ac:dyDescent="0.2">
      <c r="A28" s="118" t="s">
        <v>854</v>
      </c>
      <c r="B28" s="30">
        <v>2.9999999999999999E-7</v>
      </c>
      <c r="C28" s="118" t="s">
        <v>800</v>
      </c>
      <c r="D28" s="118" t="s">
        <v>855</v>
      </c>
      <c r="E28" s="2" t="s">
        <v>860</v>
      </c>
      <c r="I28" s="57"/>
    </row>
    <row r="29" spans="1:9" x14ac:dyDescent="0.2">
      <c r="A29" s="118" t="s">
        <v>849</v>
      </c>
      <c r="B29" s="397">
        <f>0.0000003</f>
        <v>2.9999999999999999E-7</v>
      </c>
      <c r="C29" s="118" t="s">
        <v>800</v>
      </c>
      <c r="D29" s="118" t="s">
        <v>856</v>
      </c>
      <c r="E29" s="2" t="s">
        <v>861</v>
      </c>
      <c r="I29" s="57"/>
    </row>
    <row r="30" spans="1:9" x14ac:dyDescent="0.2">
      <c r="A30" s="118" t="s">
        <v>863</v>
      </c>
      <c r="B30" s="584">
        <v>1.1999999999999999E-6</v>
      </c>
      <c r="C30" s="118" t="s">
        <v>800</v>
      </c>
      <c r="E30" s="2" t="s">
        <v>864</v>
      </c>
      <c r="I30" s="57"/>
    </row>
    <row r="31" spans="1:9" x14ac:dyDescent="0.2">
      <c r="A31" s="118"/>
      <c r="B31" s="584"/>
      <c r="C31" s="118"/>
      <c r="E31" s="118"/>
      <c r="I31" s="57"/>
    </row>
    <row r="32" spans="1:9" x14ac:dyDescent="0.2">
      <c r="A32" s="118" t="s">
        <v>859</v>
      </c>
      <c r="B32" s="590">
        <f>Ton_min_boost/Ts</f>
        <v>0.111</v>
      </c>
      <c r="C32"/>
      <c r="E32" s="118"/>
      <c r="I32" s="57"/>
    </row>
    <row r="33" spans="1:9" x14ac:dyDescent="0.2">
      <c r="A33" s="118" t="s">
        <v>905</v>
      </c>
      <c r="B33" s="590">
        <f>B30/(2*Ts)</f>
        <v>0.222</v>
      </c>
      <c r="C33"/>
      <c r="E33" s="118"/>
      <c r="I33" s="57"/>
    </row>
    <row r="34" spans="1:9" x14ac:dyDescent="0.2">
      <c r="A34" s="118" t="s">
        <v>862</v>
      </c>
      <c r="B34" s="589">
        <f>1-B28/(2*Ts)</f>
        <v>0.94450000000000001</v>
      </c>
      <c r="C34"/>
      <c r="E34" s="118"/>
      <c r="I34" s="57"/>
    </row>
    <row r="35" spans="1:9" x14ac:dyDescent="0.2">
      <c r="A35" s="223"/>
      <c r="B35" s="586"/>
      <c r="C35" s="225"/>
      <c r="I35" s="57"/>
    </row>
    <row r="36" spans="1:9" x14ac:dyDescent="0.2">
      <c r="A36" s="118" t="s">
        <v>911</v>
      </c>
      <c r="B36" s="589">
        <f>Ton_min_boost/(2*Ts)</f>
        <v>5.5500000000000001E-2</v>
      </c>
      <c r="C36"/>
      <c r="I36" s="57"/>
    </row>
    <row r="37" spans="1:9" x14ac:dyDescent="0.2">
      <c r="A37" s="118" t="s">
        <v>906</v>
      </c>
      <c r="B37" s="589">
        <f>1-B30/(2*Ts)</f>
        <v>0.77800000000000002</v>
      </c>
      <c r="C37"/>
      <c r="I37" s="57"/>
    </row>
    <row r="38" spans="1:9" x14ac:dyDescent="0.2">
      <c r="A38" s="118" t="s">
        <v>865</v>
      </c>
      <c r="B38" s="589">
        <f>1-Toff_min_buck/Ts</f>
        <v>0.88900000000000001</v>
      </c>
      <c r="C38"/>
      <c r="I38" s="57"/>
    </row>
    <row r="39" spans="1:9" x14ac:dyDescent="0.2">
      <c r="I39" s="57"/>
    </row>
    <row r="40" spans="1:9" x14ac:dyDescent="0.2">
      <c r="A40" s="118" t="s">
        <v>853</v>
      </c>
      <c r="B40" s="587">
        <f>Vout*(1-B33)/B34</f>
        <v>9.8845950238221292</v>
      </c>
      <c r="C40" s="118" t="s">
        <v>0</v>
      </c>
      <c r="I40" s="57"/>
    </row>
    <row r="41" spans="1:9" x14ac:dyDescent="0.2">
      <c r="A41" s="118" t="s">
        <v>852</v>
      </c>
      <c r="B41" s="319">
        <f>Vout*(1-B32)</f>
        <v>10.667999999999999</v>
      </c>
      <c r="C41" s="118" t="s">
        <v>0</v>
      </c>
      <c r="I41" s="57"/>
    </row>
    <row r="42" spans="1:9" x14ac:dyDescent="0.2">
      <c r="A42" s="118" t="s">
        <v>858</v>
      </c>
      <c r="B42" s="587">
        <f>Vout/B38</f>
        <v>13.498312710911136</v>
      </c>
      <c r="C42" s="118" t="s">
        <v>0</v>
      </c>
      <c r="I42" s="57"/>
    </row>
    <row r="43" spans="1:9" x14ac:dyDescent="0.2">
      <c r="A43" s="118" t="s">
        <v>857</v>
      </c>
      <c r="B43" s="587">
        <f>Vout/B37*(1-B36)</f>
        <v>14.568123393316196</v>
      </c>
      <c r="C43" s="118" t="s">
        <v>0</v>
      </c>
      <c r="I43" s="57"/>
    </row>
    <row r="44" spans="1:9" ht="13.5" thickBot="1" x14ac:dyDescent="0.25">
      <c r="A44" s="60"/>
      <c r="B44" s="588"/>
      <c r="C44" s="61"/>
      <c r="D44" s="61"/>
      <c r="E44" s="61"/>
      <c r="F44" s="61"/>
      <c r="G44" s="61"/>
      <c r="H44" s="61"/>
      <c r="I44" s="62"/>
    </row>
    <row r="47" spans="1:9" ht="16.5" thickBot="1" x14ac:dyDescent="0.3">
      <c r="A47" s="580" t="s">
        <v>280</v>
      </c>
      <c r="B47" s="2"/>
    </row>
    <row r="48" spans="1:9" x14ac:dyDescent="0.2">
      <c r="A48" s="222" t="s">
        <v>15</v>
      </c>
      <c r="B48" s="307">
        <f>Vout/VIN_nom</f>
        <v>1</v>
      </c>
      <c r="C48" s="322">
        <f>(Vout-VIN_nom)/Vout</f>
        <v>0</v>
      </c>
      <c r="D48" s="311"/>
      <c r="E48" s="121" t="s">
        <v>387</v>
      </c>
      <c r="F48" s="63"/>
      <c r="G48" s="63"/>
      <c r="H48" s="63"/>
      <c r="I48" s="64">
        <v>1</v>
      </c>
    </row>
    <row r="49" spans="1:9" x14ac:dyDescent="0.2">
      <c r="A49" s="223" t="s">
        <v>16</v>
      </c>
      <c r="B49" s="308">
        <f>1-48:48</f>
        <v>0</v>
      </c>
      <c r="C49"/>
      <c r="E49" s="118" t="s">
        <v>388</v>
      </c>
      <c r="I49" s="57">
        <v>1</v>
      </c>
    </row>
    <row r="50" spans="1:9" x14ac:dyDescent="0.2">
      <c r="A50" s="118"/>
      <c r="C50"/>
      <c r="E50" s="118"/>
      <c r="I50" s="57"/>
    </row>
    <row r="51" spans="1:9" x14ac:dyDescent="0.2">
      <c r="A51" s="223" t="s">
        <v>389</v>
      </c>
      <c r="B51" s="320">
        <f>IF(VIN_min&gt;Vout, Vout/VIN_min, (Vout-VIN_min)/Vout)</f>
        <v>0.25</v>
      </c>
      <c r="C51" t="str">
        <f>IF(VIN_min&gt;Vout, "BUCK", "BOOST")</f>
        <v>BOOST</v>
      </c>
      <c r="E51" s="118"/>
      <c r="I51" s="57"/>
    </row>
    <row r="52" spans="1:9" x14ac:dyDescent="0.2">
      <c r="A52" s="223" t="s">
        <v>407</v>
      </c>
      <c r="B52" s="320">
        <f>IF(VIN_nom&gt;Vout, Vout/VIN_nom, (Vout-VIN_nom)/Vout)</f>
        <v>0</v>
      </c>
      <c r="C52" t="str">
        <f>IF(VIN_nom&gt;Vout, "BUCK", "BOOST")</f>
        <v>BOOST</v>
      </c>
      <c r="I52" s="57"/>
    </row>
    <row r="53" spans="1:9" x14ac:dyDescent="0.2">
      <c r="A53" s="223" t="s">
        <v>390</v>
      </c>
      <c r="B53" s="320">
        <f>IF(VIN_max&gt;Vout, Vout/VIN_max, (Vout-VIN_max)/Vout)</f>
        <v>0.33333333333333331</v>
      </c>
      <c r="C53" t="str">
        <f>IF(VIN_max&gt;Vout, "BUCK", "BOOST")</f>
        <v>BUCK</v>
      </c>
      <c r="E53" s="118"/>
      <c r="I53" s="57"/>
    </row>
    <row r="54" spans="1:9" x14ac:dyDescent="0.2">
      <c r="A54" s="118" t="s">
        <v>807</v>
      </c>
      <c r="B54" s="320">
        <f>B33</f>
        <v>0.222</v>
      </c>
      <c r="C54" s="118" t="s">
        <v>806</v>
      </c>
      <c r="E54" s="118"/>
      <c r="I54" s="57"/>
    </row>
    <row r="55" spans="1:9" x14ac:dyDescent="0.2">
      <c r="A55" s="118"/>
      <c r="C55"/>
      <c r="E55" s="118"/>
      <c r="I55" s="57"/>
    </row>
    <row r="56" spans="1:9" x14ac:dyDescent="0.2">
      <c r="A56" s="223" t="s">
        <v>391</v>
      </c>
      <c r="B56" s="310">
        <f>(VIN_min-Vout)*Don_Vinmin/(Fsw*Iout*0.3)</f>
        <v>-1.6891891891891892E-6</v>
      </c>
      <c r="C56" s="310">
        <f>VIN_min/(Iin_Vinmin*0.3*Fsw)*(1-VIN_min/Vout)</f>
        <v>3.4206081081081082E-6</v>
      </c>
      <c r="D56" s="118" t="s">
        <v>20</v>
      </c>
      <c r="I56" s="57"/>
    </row>
    <row r="57" spans="1:9" x14ac:dyDescent="0.2">
      <c r="A57" s="223" t="s">
        <v>405</v>
      </c>
      <c r="B57" s="310">
        <f>(VIN_nom-Vout)*Don_Vinnom/(Fsw*Iout*0.4)</f>
        <v>0</v>
      </c>
      <c r="C57" s="310">
        <f>VIN_nom/(Iin_Vinnom*0.4*Fsw)*(1-VIN_nom/Vout)</f>
        <v>0</v>
      </c>
      <c r="D57" t="s">
        <v>20</v>
      </c>
      <c r="I57" s="57">
        <v>1</v>
      </c>
    </row>
    <row r="58" spans="1:9" x14ac:dyDescent="0.2">
      <c r="A58" s="223" t="s">
        <v>392</v>
      </c>
      <c r="B58" s="310">
        <f>(VIN_max-Vout)*Don_Vinmax/(Fsw*Iout*0.3)</f>
        <v>1.8018018018018019E-5</v>
      </c>
      <c r="C58" s="310">
        <f>VIN_max/(Iin_Vinmax*0.3*Fsw)*(1-VIN_max/Vout)</f>
        <v>-4.3783783783783785E-4</v>
      </c>
      <c r="D58" s="118" t="s">
        <v>20</v>
      </c>
      <c r="I58" s="57"/>
    </row>
    <row r="59" spans="1:9" x14ac:dyDescent="0.2">
      <c r="A59" s="118"/>
      <c r="C59"/>
      <c r="I59" s="57"/>
    </row>
    <row r="60" spans="1:9" x14ac:dyDescent="0.2">
      <c r="A60" s="118" t="s">
        <v>402</v>
      </c>
      <c r="B60" s="309">
        <f>IF(VIN_min&gt;Vout, (VIN_min-Vout)*Don_Vinmin/(Fsw*Iout*0.3), VIN_min/(Iin_Vinmin*0.3*Fsw)*(1-VIN_min/Vout))</f>
        <v>3.4206081081081082E-6</v>
      </c>
      <c r="C60" s="118" t="s">
        <v>20</v>
      </c>
      <c r="D60" t="str">
        <f>IF(VIN_min&gt;Vout, "BUCK", "BOOST")</f>
        <v>BOOST</v>
      </c>
      <c r="E60" s="118" t="s">
        <v>816</v>
      </c>
      <c r="I60" s="57"/>
    </row>
    <row r="61" spans="1:9" x14ac:dyDescent="0.2">
      <c r="A61" s="118" t="s">
        <v>403</v>
      </c>
      <c r="B61" s="309">
        <f>IF(VIN_nom&gt;Vout, (VIN_nom-Vout)*Don_Vinnom/(Fsw*Iout*0.4), VIN_nom/(Iin_Vinnom*0.4*Fsw)*(1-VIN_nom/Vout))</f>
        <v>0</v>
      </c>
      <c r="C61" t="s">
        <v>20</v>
      </c>
      <c r="D61" t="str">
        <f>IF(VIN_nom&gt;Vout, "BUCK", "BOOST")</f>
        <v>BOOST</v>
      </c>
      <c r="E61" s="118" t="s">
        <v>817</v>
      </c>
      <c r="I61" s="57"/>
    </row>
    <row r="62" spans="1:9" x14ac:dyDescent="0.2">
      <c r="A62" s="118" t="s">
        <v>404</v>
      </c>
      <c r="B62" s="309">
        <f>IF(VIN_max&gt;Vout, (VIN_max-Vout)*Don_Vinmax/(Fsw*Iout*0.8), VIN_max/(Iin_Vinmax*0.8*Fsw)*(1-VIN_max/Vout))</f>
        <v>6.7567567567567567E-6</v>
      </c>
      <c r="C62" s="118" t="s">
        <v>20</v>
      </c>
      <c r="D62" t="str">
        <f>IF(VIN_max&gt;Vout, "BUCK", "BOOST")</f>
        <v>BUCK</v>
      </c>
      <c r="E62" s="118" t="s">
        <v>976</v>
      </c>
      <c r="I62" s="57"/>
    </row>
    <row r="63" spans="1:9" x14ac:dyDescent="0.2">
      <c r="A63" s="118"/>
      <c r="C63" s="118"/>
      <c r="E63" s="118"/>
      <c r="I63" s="57"/>
    </row>
    <row r="64" spans="1:9" x14ac:dyDescent="0.2">
      <c r="A64" s="223" t="s">
        <v>406</v>
      </c>
      <c r="B64" s="309">
        <f>AVERAGE(B60,B62)</f>
        <v>5.0886824324324322E-6</v>
      </c>
      <c r="C64" t="s">
        <v>20</v>
      </c>
      <c r="D64" s="118" t="s">
        <v>977</v>
      </c>
      <c r="E64" s="118"/>
      <c r="I64" s="57"/>
    </row>
    <row r="65" spans="1:12" x14ac:dyDescent="0.2">
      <c r="A65" s="223"/>
      <c r="C65"/>
      <c r="E65" s="118"/>
      <c r="I65" s="57"/>
    </row>
    <row r="66" spans="1:12" x14ac:dyDescent="0.2">
      <c r="A66" s="223" t="s">
        <v>393</v>
      </c>
      <c r="B66" s="72">
        <f>'Design Converter'!E16/1000000</f>
        <v>4.6999999999999999E-6</v>
      </c>
      <c r="C66" t="s">
        <v>20</v>
      </c>
      <c r="E66" s="118" t="s">
        <v>818</v>
      </c>
      <c r="I66" s="57">
        <v>2</v>
      </c>
    </row>
    <row r="67" spans="1:12" x14ac:dyDescent="0.2">
      <c r="A67" s="223" t="s">
        <v>12</v>
      </c>
      <c r="B67" s="29">
        <f>'Design Converter'!E17/1000</f>
        <v>1.32E-2</v>
      </c>
      <c r="C67" s="225" t="s">
        <v>120</v>
      </c>
      <c r="E67" s="118" t="s">
        <v>819</v>
      </c>
      <c r="I67" s="57">
        <v>1</v>
      </c>
    </row>
    <row r="68" spans="1:12" x14ac:dyDescent="0.2">
      <c r="A68" s="223"/>
      <c r="B68" s="118"/>
      <c r="C68" s="118"/>
      <c r="D68" s="118"/>
      <c r="E68" s="118"/>
      <c r="I68" s="57"/>
    </row>
    <row r="69" spans="1:12" x14ac:dyDescent="0.2">
      <c r="A69" s="223" t="s">
        <v>17</v>
      </c>
      <c r="B69" s="320">
        <f>(Vout+Iout*(Rdcr+Rs))/(Vin+Iout*Rs)</f>
        <v>1.0043781094527362</v>
      </c>
      <c r="C69"/>
      <c r="I69" s="57">
        <v>2</v>
      </c>
    </row>
    <row r="70" spans="1:12" x14ac:dyDescent="0.2">
      <c r="A70" s="223" t="s">
        <v>18</v>
      </c>
      <c r="B70" s="320">
        <f>1-_Don2</f>
        <v>-4.3781094527362008E-3</v>
      </c>
      <c r="C70"/>
      <c r="I70" s="57">
        <v>2</v>
      </c>
    </row>
    <row r="71" spans="1:12" x14ac:dyDescent="0.2">
      <c r="A71" s="223"/>
      <c r="C71"/>
      <c r="I71" s="57"/>
    </row>
    <row r="72" spans="1:12" x14ac:dyDescent="0.2">
      <c r="A72" s="223" t="s">
        <v>408</v>
      </c>
      <c r="B72" s="320">
        <f>IF(VIN_min&gt;Vout, (Vout+Iout*(Rdcr+Rs))/(VIN_min+Iout*Rs), (Vout-VIN_min+Iin_Vinmin*(Rdcr))/(Vout-Iin_Vinmin*Rs))</f>
        <v>0.25843283582089549</v>
      </c>
      <c r="C72" t="str">
        <f>IF(VIN_min&gt;Vout, "BUCK", "BOOST")</f>
        <v>BOOST</v>
      </c>
      <c r="E72" s="118" t="s">
        <v>563</v>
      </c>
      <c r="I72" s="57">
        <v>2</v>
      </c>
      <c r="J72" s="118" t="s">
        <v>952</v>
      </c>
      <c r="L72" s="620">
        <f>(1-VIN_min*90%/Vout)</f>
        <v>0.32500000000000007</v>
      </c>
    </row>
    <row r="73" spans="1:12" ht="15.75" x14ac:dyDescent="0.3">
      <c r="A73" s="223" t="s">
        <v>409</v>
      </c>
      <c r="B73" s="320">
        <f>IF(VIN_nom&gt;Vout, (Vout+Iout*(Rdcr+Rs))/(VIN_nom+Iout*Rs), (Vout-VIN_nom+Iin_Vinnom*(Rdcr))/(Vout-Iin_Vinnom*Rs))</f>
        <v>4.9162011173184347E-3</v>
      </c>
      <c r="C73" t="str">
        <f>IF(VIN_nom&gt;Vout, "BUCK", "BOOST")</f>
        <v>BOOST</v>
      </c>
      <c r="E73" s="406" t="s">
        <v>593</v>
      </c>
      <c r="I73" s="57"/>
    </row>
    <row r="74" spans="1:12" x14ac:dyDescent="0.2">
      <c r="A74" s="223" t="s">
        <v>410</v>
      </c>
      <c r="B74" s="320">
        <f>IF(VIN_max&gt;Vout, (Vout+Iout*(Rdcr+Rs))/(VIN_max+Iout*Rs), (Vout-VIN_max+Iin_Vinmax*(Rdcr))/(Vout-Iin_Vinmax*Rs))</f>
        <v>0.33590682196339433</v>
      </c>
      <c r="C74" t="str">
        <f>IF(VIN_max&gt;Vout, "BUCK", "BOOST")</f>
        <v>BUCK</v>
      </c>
      <c r="I74" s="57"/>
    </row>
    <row r="75" spans="1:12" x14ac:dyDescent="0.2">
      <c r="A75" s="223"/>
      <c r="C75"/>
      <c r="I75" s="57"/>
    </row>
    <row r="76" spans="1:12" x14ac:dyDescent="0.2">
      <c r="A76" s="223" t="s">
        <v>22</v>
      </c>
      <c r="B76" s="448">
        <f>'Design Converter'!E40/1000</f>
        <v>0.2</v>
      </c>
      <c r="C76" t="s">
        <v>0</v>
      </c>
      <c r="E76" s="118" t="s">
        <v>603</v>
      </c>
      <c r="I76" s="57">
        <v>1</v>
      </c>
    </row>
    <row r="77" spans="1:12" x14ac:dyDescent="0.2">
      <c r="A77" s="223"/>
      <c r="C77"/>
      <c r="I77" s="57"/>
    </row>
    <row r="78" spans="1:12" x14ac:dyDescent="0.2">
      <c r="A78" s="223" t="s">
        <v>399</v>
      </c>
      <c r="B78" s="576">
        <f>IF(VIN_min&gt;Vout, (VIN_min-Vout)*Don_Vinmin_2/(Fsw*Lf),VIN_min*Don_Vinmin_2/(Lf*Fsw))</f>
        <v>1.3374902371409199</v>
      </c>
      <c r="C78" s="576">
        <f>(VIN_min-Vout)*Don_Vinmin_2/(Fsw*Lf)</f>
        <v>-0.44583007904697325</v>
      </c>
      <c r="D78" s="118" t="s">
        <v>2</v>
      </c>
      <c r="E78" t="str">
        <f>IF(VIN_min&gt;Vout, "BUCK", "BOOST")</f>
        <v>BOOST</v>
      </c>
      <c r="G78" s="30"/>
      <c r="H78">
        <f>VIN_min*Don_Vinmin_2/(Lopt*Fsw)</f>
        <v>1.2353304019322473</v>
      </c>
      <c r="I78" s="57"/>
    </row>
    <row r="79" spans="1:12" x14ac:dyDescent="0.2">
      <c r="A79" s="223" t="s">
        <v>400</v>
      </c>
      <c r="B79" s="576">
        <f>IF(VIN_nom&gt;Vout, (VIN_nom-Vout)*Don_Vinnom_2/(Fsw*Lf),VIN_nom*Don_Vinnom_2/(Lf*Fsw))</f>
        <v>3.3924332034399783E-2</v>
      </c>
      <c r="C79" s="576">
        <f>(VIN_nom-Vout)*Don_Vinnom_2/(Fsw*Lf)</f>
        <v>0</v>
      </c>
      <c r="D79" s="118" t="s">
        <v>2</v>
      </c>
      <c r="E79" t="str">
        <f>IF(VIN_nom&gt;Vout, "BUCK", "BOOST")</f>
        <v>BOOST</v>
      </c>
      <c r="I79" s="57"/>
    </row>
    <row r="80" spans="1:12" x14ac:dyDescent="0.2">
      <c r="A80" s="223" t="s">
        <v>401</v>
      </c>
      <c r="B80" s="576">
        <f>IF(VIN_max&gt;Vout, (VIN_max-Vout)*Don_Vinmax_2/(Fsw*Lf),VIN_max*Don_Vinmax_2/(Lf*Fsw))</f>
        <v>4.6358618327322976</v>
      </c>
      <c r="C80" s="576">
        <f>(VIN_max-Vout)*Don_Vinmax_2/(Fsw*Lf)</f>
        <v>4.6358618327322976</v>
      </c>
      <c r="D80" s="118" t="s">
        <v>2</v>
      </c>
      <c r="E80" t="str">
        <f>IF(VIN_max&gt;Vout, "BUCK", "BOOST")</f>
        <v>BUCK</v>
      </c>
      <c r="I80" s="57"/>
    </row>
    <row r="81" spans="1:9" x14ac:dyDescent="0.2">
      <c r="A81" s="223" t="s">
        <v>810</v>
      </c>
      <c r="B81" s="576">
        <f>VIN_edgebuckboost*Don_buckboost/(Lf*Fsw/2)</f>
        <v>2.5237263890609696</v>
      </c>
      <c r="C81" s="523"/>
      <c r="D81" s="118" t="s">
        <v>2</v>
      </c>
      <c r="E81" s="118" t="s">
        <v>832</v>
      </c>
      <c r="I81" s="57"/>
    </row>
    <row r="82" spans="1:9" x14ac:dyDescent="0.2">
      <c r="A82" s="223"/>
      <c r="B82" s="118"/>
      <c r="C82" s="118"/>
      <c r="D82" s="118"/>
      <c r="I82" s="57"/>
    </row>
    <row r="83" spans="1:9" x14ac:dyDescent="0.2">
      <c r="A83" s="223" t="s">
        <v>866</v>
      </c>
      <c r="B83" s="445">
        <f>IF(VIN_min&gt;Vout, SQRT(1-Don_Vinmin_2)*SQRT(Iout^2+(Iripple_Vinmin^2)/12), SQRT(Don_Vinmin_2)*SQRT(Iin_Vinmin^2+(Iripple_Vinmin^2)/12))</f>
        <v>3.0189083247521187</v>
      </c>
      <c r="C83" s="118" t="s">
        <v>2</v>
      </c>
      <c r="E83" s="4">
        <f>SQRT(1-Don_Vinmin_2)*SQRT(Iout^2+(Iripple_Vinmin^2)/12)</f>
        <v>3.4605812408075134</v>
      </c>
      <c r="F83" s="386">
        <f>SQRT(Don_Vinmin_2)*SQRT(Iout^2+(Iripple_Vinmin^2)/12)</f>
        <v>2.0429025479225387</v>
      </c>
      <c r="I83" s="57"/>
    </row>
    <row r="84" spans="1:9" x14ac:dyDescent="0.2">
      <c r="A84" s="223" t="s">
        <v>867</v>
      </c>
      <c r="B84" s="445">
        <f>IF(VIN_nom&gt;Vout, SQRT(1-Don_Vinnom_2)*SQRT(Iout^2+(Iripple_Vinnom^2)/12), SQRT(Don_Vinnom_2)*SQRT(Iin_Vinnom^2+(Iripple_Vinnom^2)/12))</f>
        <v>0.31162576436435802</v>
      </c>
      <c r="C84" s="118" t="s">
        <v>2</v>
      </c>
      <c r="E84" s="4">
        <f>SQRT(1-Don_Vinnom_2)*SQRT(Iout^2+(Iripple_Vinnom^2)/12)</f>
        <v>3.9901674420580204</v>
      </c>
      <c r="F84" s="386">
        <f>SQRT(Don_Vinnom_2)*SQRT(Iout^2+(Iripple_Vinnom^2)/12)</f>
        <v>0.28046334763296193</v>
      </c>
      <c r="I84" s="57"/>
    </row>
    <row r="85" spans="1:9" x14ac:dyDescent="0.2">
      <c r="A85" s="223" t="s">
        <v>868</v>
      </c>
      <c r="B85" s="445">
        <f>IF(VIN_max&gt;Vout, SQRT(1-Don_Vinmax_2)*SQRT(Iout^2+(Iripple_Vinmax^2)/12), SQRT(Don_Vinmax_2)*SQRT(Iin_Vinmax^2+(Iripple_Vinmax^2)/12))</f>
        <v>3.4372719246422996</v>
      </c>
      <c r="C85" s="118" t="s">
        <v>2</v>
      </c>
      <c r="E85" s="4">
        <f>SQRT(1-Don_Vinmax_2)*SQRT(Iout^2+(Iripple_Vinmax^2)/12)</f>
        <v>3.4372719246422996</v>
      </c>
      <c r="F85" s="386">
        <f>SQRT(Don_Vinmax_2)*SQRT(Iout^2+(Iripple_Vinmax^2)/12)</f>
        <v>2.4446055497253183</v>
      </c>
      <c r="I85" s="57"/>
    </row>
    <row r="86" spans="1:9" x14ac:dyDescent="0.2">
      <c r="A86" s="223" t="s">
        <v>869</v>
      </c>
      <c r="B86" s="430">
        <f>MAX(B83,B85)^2*Rs</f>
        <v>0.17722257425901269</v>
      </c>
      <c r="C86" s="118" t="s">
        <v>120</v>
      </c>
      <c r="D86" s="118" t="str">
        <f>IF(B85&gt;B83, "BUCK", "BOOST")</f>
        <v>BUCK</v>
      </c>
      <c r="E86" s="118"/>
      <c r="I86" s="57"/>
    </row>
    <row r="87" spans="1:9" x14ac:dyDescent="0.2">
      <c r="A87" s="223"/>
      <c r="B87" s="118"/>
      <c r="C87" s="118"/>
      <c r="D87" s="118"/>
      <c r="I87" s="57"/>
    </row>
    <row r="88" spans="1:9" x14ac:dyDescent="0.2">
      <c r="A88" s="223" t="s">
        <v>424</v>
      </c>
      <c r="B88" s="321">
        <f>MAX(B78:B80)</f>
        <v>4.6358618327322976</v>
      </c>
      <c r="C88" s="118" t="s">
        <v>2</v>
      </c>
      <c r="I88" s="57"/>
    </row>
    <row r="89" spans="1:9" x14ac:dyDescent="0.2">
      <c r="A89" s="223"/>
      <c r="B89" s="118"/>
      <c r="C89" s="118"/>
      <c r="D89" s="118"/>
      <c r="F89" s="118" t="s">
        <v>186</v>
      </c>
      <c r="G89" s="313" t="s">
        <v>412</v>
      </c>
      <c r="I89" s="57"/>
    </row>
    <row r="90" spans="1:9" x14ac:dyDescent="0.2">
      <c r="A90" s="223" t="s">
        <v>411</v>
      </c>
      <c r="B90" s="444">
        <f>IF(VIN_min&gt;Vout, B78/Iout, B78/Iin_Vinmin)</f>
        <v>0.22570147751753025</v>
      </c>
      <c r="C90" t="str">
        <f>IF(VIN_min&gt;Vout, "BUCK", "BOOST")</f>
        <v>BOOST</v>
      </c>
      <c r="F90" s="4">
        <f>B78</f>
        <v>1.3374902371409199</v>
      </c>
      <c r="G90" s="445">
        <f>Iin_Vinmin</f>
        <v>5.9259259259259256</v>
      </c>
      <c r="I90" s="57"/>
    </row>
    <row r="91" spans="1:9" x14ac:dyDescent="0.2">
      <c r="A91" s="223"/>
      <c r="B91" s="444">
        <f>IF(VIN_nom&gt;Vout, B79/Iout, B79/Iin_Vinnom)</f>
        <v>7.6329747077399524E-3</v>
      </c>
      <c r="C91" t="str">
        <f>IF(VIN_nom&gt;Vout, "BUCK", "BOOST")</f>
        <v>BOOST</v>
      </c>
      <c r="F91" s="4">
        <f>B79</f>
        <v>3.3924332034399783E-2</v>
      </c>
      <c r="G91" s="445">
        <f>Iin_Vinnom</f>
        <v>4.4444444444444438</v>
      </c>
      <c r="I91" s="57"/>
    </row>
    <row r="92" spans="1:9" x14ac:dyDescent="0.2">
      <c r="A92" s="223"/>
      <c r="B92" s="444">
        <f>IF(VIN_max&gt;Vout, B80/Iout, B80/Iin_Vinmax)</f>
        <v>1.1589654581830744</v>
      </c>
      <c r="C92" t="str">
        <f>IF(VIN_max&gt;Vout, "BUCK", "BOOST")</f>
        <v>BUCK</v>
      </c>
      <c r="F92" s="4">
        <f>B80</f>
        <v>4.6358618327322976</v>
      </c>
      <c r="G92" s="445">
        <f>Iin_Vinmax</f>
        <v>1.4814814814814814</v>
      </c>
      <c r="I92" s="57"/>
    </row>
    <row r="93" spans="1:9" x14ac:dyDescent="0.2">
      <c r="A93" s="223"/>
      <c r="C93"/>
      <c r="I93" s="57"/>
    </row>
    <row r="94" spans="1:9" x14ac:dyDescent="0.2">
      <c r="A94" t="s">
        <v>269</v>
      </c>
      <c r="B94" s="336">
        <v>100</v>
      </c>
      <c r="C94"/>
      <c r="D94" s="118"/>
      <c r="I94" s="57"/>
    </row>
    <row r="95" spans="1:9" x14ac:dyDescent="0.2">
      <c r="A95" s="223" t="s">
        <v>268</v>
      </c>
      <c r="B95" s="421">
        <f>Rdcr*(1+0.0039*(B94-25))</f>
        <v>1.7061E-2</v>
      </c>
      <c r="C95" s="225" t="s">
        <v>120</v>
      </c>
      <c r="I95" s="57"/>
    </row>
    <row r="96" spans="1:9" ht="13.5" thickBot="1" x14ac:dyDescent="0.25">
      <c r="A96" s="340"/>
      <c r="B96" s="341"/>
      <c r="C96" s="61"/>
      <c r="D96" s="61"/>
      <c r="E96" s="61"/>
      <c r="F96" s="61"/>
      <c r="G96" s="61"/>
      <c r="H96" s="61"/>
      <c r="I96" s="62"/>
    </row>
    <row r="97" spans="1:16" x14ac:dyDescent="0.2">
      <c r="A97" s="2"/>
      <c r="B97" s="1"/>
      <c r="C97" s="1"/>
    </row>
    <row r="98" spans="1:16" ht="16.5" thickBot="1" x14ac:dyDescent="0.3">
      <c r="A98" s="580" t="s">
        <v>542</v>
      </c>
      <c r="B98" s="1"/>
      <c r="C98" s="1"/>
    </row>
    <row r="99" spans="1:16" x14ac:dyDescent="0.2">
      <c r="A99" s="94"/>
      <c r="B99" s="63"/>
      <c r="C99" s="63"/>
      <c r="D99" s="63"/>
      <c r="E99" s="63"/>
      <c r="F99" s="63"/>
      <c r="G99" s="63"/>
      <c r="H99" s="63"/>
      <c r="I99" s="64"/>
    </row>
    <row r="100" spans="1:16" x14ac:dyDescent="0.2">
      <c r="A100" s="223" t="s">
        <v>423</v>
      </c>
      <c r="B100" s="29">
        <f>'Design Converter'!E26</f>
        <v>15</v>
      </c>
      <c r="C100" t="s">
        <v>2</v>
      </c>
      <c r="E100" s="118" t="s">
        <v>736</v>
      </c>
      <c r="I100" s="57"/>
      <c r="K100" s="118" t="s">
        <v>434</v>
      </c>
      <c r="N100" s="118" t="s">
        <v>594</v>
      </c>
    </row>
    <row r="101" spans="1:16" x14ac:dyDescent="0.2">
      <c r="A101" s="223"/>
      <c r="C101"/>
      <c r="I101" s="57"/>
      <c r="K101" s="118" t="s">
        <v>449</v>
      </c>
      <c r="L101" s="118" t="s">
        <v>450</v>
      </c>
    </row>
    <row r="102" spans="1:16" x14ac:dyDescent="0.2">
      <c r="A102" s="223" t="s">
        <v>431</v>
      </c>
      <c r="B102" s="327">
        <f>IF(VIN_min&gt;Vout, Ilimit_DC-Iripple_Vinmin/2, Ilimit_DC*Vout/VIN_min/0.9+Iripple_Vinmin/2)</f>
        <v>22.890967340792681</v>
      </c>
      <c r="C102" t="s">
        <v>2</v>
      </c>
      <c r="D102" t="str">
        <f>IF(VIN_min&gt;Vout, "BUCK", "BOOST")</f>
        <v>BOOST</v>
      </c>
      <c r="E102" s="621" t="s">
        <v>953</v>
      </c>
      <c r="I102" s="57"/>
      <c r="K102" s="327">
        <f>Ilimit_DC-Iripple_Vinmin/2</f>
        <v>14.33125488142954</v>
      </c>
      <c r="L102" s="327">
        <f>Ilimit_DC/(1-Don_Vinmin_2)+Iripple_Vinmin/2</f>
        <v>20.896177945379353</v>
      </c>
      <c r="M102" t="str">
        <f>IF(VIN_min&gt;Vout, "BUCK", "BOOST")</f>
        <v>BOOST</v>
      </c>
      <c r="N102" s="329">
        <f>IF(VIN_min&gt;Vout, Buck_CS_threshold/K102, Boost_CS_Threshold/L102)</f>
        <v>5.7426769772763574E-3</v>
      </c>
      <c r="P102" s="335">
        <f>Boost_CS_Threshold/L102</f>
        <v>5.7426769772763574E-3</v>
      </c>
    </row>
    <row r="103" spans="1:16" x14ac:dyDescent="0.2">
      <c r="A103" s="223" t="s">
        <v>433</v>
      </c>
      <c r="B103" s="327">
        <f>IF(VIN_nom&gt;Vout, Ilimit_DC-Iripple_Vinnom/2, Ilimit_DC/(1-Don_Vinnom_2)+Iripple_Vinnom/2)</f>
        <v>15.091069509381223</v>
      </c>
      <c r="C103" t="s">
        <v>2</v>
      </c>
      <c r="D103" t="str">
        <f>IF(VIN_nom&gt;Vout, "BUCK", "BOOST")</f>
        <v>BOOST</v>
      </c>
      <c r="E103" s="118" t="s">
        <v>430</v>
      </c>
      <c r="I103" s="57"/>
      <c r="K103" s="327">
        <f>Ilimit_DC-Iripple_Vinnom/2</f>
        <v>14.983037833982801</v>
      </c>
      <c r="L103" s="327">
        <f>Ilimit_DC/(1-Don_Vinnom_2)+Iripple_Vinnom/2</f>
        <v>15.091069509381223</v>
      </c>
      <c r="M103" t="str">
        <f>IF(VIN_nom&gt;Vout, "BUCK", "BOOST")</f>
        <v>BOOST</v>
      </c>
      <c r="N103" s="329">
        <f>IF(VIN_nom&gt;Vout, Buck_CS_threshold/K103, Boost_CS_Threshold/L103)</f>
        <v>7.9517227009923402E-3</v>
      </c>
      <c r="P103" s="335">
        <f>Boost_CS_Threshold/L103</f>
        <v>7.9517227009923402E-3</v>
      </c>
    </row>
    <row r="104" spans="1:16" x14ac:dyDescent="0.2">
      <c r="A104" s="223" t="s">
        <v>432</v>
      </c>
      <c r="B104" s="327">
        <f>IF(VIN_max&gt;Vout, Ilimit_DC-Iripple_Vinmax/2, Ilimit_DC/(1-Don_Vinmax_2)+Iripple_Vinmax/2)</f>
        <v>12.682069083633852</v>
      </c>
      <c r="C104" t="s">
        <v>2</v>
      </c>
      <c r="D104" t="str">
        <f>IF(VIN_max&gt;Vout, "BUCK", "BOOST")</f>
        <v>BUCK</v>
      </c>
      <c r="E104" s="118" t="s">
        <v>820</v>
      </c>
      <c r="I104" s="57"/>
      <c r="K104" s="327">
        <f>Ilimit_DC-Iripple_Vinmax/2</f>
        <v>12.682069083633852</v>
      </c>
      <c r="L104" s="327">
        <f>Ilimit_DC/(1-Don_Vinmax_2)+Iripple_Vinmax/2</f>
        <v>24.905122738374565</v>
      </c>
      <c r="M104" t="str">
        <f>IF(VIN_max&gt;Vout, "BUCK", "BOOST")</f>
        <v>BUCK</v>
      </c>
      <c r="N104" s="329">
        <f>IF(VIN_max&gt;Vout, Buck_CS_threshold/K104, Boost_CS_Threshold/L104)</f>
        <v>6.3081189254235812E-3</v>
      </c>
      <c r="P104" s="335">
        <f>Boost_CS_Threshold/L104</f>
        <v>4.8182858306134897E-3</v>
      </c>
    </row>
    <row r="105" spans="1:16" x14ac:dyDescent="0.2">
      <c r="A105" s="223" t="s">
        <v>808</v>
      </c>
      <c r="B105" s="327">
        <f>Ilimit_DC/(1-Don_buckboost)+Iripple_edgebuckboost/2</f>
        <v>20.542068850057476</v>
      </c>
      <c r="C105" s="118" t="s">
        <v>2</v>
      </c>
      <c r="D105" s="118" t="s">
        <v>821</v>
      </c>
      <c r="I105" s="57"/>
    </row>
    <row r="106" spans="1:16" x14ac:dyDescent="0.2">
      <c r="I106" s="57"/>
    </row>
    <row r="107" spans="1:16" x14ac:dyDescent="0.2">
      <c r="A107" s="223" t="s">
        <v>733</v>
      </c>
      <c r="B107" s="524">
        <v>6.8000000000000005E-2</v>
      </c>
      <c r="C107" s="118" t="s">
        <v>0</v>
      </c>
      <c r="I107" s="57"/>
    </row>
    <row r="108" spans="1:16" x14ac:dyDescent="0.2">
      <c r="A108" s="223" t="s">
        <v>421</v>
      </c>
      <c r="B108" s="326">
        <v>0.08</v>
      </c>
      <c r="C108" s="118" t="s">
        <v>0</v>
      </c>
      <c r="D108" s="2" t="s">
        <v>833</v>
      </c>
      <c r="E108" s="621" t="s">
        <v>947</v>
      </c>
      <c r="I108" s="57"/>
    </row>
    <row r="109" spans="1:16" x14ac:dyDescent="0.2">
      <c r="A109" s="223" t="s">
        <v>738</v>
      </c>
      <c r="B109" s="524">
        <v>9.1999999999999998E-2</v>
      </c>
      <c r="C109" s="118" t="s">
        <v>0</v>
      </c>
      <c r="I109" s="57"/>
    </row>
    <row r="110" spans="1:16" x14ac:dyDescent="0.2">
      <c r="A110" s="223"/>
      <c r="B110" s="386"/>
      <c r="C110" s="118"/>
      <c r="I110" s="57"/>
    </row>
    <row r="111" spans="1:16" x14ac:dyDescent="0.2">
      <c r="A111" s="223" t="s">
        <v>734</v>
      </c>
      <c r="B111" s="524">
        <v>0.108</v>
      </c>
      <c r="C111" s="118" t="s">
        <v>0</v>
      </c>
      <c r="I111" s="57"/>
    </row>
    <row r="112" spans="1:16" x14ac:dyDescent="0.2">
      <c r="A112" s="223" t="s">
        <v>422</v>
      </c>
      <c r="B112" s="326">
        <v>0.12</v>
      </c>
      <c r="C112" s="118" t="s">
        <v>0</v>
      </c>
      <c r="D112" s="2" t="s">
        <v>834</v>
      </c>
      <c r="E112" s="621" t="s">
        <v>949</v>
      </c>
      <c r="I112" s="57"/>
    </row>
    <row r="113" spans="1:12" x14ac:dyDescent="0.2">
      <c r="A113" s="223" t="s">
        <v>739</v>
      </c>
      <c r="B113" s="524">
        <v>0.13800000000000001</v>
      </c>
      <c r="C113" s="118" t="s">
        <v>0</v>
      </c>
      <c r="E113" s="621" t="s">
        <v>951</v>
      </c>
      <c r="I113" s="57"/>
    </row>
    <row r="114" spans="1:12" x14ac:dyDescent="0.2">
      <c r="I114" s="57"/>
    </row>
    <row r="115" spans="1:12" x14ac:dyDescent="0.2">
      <c r="A115" s="572" t="s">
        <v>828</v>
      </c>
      <c r="B115" s="118"/>
      <c r="C115" s="118"/>
      <c r="I115" s="57"/>
    </row>
    <row r="116" spans="1:12" x14ac:dyDescent="0.2">
      <c r="A116" s="223" t="s">
        <v>824</v>
      </c>
      <c r="B116" s="329">
        <f>IF(VIN_min&gt;Vout,Buck_CS_threshold/B102, Boost_CS_Threshold/B102)</f>
        <v>5.2422424187445705E-3</v>
      </c>
      <c r="C116" s="225" t="s">
        <v>120</v>
      </c>
      <c r="D116" t="str">
        <f>IF(VIN_min&gt;Vout, "BUCK", "BOOST")</f>
        <v>BOOST</v>
      </c>
      <c r="I116" s="57"/>
    </row>
    <row r="117" spans="1:12" x14ac:dyDescent="0.2">
      <c r="A117" s="223" t="s">
        <v>825</v>
      </c>
      <c r="B117" s="329">
        <f>IF(VIN_nom&gt;Vout,Buck_CS_threshold/B103, Boost_CS_Threshold/B103)</f>
        <v>7.9517227009923402E-3</v>
      </c>
      <c r="C117" s="225" t="s">
        <v>120</v>
      </c>
      <c r="D117" t="str">
        <f>IF(VIN_nom&gt;Vout, "BUCK", "BOOST")</f>
        <v>BOOST</v>
      </c>
      <c r="I117" s="57"/>
    </row>
    <row r="118" spans="1:12" x14ac:dyDescent="0.2">
      <c r="A118" s="223" t="s">
        <v>826</v>
      </c>
      <c r="B118" s="329">
        <f>IF(VIN_max&gt;Vout,Buck_CS_threshold/B104, Boost_CS_Threshold/B104)</f>
        <v>6.3081189254235812E-3</v>
      </c>
      <c r="C118" s="225" t="s">
        <v>120</v>
      </c>
      <c r="D118" t="str">
        <f>IF(VIN_max&gt;Vout, "BUCK", "BOOST")</f>
        <v>BUCK</v>
      </c>
      <c r="I118" s="57"/>
    </row>
    <row r="119" spans="1:12" x14ac:dyDescent="0.2">
      <c r="A119" s="223" t="s">
        <v>829</v>
      </c>
      <c r="B119" s="329">
        <f>IF(VIN_min&lt;VIN_edgebuckboost,Buck_CS_threshold/B105, 10)</f>
        <v>3.8944470775530561E-3</v>
      </c>
      <c r="C119" s="225" t="s">
        <v>120</v>
      </c>
      <c r="D119" s="118" t="s">
        <v>830</v>
      </c>
      <c r="I119" s="57"/>
    </row>
    <row r="120" spans="1:12" x14ac:dyDescent="0.2">
      <c r="A120" s="223"/>
      <c r="B120" s="30"/>
      <c r="C120" s="225"/>
      <c r="I120" s="57"/>
    </row>
    <row r="121" spans="1:12" x14ac:dyDescent="0.2">
      <c r="A121" s="223" t="s">
        <v>429</v>
      </c>
      <c r="B121" s="330">
        <f>MIN(B116:B118)</f>
        <v>5.2422424187445705E-3</v>
      </c>
      <c r="C121" s="225" t="s">
        <v>120</v>
      </c>
      <c r="E121" s="118" t="s">
        <v>827</v>
      </c>
      <c r="I121" s="57"/>
    </row>
    <row r="122" spans="1:12" x14ac:dyDescent="0.2">
      <c r="A122" s="223" t="s">
        <v>200</v>
      </c>
      <c r="B122" s="570">
        <f>'Design Converter'!E28/1000</f>
        <v>1.4999999999999999E-2</v>
      </c>
      <c r="C122" s="225" t="s">
        <v>120</v>
      </c>
      <c r="E122" s="118" t="s">
        <v>435</v>
      </c>
      <c r="I122" s="57"/>
      <c r="K122" s="118"/>
      <c r="L122" s="118"/>
    </row>
    <row r="123" spans="1:12" x14ac:dyDescent="0.2">
      <c r="A123" s="223"/>
      <c r="B123" s="446"/>
      <c r="C123" s="225"/>
      <c r="E123" s="118"/>
      <c r="I123" s="57"/>
      <c r="K123" s="118"/>
      <c r="L123" s="118"/>
    </row>
    <row r="124" spans="1:12" x14ac:dyDescent="0.2">
      <c r="A124" s="223" t="s">
        <v>595</v>
      </c>
      <c r="B124" s="4">
        <f>Boost_CS_Threshold/Rs</f>
        <v>8</v>
      </c>
      <c r="C124" s="118" t="s">
        <v>2</v>
      </c>
      <c r="E124" s="118" t="s">
        <v>822</v>
      </c>
      <c r="I124" s="57"/>
    </row>
    <row r="125" spans="1:12" x14ac:dyDescent="0.2">
      <c r="A125" s="223" t="s">
        <v>735</v>
      </c>
      <c r="B125" s="4">
        <f>Buck_CS_threshold/Rs</f>
        <v>5.3333333333333339</v>
      </c>
      <c r="C125" s="118" t="s">
        <v>2</v>
      </c>
      <c r="E125" s="118" t="s">
        <v>823</v>
      </c>
      <c r="I125" s="57"/>
    </row>
    <row r="126" spans="1:12" x14ac:dyDescent="0.2">
      <c r="A126" s="223"/>
      <c r="I126" s="57"/>
    </row>
    <row r="127" spans="1:12" ht="15.75" x14ac:dyDescent="0.3">
      <c r="A127" s="223" t="s">
        <v>596</v>
      </c>
      <c r="B127" s="337">
        <f>IF(VIN_min&gt;Vout,Buck_CS_threshold/Rs+Iripple_Vinmin/2, (Boost_CS_Threshold/Rs-Iripple_Vinmin/2)*(1-Don_Vinmin_2))</f>
        <v>5.4366178922959216</v>
      </c>
      <c r="C127" t="s">
        <v>2</v>
      </c>
      <c r="D127" t="str">
        <f>IF(VIN_min&gt;Vout, "BUCK", "BOOST")</f>
        <v>BOOST</v>
      </c>
      <c r="E127" s="118" t="s">
        <v>602</v>
      </c>
      <c r="I127" s="57"/>
    </row>
    <row r="128" spans="1:12" x14ac:dyDescent="0.2">
      <c r="A128" s="223" t="s">
        <v>658</v>
      </c>
      <c r="B128" s="337">
        <f>IF(VIN_nom&gt;Vout,Buck_CS_threshold/Rs+Iripple_Vinnom/2, IF(VIN_nom&lt;VIN_edgebuckboost,(Boost_CS_Threshold/Rs-Iripple_Vinnom/2)*(1-Don_Vinnom_2),(Buck_CS_threshold/Rs-Iripple_Vinnom/2)*(1-Don_Vinnom_2)))</f>
        <v>5.290234817443296</v>
      </c>
      <c r="C128" t="s">
        <v>2</v>
      </c>
      <c r="D128" t="str">
        <f>IF(VIN_nom&gt;Vout,"BUCK",IF(VIN_nom&lt;VIN_edgebuckboost,"BOOST","BUCK-BOOST"))</f>
        <v>BUCK-BOOST</v>
      </c>
      <c r="I128" s="57"/>
    </row>
    <row r="129" spans="1:14" x14ac:dyDescent="0.2">
      <c r="A129" s="223" t="s">
        <v>597</v>
      </c>
      <c r="B129" s="337">
        <f>IF(VIN_max&gt;Vout, Buck_CS_threshold/Rs+Iripple_Vinmax/2, (Boost_CS_Threshold/Rs-Iripple_Vinmax/2)*(1-Don_Vinmax_2))</f>
        <v>7.6512642496994827</v>
      </c>
      <c r="C129" t="s">
        <v>2</v>
      </c>
      <c r="D129" t="str">
        <f>IF(VIN_max&gt;Vout, "BUCK", "BOOST")</f>
        <v>BUCK</v>
      </c>
      <c r="I129" s="57"/>
    </row>
    <row r="130" spans="1:14" x14ac:dyDescent="0.2">
      <c r="A130" s="223" t="s">
        <v>811</v>
      </c>
      <c r="B130" s="337">
        <f>(Buck_CS_threshold/Rs-Iripple_edgebuckboost/2)*(1-Don_buckboost)</f>
        <v>3.1676037679886164</v>
      </c>
      <c r="C130" t="s">
        <v>2</v>
      </c>
      <c r="D130" s="2" t="s">
        <v>831</v>
      </c>
      <c r="I130" s="57"/>
      <c r="K130" s="118" t="s">
        <v>741</v>
      </c>
      <c r="M130" s="118" t="s">
        <v>742</v>
      </c>
    </row>
    <row r="131" spans="1:14" x14ac:dyDescent="0.2">
      <c r="A131" s="223"/>
      <c r="B131" s="118"/>
      <c r="C131"/>
      <c r="I131" s="57"/>
      <c r="K131" s="118"/>
      <c r="M131" s="118"/>
    </row>
    <row r="132" spans="1:14" x14ac:dyDescent="0.2">
      <c r="A132" s="223" t="s">
        <v>598</v>
      </c>
      <c r="B132" s="573">
        <f>IF(VIN_min&gt;Vout, Buck_CS_threshold/Rs+Iripple_Vinmin, Boost_CS_Threshold/Rs)</f>
        <v>8</v>
      </c>
      <c r="C132" t="s">
        <v>2</v>
      </c>
      <c r="D132" t="str">
        <f>IF(VIN_min&gt;Vout, "BUCK", "BOOST")</f>
        <v>BOOST</v>
      </c>
      <c r="E132" s="118" t="s">
        <v>601</v>
      </c>
      <c r="H132">
        <f>SQRT(Don_Vinmin_2)*SQRT(Iin_Vinmin^2+(Iripple_Vinmin^2)/12)</f>
        <v>3.0189083247521187</v>
      </c>
      <c r="I132" s="57"/>
      <c r="K132" s="48">
        <f>IF(VIN_min&gt;Vout, SQRT(1-Don_Vinmin_2)*SQRT(Iout_OCP_Vinmin^2+(Iripple_Vinmin^2)/12), SQRT(Don_Vinmin_2)*SQRT(Iin_Vinmin^2+(Iripple_Vinmin^2)/12))</f>
        <v>3.0189083247521187</v>
      </c>
      <c r="L132" s="2" t="s">
        <v>2</v>
      </c>
      <c r="M132" s="4">
        <f>K132^2*Rs</f>
        <v>0.13670711209886466</v>
      </c>
      <c r="N132" s="2" t="s">
        <v>120</v>
      </c>
    </row>
    <row r="133" spans="1:14" x14ac:dyDescent="0.2">
      <c r="A133" s="223" t="s">
        <v>599</v>
      </c>
      <c r="B133" s="573">
        <f>IF(VIN_nom&gt;Vout, Buck_CS_threshold/Rs+Iripple_Vinnom, IF(VIN_nom&lt;VIN_edgebuckboost, Boost_CS_Threshold/Rs, Buck_CS_threshold/Rs))</f>
        <v>5.3333333333333339</v>
      </c>
      <c r="C133" t="s">
        <v>2</v>
      </c>
      <c r="D133" t="str">
        <f>IF(VIN_nom&gt;Vout,"BUCK",IF(VIN_nom&lt;VIN_edgebuckboost,"BOOST","BUCK-BOOST"))</f>
        <v>BUCK-BOOST</v>
      </c>
      <c r="H133">
        <f>SQRT(1-Don_Vinnom_2)*SQRT(Iout_OCP_Vinnom^2+(Iripple_Vinnom^2)/12)</f>
        <v>5.2772239084212238</v>
      </c>
      <c r="I133" s="57"/>
      <c r="K133" s="48">
        <f>IF(VIN_nom&gt;Vout, SQRT(1-Don_Vinnom_2)*SQRT(Iout_OCP_Vinnom^2+(Iripple_Vinnom^2)/12), SQRT(Don_Vinnom_2)*SQRT(Iin_Vinnom^2+(Iripple_Vinnom^2)/12))</f>
        <v>0.31162576436435802</v>
      </c>
      <c r="L133" s="2" t="s">
        <v>2</v>
      </c>
      <c r="M133" s="4">
        <f>K133^2*Rs</f>
        <v>1.4566592552350559E-3</v>
      </c>
      <c r="N133" s="2" t="s">
        <v>120</v>
      </c>
    </row>
    <row r="134" spans="1:14" x14ac:dyDescent="0.2">
      <c r="A134" s="223" t="s">
        <v>600</v>
      </c>
      <c r="B134" s="573">
        <f>IF(VIN_max&gt;Vout, Buck_CS_threshold/Rs+Iripple_Vinmax, Boost_CS_Threshold/Rs)</f>
        <v>9.9691951660656315</v>
      </c>
      <c r="C134" t="s">
        <v>2</v>
      </c>
      <c r="D134" t="str">
        <f>IF(VIN_max&gt;Vout, "BUCK", "BOOST")</f>
        <v>BUCK</v>
      </c>
      <c r="H134">
        <f>SQRT(1-Don_Vinmax_2)*SQRT(Iout_OCP_Vinmax^2+(Iripple_Vinmax^2)/12)</f>
        <v>6.329817301970543</v>
      </c>
      <c r="I134" s="57"/>
      <c r="K134" s="48">
        <f>IF(VIN_max&gt;Vout, SQRT(1-Don_Vinmax_2)*SQRT(Iout_OCP_Vinmax^2+(Iripple_Vinmax^2)/12), SQRT(Don_Vinmax_2)*SQRT(Iin_Vinmax^2+(Iripple_Vinmax^2)/12))</f>
        <v>6.329817301970543</v>
      </c>
      <c r="L134" s="525" t="s">
        <v>2</v>
      </c>
      <c r="M134" s="4">
        <f>K134^2*Rs</f>
        <v>0.60099880614488466</v>
      </c>
      <c r="N134" s="2" t="s">
        <v>120</v>
      </c>
    </row>
    <row r="135" spans="1:14" x14ac:dyDescent="0.2">
      <c r="A135" s="223" t="s">
        <v>939</v>
      </c>
      <c r="B135" s="574">
        <f>MAX(B132:B134)</f>
        <v>9.9691951660656315</v>
      </c>
      <c r="C135" s="118" t="s">
        <v>2</v>
      </c>
      <c r="I135" s="57"/>
      <c r="K135" s="622" t="s">
        <v>957</v>
      </c>
      <c r="L135" s="525"/>
      <c r="M135" s="4"/>
      <c r="N135" s="2"/>
    </row>
    <row r="136" spans="1:14" x14ac:dyDescent="0.2">
      <c r="A136" s="223"/>
      <c r="B136" s="526"/>
      <c r="C136"/>
      <c r="I136" s="57"/>
    </row>
    <row r="137" spans="1:14" x14ac:dyDescent="0.2">
      <c r="A137" s="223" t="s">
        <v>659</v>
      </c>
      <c r="B137" s="574">
        <f>MAX(B132:B134)</f>
        <v>9.9691951660656315</v>
      </c>
      <c r="C137" t="s">
        <v>2</v>
      </c>
      <c r="E137" t="s">
        <v>660</v>
      </c>
      <c r="I137" s="57"/>
    </row>
    <row r="138" spans="1:14" x14ac:dyDescent="0.2">
      <c r="A138" s="223"/>
      <c r="B138" s="4"/>
      <c r="C138" s="118"/>
      <c r="I138" s="57"/>
    </row>
    <row r="139" spans="1:14" x14ac:dyDescent="0.2">
      <c r="A139" s="223" t="s">
        <v>436</v>
      </c>
      <c r="B139" s="328">
        <f>Lf/Rs*0.4*10^6</f>
        <v>125.33333333333333</v>
      </c>
      <c r="C139" s="118" t="s">
        <v>32</v>
      </c>
      <c r="E139" s="621" t="s">
        <v>945</v>
      </c>
      <c r="I139" s="57"/>
    </row>
    <row r="140" spans="1:14" x14ac:dyDescent="0.2">
      <c r="A140" s="223" t="s">
        <v>439</v>
      </c>
      <c r="B140" s="331">
        <f>'Standard Value Calculator'!O14</f>
        <v>120</v>
      </c>
      <c r="C140" s="118" t="s">
        <v>32</v>
      </c>
      <c r="E140" s="118" t="s">
        <v>743</v>
      </c>
      <c r="I140" s="57"/>
    </row>
    <row r="141" spans="1:14" x14ac:dyDescent="0.2">
      <c r="A141" s="223" t="s">
        <v>440</v>
      </c>
      <c r="B141" s="334">
        <f>'Design Converter'!E32</f>
        <v>120</v>
      </c>
      <c r="C141" s="118" t="s">
        <v>32</v>
      </c>
      <c r="E141" s="118" t="s">
        <v>815</v>
      </c>
      <c r="I141" s="57"/>
    </row>
    <row r="142" spans="1:14" x14ac:dyDescent="0.2">
      <c r="A142" s="223"/>
      <c r="B142" s="225"/>
      <c r="C142" s="118"/>
      <c r="E142" s="118"/>
      <c r="I142" s="57"/>
    </row>
    <row r="143" spans="1:14" x14ac:dyDescent="0.2">
      <c r="A143" s="223" t="s">
        <v>445</v>
      </c>
      <c r="B143" s="443">
        <v>3.9999999999999998E-6</v>
      </c>
      <c r="C143" s="118" t="s">
        <v>2</v>
      </c>
      <c r="E143" s="118"/>
      <c r="I143" s="57"/>
    </row>
    <row r="144" spans="1:14" x14ac:dyDescent="0.2">
      <c r="A144" s="223"/>
      <c r="B144" s="4"/>
      <c r="C144" s="225"/>
      <c r="D144" s="118"/>
      <c r="G144" s="458">
        <f>Islope_fixed/(Cslope*10^-12)</f>
        <v>33333.333333333328</v>
      </c>
      <c r="I144" s="57"/>
    </row>
    <row r="145" spans="1:14" x14ac:dyDescent="0.2">
      <c r="A145" s="223" t="s">
        <v>446</v>
      </c>
      <c r="B145" s="332">
        <f>(ABS((VIN_min-Vout))*2*10^-6 + Islope_fixed)/(Cslope*10^-12)</f>
        <v>83333.333333333328</v>
      </c>
      <c r="C145" s="118" t="s">
        <v>441</v>
      </c>
      <c r="E145" t="s">
        <v>442</v>
      </c>
      <c r="I145" s="57"/>
    </row>
    <row r="146" spans="1:14" x14ac:dyDescent="0.2">
      <c r="A146" s="223" t="s">
        <v>446</v>
      </c>
      <c r="B146" s="332">
        <f>(ABS((VIN_nom-Vout))*2*10^-6 + Islope_fixed)/(Cslope*10^-12)</f>
        <v>33333.333333333328</v>
      </c>
      <c r="C146" s="118" t="s">
        <v>441</v>
      </c>
      <c r="E146" s="118" t="s">
        <v>443</v>
      </c>
      <c r="I146" s="57"/>
    </row>
    <row r="147" spans="1:14" x14ac:dyDescent="0.2">
      <c r="A147" s="223" t="s">
        <v>446</v>
      </c>
      <c r="B147" s="332">
        <f>(ABS((VIN_max-Vout))*2*10^-6 + Islope_fixed)/(Cslope*10^-12)</f>
        <v>433333.33333333337</v>
      </c>
      <c r="C147" s="118" t="s">
        <v>441</v>
      </c>
      <c r="E147" s="118" t="s">
        <v>444</v>
      </c>
      <c r="I147" s="57"/>
    </row>
    <row r="148" spans="1:14" x14ac:dyDescent="0.2">
      <c r="C148"/>
      <c r="I148" s="57"/>
      <c r="K148" s="2" t="s">
        <v>447</v>
      </c>
      <c r="L148" s="2" t="s">
        <v>448</v>
      </c>
    </row>
    <row r="149" spans="1:14" x14ac:dyDescent="0.2">
      <c r="A149" s="223" t="s">
        <v>460</v>
      </c>
      <c r="B149" s="575">
        <f>IF(D149="BUCK", K149,L149)</f>
        <v>5.8205593653354842E-2</v>
      </c>
      <c r="C149" s="118" t="s">
        <v>0</v>
      </c>
      <c r="D149" t="str">
        <f>IF(VIN_min&gt;Vout, "BUCK", "BOOST")</f>
        <v>BOOST</v>
      </c>
      <c r="E149" t="s">
        <v>442</v>
      </c>
      <c r="I149" s="57"/>
      <c r="K149" s="335">
        <f>B145*(1-Don_Vinmin_2)/Fsw</f>
        <v>0.16701963157187039</v>
      </c>
      <c r="L149" s="335">
        <f>B145*Don_Vinmin_2/Fsw</f>
        <v>5.8205593653354842E-2</v>
      </c>
      <c r="N149" t="str">
        <f>IF(VIN_min&gt;Vout, "BUCK", "BOOST")</f>
        <v>BOOST</v>
      </c>
    </row>
    <row r="150" spans="1:14" x14ac:dyDescent="0.2">
      <c r="A150" s="223" t="s">
        <v>461</v>
      </c>
      <c r="B150" s="575">
        <f>IF(D150="BUCK", K150,L150)</f>
        <v>4.4290100156021923E-4</v>
      </c>
      <c r="C150" s="118" t="s">
        <v>0</v>
      </c>
      <c r="D150" t="str">
        <f>IF(VIN_nom&gt;Vout,"BUCK",IF(VIN_nom&lt;VIN_edgebuckboost,"BOOST","BUCK-BOOST"))</f>
        <v>BUCK-BOOST</v>
      </c>
      <c r="E150" s="118" t="s">
        <v>443</v>
      </c>
      <c r="I150" s="57"/>
      <c r="K150" s="335">
        <f>B146*(1-Don_Vinnom_2)/Fsw</f>
        <v>8.9647189088529852E-2</v>
      </c>
      <c r="L150" s="335">
        <f>B146*Don_Vinnom_2/Fsw</f>
        <v>4.4290100156021923E-4</v>
      </c>
      <c r="N150" t="str">
        <f>IF(VIN_nom&gt;Vout, "BUCK", "BOOST")</f>
        <v>BOOST</v>
      </c>
    </row>
    <row r="151" spans="1:14" x14ac:dyDescent="0.2">
      <c r="A151" s="223" t="s">
        <v>462</v>
      </c>
      <c r="B151" s="575">
        <f>IF(D151="BUCK", K151,L151)</f>
        <v>0.77776678508791675</v>
      </c>
      <c r="C151" s="118" t="s">
        <v>0</v>
      </c>
      <c r="D151" t="str">
        <f>IF(VIN_max&gt;Vout, "BUCK", "BOOST")</f>
        <v>BUCK</v>
      </c>
      <c r="E151" s="118" t="s">
        <v>444</v>
      </c>
      <c r="I151" s="57"/>
      <c r="K151" s="335">
        <f>B147*(1-Don_Vinmax_2)/Fsw</f>
        <v>0.77776678508791675</v>
      </c>
      <c r="L151" s="335">
        <f>B147*Don_Vinmax_2/Fsw</f>
        <v>0.39340438608325462</v>
      </c>
      <c r="N151" t="str">
        <f>IF(VIN_max&gt;Vout, "BUCK", "BOOST")</f>
        <v>BUCK</v>
      </c>
    </row>
    <row r="152" spans="1:14" x14ac:dyDescent="0.2">
      <c r="A152" s="223"/>
      <c r="C152" s="225"/>
      <c r="E152" s="118"/>
      <c r="I152" s="57"/>
    </row>
    <row r="153" spans="1:14" x14ac:dyDescent="0.2">
      <c r="A153" s="56"/>
      <c r="D153" s="225"/>
      <c r="E153" s="118"/>
      <c r="I153" s="57"/>
    </row>
    <row r="154" spans="1:14" x14ac:dyDescent="0.2">
      <c r="A154" s="223" t="s">
        <v>451</v>
      </c>
      <c r="B154" s="424">
        <f>'Design Converter'!E36</f>
        <v>12</v>
      </c>
      <c r="C154" s="118" t="s">
        <v>2</v>
      </c>
      <c r="D154" s="225"/>
      <c r="E154" s="118"/>
      <c r="I154" s="57"/>
    </row>
    <row r="155" spans="1:14" x14ac:dyDescent="0.2">
      <c r="A155" s="223" t="s">
        <v>452</v>
      </c>
      <c r="B155" s="336">
        <v>50</v>
      </c>
      <c r="C155" s="118" t="s">
        <v>381</v>
      </c>
      <c r="E155" s="621" t="s">
        <v>948</v>
      </c>
      <c r="I155" s="57"/>
    </row>
    <row r="156" spans="1:14" x14ac:dyDescent="0.2">
      <c r="A156" s="223" t="s">
        <v>453</v>
      </c>
      <c r="B156" s="332">
        <f>IF(Constant_Current_Loop_Setpoint="N/A", 0, Iout_threshold/Constant_Current_Loop_Setpoint)</f>
        <v>4.166666666666667</v>
      </c>
      <c r="C156" s="45" t="s">
        <v>437</v>
      </c>
      <c r="I156" s="57"/>
    </row>
    <row r="157" spans="1:14" ht="13.5" thickBot="1" x14ac:dyDescent="0.25">
      <c r="A157" s="60"/>
      <c r="B157" s="61"/>
      <c r="C157" s="61"/>
      <c r="D157" s="61"/>
      <c r="E157" s="122"/>
      <c r="F157" s="61"/>
      <c r="G157" s="61"/>
      <c r="H157" s="61"/>
      <c r="I157" s="62"/>
    </row>
    <row r="159" spans="1:14" ht="16.5" thickBot="1" x14ac:dyDescent="0.3">
      <c r="A159" s="596" t="s">
        <v>170</v>
      </c>
      <c r="D159" s="2"/>
    </row>
    <row r="160" spans="1:14" x14ac:dyDescent="0.2">
      <c r="A160" s="222" t="s">
        <v>457</v>
      </c>
      <c r="B160" s="339">
        <f>IF(D160="BUCK", Iripple_Vinmin/SQRT(12), Iout*SQRT((Vout-VIN_min)/VIN_min))</f>
        <v>2.3094010767585029</v>
      </c>
      <c r="C160" s="338" t="s">
        <v>2</v>
      </c>
      <c r="D160" s="311" t="str">
        <f>IF(VIN_min&gt;Vout, "BUCK", "BOOST")</f>
        <v>BOOST</v>
      </c>
      <c r="E160" s="121" t="s">
        <v>456</v>
      </c>
      <c r="F160" s="63"/>
      <c r="G160" s="63"/>
      <c r="H160" s="63"/>
      <c r="I160" s="64"/>
      <c r="L160" s="4"/>
    </row>
    <row r="161" spans="1:12" x14ac:dyDescent="0.2">
      <c r="A161" s="223" t="s">
        <v>458</v>
      </c>
      <c r="B161" s="337">
        <f>IF(D161="BUCK", Iripple_Vinnom/SQRT(12), Iout*SQRT((Vout-VIN_nom)/VIN_nom))</f>
        <v>0</v>
      </c>
      <c r="C161" s="118" t="s">
        <v>2</v>
      </c>
      <c r="D161" t="str">
        <f>IF(VIN_nom&gt;Vout,"BUCK",IF(VIN_nom&lt;VIN_edgebuckboost,"BOOST","BUCK-BOOST"))</f>
        <v>BUCK-BOOST</v>
      </c>
      <c r="E161" s="118"/>
      <c r="I161" s="57"/>
      <c r="L161" s="4"/>
    </row>
    <row r="162" spans="1:12" x14ac:dyDescent="0.2">
      <c r="A162" s="223" t="s">
        <v>459</v>
      </c>
      <c r="B162" s="337">
        <f>IF(D162="BUCK", Iripple_Vinmax/SQRT(12), Iout*SQRT((Vout-VIN_max)/VIN_max))</f>
        <v>1.338258038526952</v>
      </c>
      <c r="C162" s="118" t="s">
        <v>2</v>
      </c>
      <c r="D162" t="str">
        <f>IF(VIN_max&gt;Vout, "BUCK", "BOOST")</f>
        <v>BUCK</v>
      </c>
      <c r="E162" s="118"/>
      <c r="I162" s="57"/>
      <c r="L162" s="4"/>
    </row>
    <row r="163" spans="1:12" x14ac:dyDescent="0.2">
      <c r="A163" s="223" t="s">
        <v>838</v>
      </c>
      <c r="B163" s="337">
        <f>MAX(B160:B162)</f>
        <v>2.3094010767585029</v>
      </c>
      <c r="C163" s="118" t="s">
        <v>2</v>
      </c>
      <c r="E163" s="118"/>
      <c r="I163" s="57"/>
      <c r="L163" s="4"/>
    </row>
    <row r="164" spans="1:12" x14ac:dyDescent="0.2">
      <c r="A164" s="223"/>
      <c r="B164" s="48"/>
      <c r="C164" s="118"/>
      <c r="E164" s="118"/>
      <c r="I164" s="57"/>
      <c r="L164" s="4"/>
    </row>
    <row r="165" spans="1:12" x14ac:dyDescent="0.2">
      <c r="A165" s="223" t="s">
        <v>574</v>
      </c>
      <c r="B165" s="447">
        <f>Vripple1*1000</f>
        <v>200</v>
      </c>
      <c r="C165" s="118" t="s">
        <v>381</v>
      </c>
      <c r="E165" s="118" t="s">
        <v>604</v>
      </c>
      <c r="I165" s="57"/>
      <c r="L165" s="4"/>
    </row>
    <row r="166" spans="1:12" x14ac:dyDescent="0.2">
      <c r="A166" s="56"/>
      <c r="B166" s="118"/>
      <c r="E166" s="118"/>
      <c r="I166" s="57"/>
    </row>
    <row r="167" spans="1:12" x14ac:dyDescent="0.2">
      <c r="A167" s="66" t="s">
        <v>24</v>
      </c>
      <c r="B167" s="459">
        <f>IF(VIN_min&gt;Vout, Iripple_Vinmin/(Fsw*8*Vripple1), Iout*Don_Vinmin_2/(Vripple1*Fsw))</f>
        <v>1.3969342476805161E-5</v>
      </c>
      <c r="C167" t="s">
        <v>26</v>
      </c>
      <c r="E167" t="s">
        <v>23</v>
      </c>
      <c r="H167">
        <f>Vripple2</f>
        <v>0.12069940225164105</v>
      </c>
      <c r="I167" s="57">
        <v>1</v>
      </c>
      <c r="K167" s="1">
        <f>Coutmin</f>
        <v>1.3969342476805161E-5</v>
      </c>
    </row>
    <row r="168" spans="1:12" x14ac:dyDescent="0.2">
      <c r="A168" s="223" t="s">
        <v>845</v>
      </c>
      <c r="B168" s="521">
        <f>IF(Coutmin*1000000&lt;22, 22,Coutmin*1000000)</f>
        <v>22</v>
      </c>
      <c r="C168" s="42" t="s">
        <v>25</v>
      </c>
      <c r="I168" s="57"/>
      <c r="K168" s="1">
        <f>Coutmin*1000000</f>
        <v>13.969342476805162</v>
      </c>
    </row>
    <row r="169" spans="1:12" x14ac:dyDescent="0.2">
      <c r="A169" s="223" t="s">
        <v>27</v>
      </c>
      <c r="B169" s="460">
        <f>'Design Converter'!E42/1000000</f>
        <v>2.2000000000000001E-4</v>
      </c>
      <c r="C169" t="s">
        <v>26</v>
      </c>
      <c r="E169" s="118" t="s">
        <v>463</v>
      </c>
      <c r="I169" s="57">
        <v>1</v>
      </c>
    </row>
    <row r="170" spans="1:12" x14ac:dyDescent="0.2">
      <c r="A170" s="66" t="s">
        <v>52</v>
      </c>
      <c r="B170" s="522">
        <f>IF(VIN_min&gt;Vout, SQRT((Vripple1/Iripple_Vinmin)^2-(1/(Fsw*Cout*8))^2), (Vripple1-Iout*Don_Vinmin_2/(Fsw*Cout))/Iout)</f>
        <v>4.6825149437089736E-2</v>
      </c>
      <c r="C170" s="225" t="s">
        <v>120</v>
      </c>
      <c r="E170" s="118" t="s">
        <v>301</v>
      </c>
      <c r="I170" s="57">
        <v>1</v>
      </c>
    </row>
    <row r="171" spans="1:12" x14ac:dyDescent="0.2">
      <c r="A171" s="2"/>
      <c r="B171" s="578"/>
      <c r="C171" s="225"/>
      <c r="E171" s="118"/>
      <c r="I171" s="57"/>
    </row>
    <row r="172" spans="1:12" x14ac:dyDescent="0.2">
      <c r="A172" s="519" t="s">
        <v>725</v>
      </c>
      <c r="B172" s="520">
        <f>IF(OR(CoutEsrMax&gt;0.3, CoutEsrMax&lt;0, (ISERROR(CoutEsrMax))), "N/A", CoutEsrMax*1000)</f>
        <v>46.825149437089735</v>
      </c>
      <c r="C172" s="45" t="s">
        <v>437</v>
      </c>
      <c r="E172" s="118"/>
      <c r="I172" s="57"/>
    </row>
    <row r="173" spans="1:12" x14ac:dyDescent="0.2">
      <c r="A173" s="223" t="s">
        <v>168</v>
      </c>
      <c r="B173" s="448">
        <f>'Design Converter'!E44/1000</f>
        <v>2.7E-2</v>
      </c>
      <c r="C173" s="225" t="s">
        <v>120</v>
      </c>
      <c r="E173" s="118" t="s">
        <v>302</v>
      </c>
      <c r="I173" s="57">
        <v>1</v>
      </c>
      <c r="K173" t="b">
        <f>ISERROR(CoutEsrMax)</f>
        <v>0</v>
      </c>
      <c r="L173" t="b">
        <f>ISERROR(B172)</f>
        <v>0</v>
      </c>
    </row>
    <row r="174" spans="1:12" ht="13.5" thickBot="1" x14ac:dyDescent="0.25">
      <c r="A174" s="411" t="s">
        <v>230</v>
      </c>
      <c r="B174" s="449">
        <f>IF(VIN_min&gt;Vout, Iripple_Vinmax*SQRT(CoutEsr^2+(1/(8*Fsw*Cout))^2), CoutEsr*Iout+Iout*Don_Vinmin_2/(Fsw*Cout))</f>
        <v>0.12069940225164105</v>
      </c>
      <c r="C174" s="109" t="s">
        <v>42</v>
      </c>
      <c r="D174" s="61"/>
      <c r="E174" s="61"/>
      <c r="F174" s="61"/>
      <c r="G174" s="61"/>
      <c r="H174" s="61"/>
      <c r="I174" s="62"/>
      <c r="L174" t="b">
        <f>OR(CoutEsrMax&gt;0.3,CoutEsrMax&lt;0)</f>
        <v>0</v>
      </c>
    </row>
    <row r="175" spans="1:12" x14ac:dyDescent="0.2">
      <c r="K175" t="b">
        <f>OR(TRUE, FALSE, TRUE)</f>
        <v>1</v>
      </c>
    </row>
    <row r="176" spans="1:12" ht="16.5" thickBot="1" x14ac:dyDescent="0.3">
      <c r="A176" s="596" t="s">
        <v>171</v>
      </c>
    </row>
    <row r="177" spans="1:11" ht="15.75" x14ac:dyDescent="0.25">
      <c r="A177" s="99"/>
      <c r="B177" s="100"/>
      <c r="C177" s="342"/>
      <c r="D177" s="100"/>
      <c r="E177" s="100"/>
      <c r="F177" s="100"/>
      <c r="G177" s="100"/>
      <c r="H177" s="100"/>
      <c r="I177" s="101"/>
    </row>
    <row r="178" spans="1:11" x14ac:dyDescent="0.2">
      <c r="A178" s="223" t="s">
        <v>835</v>
      </c>
      <c r="B178" s="116">
        <f>IF(D178="BUCK", Iout*SQRT(Don_Vinmin_2*(1-Don_Vinmax_2)), Iripple_Vinmin/SQRT(12))</f>
        <v>0.38610017422590326</v>
      </c>
      <c r="C178" s="97" t="s">
        <v>2</v>
      </c>
      <c r="D178" t="str">
        <f>IF(VIN_min&gt;Vout, "BUCK", "BOOST")</f>
        <v>BOOST</v>
      </c>
      <c r="F178" s="430">
        <f>Iripple_Vinmin/SQRT(12)</f>
        <v>0.38610017422590326</v>
      </c>
      <c r="G178" s="386">
        <f>Iout*SQRT(Don_Vinmax_2*(1-Don_Vinmax_2))</f>
        <v>1.8892259956790638</v>
      </c>
      <c r="H178" s="120">
        <f>Iout*0.25</f>
        <v>1</v>
      </c>
      <c r="I178" s="103"/>
    </row>
    <row r="179" spans="1:11" x14ac:dyDescent="0.2">
      <c r="A179" s="223" t="s">
        <v>836</v>
      </c>
      <c r="B179" s="116">
        <f>IF(D179="BUCK", Iout*SQRT(Don_Vinnom_2*(1-Don_Vinnom_2)), Iripple_Vinnom/SQRT(12))</f>
        <v>9.7931111160694806E-3</v>
      </c>
      <c r="C179" s="97" t="s">
        <v>2</v>
      </c>
      <c r="D179" t="str">
        <f>IF(VIN_nom&gt;Vout,"BUCK",IF(VIN_nom&lt;VIN_edgebuckboost,"BOOST","BUCK-BOOST"))</f>
        <v>BUCK-BOOST</v>
      </c>
      <c r="F179" s="430"/>
      <c r="G179" s="386"/>
      <c r="I179" s="103"/>
    </row>
    <row r="180" spans="1:11" x14ac:dyDescent="0.2">
      <c r="A180" s="223" t="s">
        <v>837</v>
      </c>
      <c r="B180" s="116">
        <f>IF(D180="BUCK", Iout*SQRT(Don_Vinmax_2*(1-Don_Vinmax_2)), Iripple_Vinmax/SQRT(12))</f>
        <v>1.8892259956790638</v>
      </c>
      <c r="C180" s="97" t="s">
        <v>2</v>
      </c>
      <c r="D180" t="str">
        <f>IF(VIN_max&gt;Vout, "BUCK", "BOOST")</f>
        <v>BUCK</v>
      </c>
      <c r="F180" s="430"/>
      <c r="G180" s="386"/>
      <c r="I180" s="103"/>
    </row>
    <row r="181" spans="1:11" x14ac:dyDescent="0.2">
      <c r="A181" s="223" t="s">
        <v>843</v>
      </c>
      <c r="B181" s="116">
        <f>MAX(B178:B180)</f>
        <v>1.8892259956790638</v>
      </c>
      <c r="C181" s="42" t="s">
        <v>2</v>
      </c>
      <c r="D181" s="118" t="s">
        <v>885</v>
      </c>
      <c r="F181" s="430"/>
      <c r="G181" s="386"/>
      <c r="I181" s="103"/>
    </row>
    <row r="182" spans="1:11" x14ac:dyDescent="0.2">
      <c r="A182" s="118"/>
      <c r="B182" s="579"/>
      <c r="C182" s="97"/>
      <c r="F182" s="430"/>
      <c r="G182" s="386"/>
      <c r="I182" s="103"/>
    </row>
    <row r="183" spans="1:11" x14ac:dyDescent="0.2">
      <c r="A183" s="102" t="s">
        <v>273</v>
      </c>
      <c r="B183" s="343">
        <f>'Design Converter'!E49/1000</f>
        <v>0.3</v>
      </c>
      <c r="C183" t="s">
        <v>42</v>
      </c>
      <c r="D183" s="118" t="s">
        <v>844</v>
      </c>
      <c r="I183" s="103"/>
    </row>
    <row r="184" spans="1:11" x14ac:dyDescent="0.2">
      <c r="A184" s="118"/>
      <c r="B184" s="579"/>
      <c r="C184" s="97"/>
      <c r="F184" s="430"/>
      <c r="G184" s="386"/>
      <c r="I184" s="103"/>
    </row>
    <row r="185" spans="1:11" x14ac:dyDescent="0.2">
      <c r="A185" s="519" t="s">
        <v>871</v>
      </c>
      <c r="B185" s="593">
        <f>IF(VIN_max&gt;Vout, Iout*Don_Vinmax_2*(1-Don_Vinmax_2)/(Vinripple1*Fsw), Iripple_Vinmax/(Fsw*8*Vinripple1))</f>
        <v>8.0386821233097966E-6</v>
      </c>
      <c r="C185" s="97" t="s">
        <v>26</v>
      </c>
      <c r="D185" s="118" t="s">
        <v>879</v>
      </c>
      <c r="I185" s="103"/>
      <c r="K185" s="8">
        <f>Iripple_Vinnom/(Fsw*8*Vinripple1)</f>
        <v>3.8203076615315073E-8</v>
      </c>
    </row>
    <row r="186" spans="1:11" x14ac:dyDescent="0.2">
      <c r="A186" s="519" t="s">
        <v>875</v>
      </c>
      <c r="B186" s="594">
        <f>IF(VIN_max&gt;Vout, Iout*0.5*(1-0.5)/(Vinripple1*Fsw), Iripple_Vinmax/(Fsw*8*Vinripple1))</f>
        <v>9.0090090090090095E-6</v>
      </c>
      <c r="C186" s="97"/>
      <c r="D186" s="118" t="s">
        <v>872</v>
      </c>
      <c r="G186" s="30"/>
      <c r="I186" s="103"/>
      <c r="K186" s="8"/>
    </row>
    <row r="187" spans="1:11" x14ac:dyDescent="0.2">
      <c r="A187" s="519" t="s">
        <v>272</v>
      </c>
      <c r="B187" s="30">
        <f>IF(VIN_max&lt;2*Vout, B185,B186)</f>
        <v>9.0090090090090095E-6</v>
      </c>
      <c r="C187" s="97"/>
      <c r="G187" s="30"/>
      <c r="I187" s="103"/>
      <c r="K187" s="8"/>
    </row>
    <row r="188" spans="1:11" x14ac:dyDescent="0.2">
      <c r="A188" s="519" t="s">
        <v>724</v>
      </c>
      <c r="B188" s="521">
        <f>IF(Cinmin*1000000&lt;10, 10,Cinmin*1000000)</f>
        <v>10</v>
      </c>
      <c r="C188" s="42" t="s">
        <v>25</v>
      </c>
      <c r="D188" s="118" t="s">
        <v>885</v>
      </c>
      <c r="I188" s="103"/>
    </row>
    <row r="189" spans="1:11" x14ac:dyDescent="0.2">
      <c r="A189" s="104" t="s">
        <v>61</v>
      </c>
      <c r="B189" s="461">
        <f>'Design Converter'!E51/1000000</f>
        <v>1.2E-4</v>
      </c>
      <c r="C189" s="97" t="s">
        <v>26</v>
      </c>
      <c r="D189" t="s">
        <v>178</v>
      </c>
      <c r="I189" s="103"/>
    </row>
    <row r="190" spans="1:11" x14ac:dyDescent="0.2">
      <c r="A190" s="519" t="s">
        <v>873</v>
      </c>
      <c r="B190" s="329">
        <f>IF(VIN_max&gt;Vout, -(Iout*Don_Vinmax_2*(1-Don_Vinmax_2)/(Cin*Fsw)-Vinripple1)/(Iout+Iripple_Vinmax/2), SQRT((Vinripple1/Iripple_Vinmax)^2-(1/(Fsw*Cin*8))^2))</f>
        <v>4.430300020638972E-2</v>
      </c>
      <c r="C190" s="225" t="s">
        <v>120</v>
      </c>
      <c r="I190" s="103"/>
    </row>
    <row r="191" spans="1:11" x14ac:dyDescent="0.2">
      <c r="A191" s="519" t="s">
        <v>874</v>
      </c>
      <c r="B191" s="329">
        <f>IF(VIN_max&gt;Vout, -(Iout*0.5*(1-0.5)/(Cin*Fsw)-Vinripple1)/(Iout+Iripple_Vinmax/2), SQRT((Vinripple1/Iripple_Vinmax)^2-(1/(Fsw*Cin*8))^2))</f>
        <v>4.391904266611904E-2</v>
      </c>
      <c r="C191" s="225" t="s">
        <v>120</v>
      </c>
      <c r="D191" s="118" t="s">
        <v>880</v>
      </c>
      <c r="I191" s="103"/>
    </row>
    <row r="192" spans="1:11" x14ac:dyDescent="0.2">
      <c r="A192" s="519" t="s">
        <v>274</v>
      </c>
      <c r="B192" s="329">
        <f>IF(VIN_max&lt;2*Vout, B190,B191)</f>
        <v>4.391904266611904E-2</v>
      </c>
      <c r="C192" s="225" t="s">
        <v>120</v>
      </c>
      <c r="I192" s="103"/>
    </row>
    <row r="193" spans="1:11" x14ac:dyDescent="0.2">
      <c r="A193" s="519" t="s">
        <v>726</v>
      </c>
      <c r="B193" s="577">
        <f>IF(OR(CinEsrMax&gt;0.3, CinEsrMax&lt;0), "N/A",CinEsrMax*1000)</f>
        <v>43.91904266611904</v>
      </c>
      <c r="C193" s="45" t="s">
        <v>437</v>
      </c>
      <c r="D193" t="s">
        <v>885</v>
      </c>
      <c r="I193" s="103"/>
    </row>
    <row r="194" spans="1:11" x14ac:dyDescent="0.2">
      <c r="A194" s="104" t="s">
        <v>90</v>
      </c>
      <c r="B194" s="98">
        <f>'Design Converter'!E53/1000</f>
        <v>3.2000000000000001E-2</v>
      </c>
      <c r="C194" s="225" t="s">
        <v>120</v>
      </c>
      <c r="D194" s="118" t="s">
        <v>303</v>
      </c>
      <c r="I194" s="103"/>
    </row>
    <row r="195" spans="1:11" x14ac:dyDescent="0.2">
      <c r="D195" s="118"/>
      <c r="I195" s="103"/>
      <c r="K195" s="335">
        <f>CinEsrMax</f>
        <v>4.391904266611904E-2</v>
      </c>
    </row>
    <row r="196" spans="1:11" x14ac:dyDescent="0.2">
      <c r="A196" s="519" t="s">
        <v>876</v>
      </c>
      <c r="B196" s="425">
        <f>IF(VIN_max&gt;Vout, Iout*Don_Vinmax_2*(1-Don_Vinmax_2)/(Cin*Fsw)+(Iout +Iripple_Vinmax/2)*RCinEsr, Iripple_Vinmax*SQRT(RCinEsr^2+(1/(8*Fsw*Cin))^2))</f>
        <v>0.22227049463199125</v>
      </c>
      <c r="C196" s="97" t="s">
        <v>42</v>
      </c>
      <c r="I196" s="103"/>
    </row>
    <row r="197" spans="1:11" x14ac:dyDescent="0.2">
      <c r="A197" s="519" t="s">
        <v>877</v>
      </c>
      <c r="B197" s="425">
        <f>IF(VIN_max&gt;Vout, Iout*0.5*(1-0.5)/(Cin*Fsw)+(Iout +Iripple_Vinmax/2)*RCinEsr, Iripple_Vinmax*SQRT(RCinEsr^2+(1/(8*Fsw*Cin))^2))</f>
        <v>0.22469631184623928</v>
      </c>
      <c r="C197" s="97" t="s">
        <v>42</v>
      </c>
      <c r="D197" s="118" t="s">
        <v>878</v>
      </c>
      <c r="I197" s="103"/>
    </row>
    <row r="198" spans="1:11" x14ac:dyDescent="0.2">
      <c r="A198" s="519" t="s">
        <v>275</v>
      </c>
      <c r="B198" s="425">
        <f>IF(VIN_max&lt;2*Vout, B196,B197)</f>
        <v>0.22469631184623928</v>
      </c>
      <c r="C198" s="97" t="s">
        <v>42</v>
      </c>
      <c r="D198" s="118" t="s">
        <v>884</v>
      </c>
      <c r="I198" s="103"/>
    </row>
    <row r="199" spans="1:11" x14ac:dyDescent="0.2">
      <c r="A199" s="104"/>
      <c r="B199" s="595"/>
      <c r="C199" s="97"/>
      <c r="I199" s="103"/>
    </row>
    <row r="200" spans="1:11" ht="13.5" thickBot="1" x14ac:dyDescent="0.25">
      <c r="A200" s="105"/>
      <c r="B200" s="426">
        <f>Iout*Don_Vinmax_2*(1-Don_Vinmax_2)/(Cin*Fsw)</f>
        <v>2.0096705308274492E-2</v>
      </c>
      <c r="C200" s="344" t="s">
        <v>42</v>
      </c>
      <c r="D200" s="106"/>
      <c r="E200" s="107"/>
      <c r="F200" s="107"/>
      <c r="G200" s="107"/>
      <c r="H200" s="107"/>
      <c r="I200" s="108"/>
    </row>
    <row r="202" spans="1:11" ht="16.5" thickBot="1" x14ac:dyDescent="0.3">
      <c r="A202" s="580" t="s">
        <v>883</v>
      </c>
    </row>
    <row r="203" spans="1:11" x14ac:dyDescent="0.2">
      <c r="A203" s="93" t="s">
        <v>181</v>
      </c>
      <c r="B203" s="12">
        <f>'Design Converter'!E58/1000</f>
        <v>3.5000000000000003E-2</v>
      </c>
      <c r="C203" s="63" t="s">
        <v>163</v>
      </c>
      <c r="D203" s="121" t="s">
        <v>607</v>
      </c>
      <c r="E203" s="63"/>
      <c r="F203" s="63"/>
      <c r="G203" s="63"/>
      <c r="H203" s="63"/>
      <c r="I203" s="64"/>
    </row>
    <row r="204" spans="1:11" x14ac:dyDescent="0.2">
      <c r="A204" s="56" t="s">
        <v>182</v>
      </c>
      <c r="B204" s="68">
        <f>Cout*Vout/Tss</f>
        <v>7.5428571428571414E-2</v>
      </c>
      <c r="C204" t="s">
        <v>2</v>
      </c>
      <c r="D204" s="118" t="s">
        <v>606</v>
      </c>
      <c r="I204" s="57"/>
    </row>
    <row r="205" spans="1:11" x14ac:dyDescent="0.2">
      <c r="A205" s="56" t="s">
        <v>183</v>
      </c>
      <c r="B205" s="462">
        <f>0.000005*Tss/0.8</f>
        <v>2.1875000000000002E-7</v>
      </c>
      <c r="C205" t="s">
        <v>26</v>
      </c>
      <c r="I205" s="57"/>
    </row>
    <row r="206" spans="1:11" ht="13.5" thickBot="1" x14ac:dyDescent="0.25">
      <c r="A206" s="60" t="s">
        <v>197</v>
      </c>
      <c r="B206" s="463">
        <f>'Standard Value Calculator'!B4</f>
        <v>2.2000000000000001E-7</v>
      </c>
      <c r="C206" s="61" t="s">
        <v>26</v>
      </c>
      <c r="D206" s="61"/>
      <c r="E206" s="61"/>
      <c r="F206" s="61"/>
      <c r="G206" s="61"/>
      <c r="H206" s="61"/>
      <c r="I206" s="62"/>
    </row>
    <row r="208" spans="1:11" ht="16.5" thickBot="1" x14ac:dyDescent="0.3">
      <c r="A208" s="580" t="s">
        <v>882</v>
      </c>
    </row>
    <row r="209" spans="1:9" ht="12.75" customHeight="1" x14ac:dyDescent="0.2">
      <c r="A209" s="222"/>
      <c r="B209" s="95"/>
      <c r="C209" s="314"/>
      <c r="D209" s="121"/>
      <c r="E209" s="63"/>
      <c r="F209" s="63"/>
      <c r="G209" s="63"/>
      <c r="H209" s="63"/>
      <c r="I209" s="64"/>
    </row>
    <row r="210" spans="1:9" ht="12.75" customHeight="1" x14ac:dyDescent="0.3">
      <c r="A210" s="223" t="s">
        <v>305</v>
      </c>
      <c r="B210" s="424">
        <f>'Design Converter'!E62</f>
        <v>9</v>
      </c>
      <c r="C210" s="118" t="s">
        <v>0</v>
      </c>
      <c r="I210" s="57"/>
    </row>
    <row r="211" spans="1:9" ht="12.75" customHeight="1" x14ac:dyDescent="0.2">
      <c r="A211" s="223"/>
      <c r="B211" s="44"/>
      <c r="C211" s="118"/>
      <c r="I211" s="57"/>
    </row>
    <row r="212" spans="1:9" ht="12.75" customHeight="1" x14ac:dyDescent="0.3">
      <c r="A212" s="223" t="s">
        <v>330</v>
      </c>
      <c r="B212" s="343">
        <f>'Design Converter'!E64</f>
        <v>249</v>
      </c>
      <c r="C212" s="45" t="s">
        <v>309</v>
      </c>
      <c r="E212">
        <f>'Standard Value Calculator'!O16</f>
        <v>249</v>
      </c>
      <c r="F212" s="45" t="s">
        <v>309</v>
      </c>
      <c r="G212" s="44">
        <f>IF(Ruvlo1&lt;0,"N/A",E212)</f>
        <v>249</v>
      </c>
      <c r="H212" s="44" t="str">
        <f>IF(Ruvlo1&lt;0,"N/A",E212&amp;"kΩ")</f>
        <v>249kΩ</v>
      </c>
      <c r="I212" s="57"/>
    </row>
    <row r="213" spans="1:9" ht="12.75" customHeight="1" x14ac:dyDescent="0.3">
      <c r="A213" s="223" t="s">
        <v>331</v>
      </c>
      <c r="B213" s="428">
        <f>Vuvlo_on/((VINuvlo_on-Vuvlo_on)/Ruvlo1+Iuvlo1)</f>
        <v>36.807987301741164</v>
      </c>
      <c r="C213" s="45" t="s">
        <v>309</v>
      </c>
      <c r="E213">
        <f>'Standard Value Calculator'!O17</f>
        <v>36.5</v>
      </c>
      <c r="F213" s="45" t="s">
        <v>309</v>
      </c>
      <c r="G213" s="44">
        <f>IF(G212="N/A","N/A",E213)</f>
        <v>36.5</v>
      </c>
      <c r="H213" s="44" t="str">
        <f>IF(H212="N/A","N/A",E213&amp;"kΩ")</f>
        <v>36.5kΩ</v>
      </c>
      <c r="I213" s="57"/>
    </row>
    <row r="214" spans="1:9" ht="12.75" customHeight="1" x14ac:dyDescent="0.2">
      <c r="A214" s="223"/>
      <c r="B214" s="224"/>
      <c r="C214" s="45"/>
      <c r="F214" s="45"/>
      <c r="I214" s="57"/>
    </row>
    <row r="215" spans="1:9" ht="12.75" customHeight="1" x14ac:dyDescent="0.3">
      <c r="A215" s="223" t="s">
        <v>310</v>
      </c>
      <c r="B215" s="224">
        <f>(E212+E213)/E213*Vuvlo_on-Iuvlo1*E212</f>
        <v>9.0696397260273969</v>
      </c>
      <c r="C215" s="45"/>
      <c r="F215" s="45"/>
      <c r="I215" s="57"/>
    </row>
    <row r="216" spans="1:9" ht="12.75" customHeight="1" x14ac:dyDescent="0.3">
      <c r="A216" s="223" t="s">
        <v>311</v>
      </c>
      <c r="B216" s="224">
        <f>(E212+E213)/E213*Vuvlo_off-Iuvlo2*E212</f>
        <v>8.3101897260273976</v>
      </c>
      <c r="C216" s="45"/>
      <c r="F216" s="45"/>
      <c r="I216" s="57"/>
    </row>
    <row r="217" spans="1:9" ht="12.75" customHeight="1" x14ac:dyDescent="0.2">
      <c r="A217" s="223"/>
      <c r="B217" s="44"/>
      <c r="C217"/>
      <c r="I217" s="57"/>
    </row>
    <row r="218" spans="1:9" ht="12.75" customHeight="1" x14ac:dyDescent="0.2">
      <c r="A218" s="223" t="s">
        <v>306</v>
      </c>
      <c r="B218" s="427">
        <v>1.22</v>
      </c>
      <c r="C218" s="118" t="s">
        <v>0</v>
      </c>
      <c r="I218" s="57"/>
    </row>
    <row r="219" spans="1:9" ht="12.75" customHeight="1" x14ac:dyDescent="0.2">
      <c r="A219" s="223" t="s">
        <v>307</v>
      </c>
      <c r="B219" s="427">
        <v>1.22</v>
      </c>
      <c r="C219" s="118" t="s">
        <v>0</v>
      </c>
      <c r="I219" s="57"/>
    </row>
    <row r="220" spans="1:9" ht="12.75" customHeight="1" x14ac:dyDescent="0.2">
      <c r="A220" s="223" t="s">
        <v>378</v>
      </c>
      <c r="B220" s="44">
        <f>B218-B219</f>
        <v>0</v>
      </c>
      <c r="C220" s="118" t="s">
        <v>0</v>
      </c>
      <c r="I220" s="57"/>
    </row>
    <row r="221" spans="1:9" ht="12.75" customHeight="1" x14ac:dyDescent="0.2">
      <c r="A221" s="223" t="s">
        <v>380</v>
      </c>
      <c r="B221" s="44">
        <v>1.9E-3</v>
      </c>
      <c r="C221" s="118" t="s">
        <v>68</v>
      </c>
      <c r="E221" s="621" t="s">
        <v>964</v>
      </c>
      <c r="F221" s="620"/>
      <c r="G221" s="620"/>
      <c r="I221" s="57"/>
    </row>
    <row r="222" spans="1:9" ht="12.75" customHeight="1" x14ac:dyDescent="0.2">
      <c r="A222" s="223" t="s">
        <v>379</v>
      </c>
      <c r="B222" s="44">
        <v>4.9500000000000004E-3</v>
      </c>
      <c r="C222" s="118" t="s">
        <v>68</v>
      </c>
      <c r="E222" s="621" t="s">
        <v>966</v>
      </c>
      <c r="G222" s="621" t="s">
        <v>965</v>
      </c>
      <c r="I222" s="57"/>
    </row>
    <row r="223" spans="1:9" ht="12.75" customHeight="1" x14ac:dyDescent="0.2">
      <c r="A223" s="223" t="s">
        <v>308</v>
      </c>
      <c r="B223" s="44">
        <f>B222-B221</f>
        <v>3.0500000000000006E-3</v>
      </c>
      <c r="C223" s="118" t="s">
        <v>68</v>
      </c>
      <c r="E223" s="621" t="s">
        <v>967</v>
      </c>
      <c r="H223" s="118"/>
      <c r="I223" s="57"/>
    </row>
    <row r="224" spans="1:9" ht="12.75" customHeight="1" x14ac:dyDescent="0.2">
      <c r="B224" s="44"/>
      <c r="C224"/>
      <c r="I224" s="57"/>
    </row>
    <row r="225" spans="1:9" ht="12.75" customHeight="1" x14ac:dyDescent="0.3">
      <c r="A225" s="56" t="s">
        <v>207</v>
      </c>
      <c r="B225" s="44">
        <v>20</v>
      </c>
      <c r="C225" s="45" t="s">
        <v>309</v>
      </c>
      <c r="I225" s="57"/>
    </row>
    <row r="226" spans="1:9" ht="12.75" customHeight="1" x14ac:dyDescent="0.3">
      <c r="A226" s="56" t="s">
        <v>208</v>
      </c>
      <c r="B226" s="44"/>
      <c r="C226" s="225" t="s">
        <v>120</v>
      </c>
      <c r="I226" s="57"/>
    </row>
    <row r="227" spans="1:9" ht="12.75" customHeight="1" x14ac:dyDescent="0.2">
      <c r="A227" s="56" t="s">
        <v>192</v>
      </c>
      <c r="B227" s="44">
        <v>0</v>
      </c>
      <c r="C227" s="225" t="s">
        <v>120</v>
      </c>
      <c r="I227" s="57"/>
    </row>
    <row r="228" spans="1:9" ht="12.75" customHeight="1" x14ac:dyDescent="0.2">
      <c r="A228" s="429" t="s">
        <v>575</v>
      </c>
      <c r="B228" s="44"/>
      <c r="C228" s="225" t="s">
        <v>120</v>
      </c>
      <c r="D228" s="406" t="s">
        <v>455</v>
      </c>
      <c r="E228" s="118" t="s">
        <v>796</v>
      </c>
      <c r="I228" s="57"/>
    </row>
    <row r="229" spans="1:9" ht="12.75" customHeight="1" x14ac:dyDescent="0.2">
      <c r="A229" s="223"/>
      <c r="B229" s="44"/>
      <c r="C229" s="225"/>
      <c r="I229" s="57"/>
    </row>
    <row r="230" spans="1:9" ht="12.75" customHeight="1" x14ac:dyDescent="0.2">
      <c r="A230" s="223" t="s">
        <v>797</v>
      </c>
      <c r="B230" s="424">
        <f>'Design Converter'!E60*1000</f>
        <v>900</v>
      </c>
      <c r="C230" s="118" t="s">
        <v>10</v>
      </c>
      <c r="I230" s="57"/>
    </row>
    <row r="231" spans="1:9" ht="12.75" customHeight="1" x14ac:dyDescent="0.2">
      <c r="A231" s="223" t="s">
        <v>465</v>
      </c>
      <c r="B231" s="423">
        <f>10*10^-6/Fdither/0.24</f>
        <v>4.6296296296296295E-8</v>
      </c>
      <c r="C231" s="118" t="s">
        <v>26</v>
      </c>
      <c r="I231" s="57"/>
    </row>
    <row r="232" spans="1:9" ht="12.75" customHeight="1" x14ac:dyDescent="0.2">
      <c r="A232" s="223" t="s">
        <v>466</v>
      </c>
      <c r="B232" s="423">
        <f>'Standard Value Calculator'!O19</f>
        <v>4.6999999999999997E-8</v>
      </c>
      <c r="C232" s="118" t="s">
        <v>26</v>
      </c>
      <c r="I232" s="57"/>
    </row>
    <row r="233" spans="1:9" ht="12.75" customHeight="1" thickBot="1" x14ac:dyDescent="0.25">
      <c r="A233" s="60"/>
      <c r="B233" s="70"/>
      <c r="C233" s="315"/>
      <c r="D233" s="61"/>
      <c r="E233" s="61"/>
      <c r="F233" s="61"/>
      <c r="G233" s="61"/>
      <c r="H233" s="61"/>
      <c r="I233" s="62"/>
    </row>
    <row r="234" spans="1:9" x14ac:dyDescent="0.2">
      <c r="B234" s="44"/>
      <c r="C234" s="316"/>
    </row>
    <row r="235" spans="1:9" ht="16.5" thickBot="1" x14ac:dyDescent="0.3">
      <c r="A235" s="580" t="s">
        <v>881</v>
      </c>
    </row>
    <row r="236" spans="1:9" x14ac:dyDescent="0.2">
      <c r="A236" s="401" t="s">
        <v>41</v>
      </c>
      <c r="B236" s="402">
        <v>3.1415926500000002</v>
      </c>
      <c r="C236" s="403"/>
      <c r="D236" s="404" t="s">
        <v>523</v>
      </c>
      <c r="E236" s="63"/>
      <c r="F236" s="63"/>
      <c r="G236" s="63"/>
      <c r="H236" s="63"/>
      <c r="I236" s="64"/>
    </row>
    <row r="237" spans="1:9" x14ac:dyDescent="0.2">
      <c r="A237" s="118" t="s">
        <v>539</v>
      </c>
      <c r="B237" s="118">
        <v>5</v>
      </c>
      <c r="C237" s="46"/>
      <c r="D237" s="225"/>
      <c r="I237" s="57"/>
    </row>
    <row r="238" spans="1:9" x14ac:dyDescent="0.2">
      <c r="A238" s="118" t="s">
        <v>511</v>
      </c>
      <c r="B238">
        <f>Rs*CSAmp_gain</f>
        <v>7.4999999999999997E-2</v>
      </c>
      <c r="C238" s="225" t="s">
        <v>120</v>
      </c>
      <c r="D238" s="118" t="s">
        <v>530</v>
      </c>
      <c r="I238" s="57"/>
    </row>
    <row r="239" spans="1:9" x14ac:dyDescent="0.2">
      <c r="A239" s="118" t="s">
        <v>492</v>
      </c>
      <c r="B239" s="118">
        <v>1.2700000000000001E-3</v>
      </c>
      <c r="C239" s="118" t="s">
        <v>70</v>
      </c>
      <c r="D239" s="118" t="s">
        <v>512</v>
      </c>
      <c r="I239" s="57"/>
    </row>
    <row r="240" spans="1:9" x14ac:dyDescent="0.2">
      <c r="A240" s="118"/>
      <c r="B240" s="118"/>
      <c r="C240" s="118"/>
      <c r="D240" s="118"/>
      <c r="I240" s="57"/>
    </row>
    <row r="241" spans="1:9" x14ac:dyDescent="0.2">
      <c r="A241" s="118" t="s">
        <v>537</v>
      </c>
      <c r="B241" s="472">
        <v>1.9999999999999999E-6</v>
      </c>
      <c r="C241" s="118" t="s">
        <v>70</v>
      </c>
      <c r="D241" s="118" t="s">
        <v>538</v>
      </c>
      <c r="I241" s="57"/>
    </row>
    <row r="242" spans="1:9" x14ac:dyDescent="0.2">
      <c r="A242" s="118" t="s">
        <v>551</v>
      </c>
      <c r="B242" s="472">
        <v>3.9999999999999998E-6</v>
      </c>
      <c r="C242" s="118" t="s">
        <v>2</v>
      </c>
      <c r="D242" s="118" t="s">
        <v>562</v>
      </c>
      <c r="I242" s="57"/>
    </row>
    <row r="243" spans="1:9" x14ac:dyDescent="0.2">
      <c r="A243" s="118"/>
      <c r="B243" s="420"/>
      <c r="C243" s="118"/>
      <c r="D243" s="118"/>
      <c r="I243" s="57"/>
    </row>
    <row r="244" spans="1:9" x14ac:dyDescent="0.2">
      <c r="A244" s="118" t="s">
        <v>632</v>
      </c>
      <c r="B244" s="398">
        <f>Isc_const/(Cslope*10^-12)</f>
        <v>33333.333333333328</v>
      </c>
      <c r="C244" s="118" t="s">
        <v>441</v>
      </c>
      <c r="D244" s="118"/>
      <c r="I244" s="57"/>
    </row>
    <row r="245" spans="1:9" x14ac:dyDescent="0.2">
      <c r="A245" s="118" t="s">
        <v>633</v>
      </c>
      <c r="B245" s="333">
        <f>(ABS((Vin-Vout))*gm_slopecomp)/(Cslope*10^-12)</f>
        <v>0</v>
      </c>
      <c r="C245" s="118" t="s">
        <v>441</v>
      </c>
      <c r="D245" s="118"/>
      <c r="I245" s="57"/>
    </row>
    <row r="246" spans="1:9" x14ac:dyDescent="0.2">
      <c r="A246" s="118" t="s">
        <v>513</v>
      </c>
      <c r="B246" s="407">
        <f>Se_fixed+Se_proportional</f>
        <v>33333.333333333328</v>
      </c>
      <c r="C246" s="408" t="s">
        <v>441</v>
      </c>
      <c r="D246" s="408" t="s">
        <v>640</v>
      </c>
      <c r="E246" s="408"/>
      <c r="I246" s="57"/>
    </row>
    <row r="247" spans="1:9" x14ac:dyDescent="0.2">
      <c r="A247" s="118"/>
      <c r="B247" s="407"/>
      <c r="C247" s="408"/>
      <c r="D247" s="408"/>
      <c r="E247" s="408"/>
      <c r="I247" s="57"/>
    </row>
    <row r="248" spans="1:9" x14ac:dyDescent="0.2">
      <c r="A248" s="118" t="s">
        <v>637</v>
      </c>
      <c r="B248" s="473">
        <f>Se_fixed/Fsw</f>
        <v>9.0090090090090072E-2</v>
      </c>
      <c r="C248" s="408" t="s">
        <v>441</v>
      </c>
      <c r="D248" s="408" t="s">
        <v>647</v>
      </c>
      <c r="E248" s="408"/>
      <c r="I248" s="57"/>
    </row>
    <row r="249" spans="1:9" x14ac:dyDescent="0.2">
      <c r="A249" s="118" t="s">
        <v>638</v>
      </c>
      <c r="B249" s="473">
        <f>Se_proportional/Fsw</f>
        <v>0</v>
      </c>
      <c r="C249" s="408" t="s">
        <v>441</v>
      </c>
      <c r="D249" s="408" t="s">
        <v>648</v>
      </c>
      <c r="E249" s="408"/>
      <c r="I249" s="57"/>
    </row>
    <row r="250" spans="1:9" x14ac:dyDescent="0.2">
      <c r="A250" s="118" t="s">
        <v>639</v>
      </c>
      <c r="B250" s="473">
        <f>Se/Fsw</f>
        <v>9.0090090090090072E-2</v>
      </c>
      <c r="C250" s="408" t="s">
        <v>441</v>
      </c>
      <c r="D250" s="408" t="s">
        <v>649</v>
      </c>
      <c r="I250" s="57"/>
    </row>
    <row r="251" spans="1:9" x14ac:dyDescent="0.2">
      <c r="A251" s="118" t="s">
        <v>646</v>
      </c>
      <c r="B251" s="473">
        <f>gm_slopecomp/(Cslope*10^-12*Fsw)</f>
        <v>4.5045045045045043E-2</v>
      </c>
      <c r="C251" s="408"/>
      <c r="D251" s="408" t="s">
        <v>650</v>
      </c>
      <c r="I251" s="57"/>
    </row>
    <row r="252" spans="1:9" x14ac:dyDescent="0.2">
      <c r="A252" s="118"/>
      <c r="B252" s="409"/>
      <c r="C252" s="408"/>
      <c r="D252" s="408" t="s">
        <v>651</v>
      </c>
      <c r="I252" s="57"/>
    </row>
    <row r="253" spans="1:9" x14ac:dyDescent="0.2">
      <c r="A253" s="118"/>
      <c r="B253" s="409"/>
      <c r="C253" s="408"/>
      <c r="D253" s="408"/>
      <c r="I253" s="57"/>
    </row>
    <row r="254" spans="1:9" x14ac:dyDescent="0.2">
      <c r="A254" s="118" t="s">
        <v>634</v>
      </c>
      <c r="B254" s="405">
        <f>(ABS((Vin-Vout))*gm_slopecomp+0.000004)/(Cslope*10^-12)/Ri</f>
        <v>444444.44444444438</v>
      </c>
      <c r="C254" s="388" t="s">
        <v>514</v>
      </c>
      <c r="D254" s="388" t="s">
        <v>540</v>
      </c>
      <c r="I254" s="57"/>
    </row>
    <row r="255" spans="1:9" x14ac:dyDescent="0.2">
      <c r="A255" s="118" t="s">
        <v>515</v>
      </c>
      <c r="B255" s="405">
        <f>IF(VIN_nom&gt;Vout, (Vin-Vout)/Lf, Vin/Lf)</f>
        <v>2553191.489361702</v>
      </c>
      <c r="C255" s="388" t="s">
        <v>514</v>
      </c>
      <c r="D255" s="388" t="s">
        <v>516</v>
      </c>
      <c r="I255" s="57">
        <f>Cslope</f>
        <v>120</v>
      </c>
    </row>
    <row r="256" spans="1:9" x14ac:dyDescent="0.2">
      <c r="A256" s="118" t="s">
        <v>535</v>
      </c>
      <c r="B256" s="405">
        <f>IF(VIN_nom&gt;Vout, Vout/Lf, (Vout-Vin)/Lf)</f>
        <v>0</v>
      </c>
      <c r="C256" s="388" t="s">
        <v>514</v>
      </c>
      <c r="D256" s="388" t="s">
        <v>534</v>
      </c>
      <c r="I256" s="57"/>
    </row>
    <row r="257" spans="1:9" x14ac:dyDescent="0.2">
      <c r="A257" s="118"/>
      <c r="B257" s="405"/>
      <c r="C257" s="388"/>
      <c r="D257" s="388"/>
      <c r="I257" s="57"/>
    </row>
    <row r="258" spans="1:9" x14ac:dyDescent="0.2">
      <c r="A258" s="118" t="s">
        <v>541</v>
      </c>
      <c r="B258" s="416">
        <f>Se/1000</f>
        <v>33.333333333333329</v>
      </c>
      <c r="C258" s="417" t="s">
        <v>589</v>
      </c>
      <c r="D258" s="417" t="s">
        <v>549</v>
      </c>
      <c r="I258" s="57"/>
    </row>
    <row r="259" spans="1:9" x14ac:dyDescent="0.2">
      <c r="A259" s="118" t="s">
        <v>547</v>
      </c>
      <c r="B259" s="416">
        <f>Sn*Ri/1000</f>
        <v>191.48936170212764</v>
      </c>
      <c r="C259" s="417" t="s">
        <v>589</v>
      </c>
      <c r="D259" s="417" t="s">
        <v>550</v>
      </c>
      <c r="I259" s="57"/>
    </row>
    <row r="260" spans="1:9" x14ac:dyDescent="0.2">
      <c r="A260" s="118" t="s">
        <v>548</v>
      </c>
      <c r="B260" s="416">
        <f>Sf*Ri/1000</f>
        <v>0</v>
      </c>
      <c r="C260" s="417" t="s">
        <v>589</v>
      </c>
      <c r="D260" s="417" t="s">
        <v>550</v>
      </c>
      <c r="I260" s="57"/>
    </row>
    <row r="261" spans="1:9" x14ac:dyDescent="0.2">
      <c r="A261" s="118"/>
      <c r="B261" s="416"/>
      <c r="C261" s="417"/>
      <c r="D261" s="417"/>
      <c r="I261" s="57"/>
    </row>
    <row r="262" spans="1:9" x14ac:dyDescent="0.2">
      <c r="A262" s="118" t="s">
        <v>801</v>
      </c>
      <c r="B262" s="542">
        <f>(1-Don_Vinmax_2)/Fsw</f>
        <v>1.7948464271259613E-6</v>
      </c>
      <c r="C262" s="408" t="s">
        <v>800</v>
      </c>
      <c r="D262" s="417"/>
      <c r="I262" s="57"/>
    </row>
    <row r="263" spans="1:9" x14ac:dyDescent="0.2">
      <c r="A263" s="118"/>
      <c r="B263" s="542"/>
      <c r="C263" s="408"/>
      <c r="D263" s="417"/>
      <c r="I263" s="57"/>
    </row>
    <row r="264" spans="1:9" x14ac:dyDescent="0.2">
      <c r="A264" s="118" t="s">
        <v>805</v>
      </c>
      <c r="B264" s="542">
        <f>IF(VIN_min&gt;Vout, (1-Don_Vinmin_2)/Fsw, Don_Vinmin_2/Fsw)</f>
        <v>6.9846712384025809E-7</v>
      </c>
      <c r="C264" s="408" t="s">
        <v>800</v>
      </c>
      <c r="D264" s="417"/>
      <c r="I264" s="57"/>
    </row>
    <row r="265" spans="1:9" x14ac:dyDescent="0.2">
      <c r="A265" s="118"/>
      <c r="B265" s="541"/>
      <c r="C265" s="408"/>
      <c r="D265" s="417"/>
      <c r="I265" s="57"/>
    </row>
    <row r="266" spans="1:9" x14ac:dyDescent="0.2">
      <c r="A266" s="118" t="s">
        <v>803</v>
      </c>
      <c r="B266" s="543">
        <f>1.6+5*Rs*(-Iripple_Vinmax/2)-(gm_slopecomp*(VIN_max-Vout)+Isc_const)/(Cslope*0.000000000001)*Toff_Vinmax</f>
        <v>0.64838839618462218</v>
      </c>
      <c r="C266" s="544" t="s">
        <v>0</v>
      </c>
      <c r="D266" s="544" t="s">
        <v>804</v>
      </c>
      <c r="F266" s="410">
        <f>1.6+5*Rs*(Iripple_Vinmax/2)+(gm_slopecomp*(Vout-VIN_max)+Isc_const)/(Cslope*0.000000000001)*Don_Vinmax_2/Fsw</f>
        <v>1.4409641843493228</v>
      </c>
      <c r="G266" s="388" t="s">
        <v>448</v>
      </c>
      <c r="I266" s="57"/>
    </row>
    <row r="267" spans="1:9" x14ac:dyDescent="0.2">
      <c r="A267" s="118" t="s">
        <v>802</v>
      </c>
      <c r="B267" s="543">
        <f>1.6+5*Rs*(Iin_Vinmin+Iripple_Vinmin/2)+(gm_slopecomp*(Vout-VIN_min)+Isc_const)/(Cslope*0.000000000001)*Ton_Vinmin</f>
        <v>2.1528059219905842</v>
      </c>
      <c r="C267" s="544" t="s">
        <v>0</v>
      </c>
      <c r="D267" s="544" t="s">
        <v>448</v>
      </c>
      <c r="F267" s="410">
        <f>1.6+5*Rs*(-Iripple_Vinmin/2)-(gm_slopecomp*(VIN_min-Vout)+Isc_const)/(Cslope*0.000000000001)*(1-Don_Vinmin_2)/Fsw</f>
        <v>1.5832480424215898</v>
      </c>
      <c r="G267" s="388" t="s">
        <v>804</v>
      </c>
      <c r="I267" s="57"/>
    </row>
    <row r="268" spans="1:9" x14ac:dyDescent="0.2">
      <c r="A268" s="118"/>
      <c r="B268" s="416"/>
      <c r="C268" s="417"/>
      <c r="D268" s="417"/>
      <c r="I268" s="57"/>
    </row>
    <row r="269" spans="1:9" x14ac:dyDescent="0.2">
      <c r="A269" s="118"/>
      <c r="B269" s="457">
        <f>IF(VIN_max&gt;Vout, B266,F266)</f>
        <v>0.64838839618462218</v>
      </c>
      <c r="C269" s="417"/>
      <c r="D269" s="417"/>
      <c r="I269" s="57"/>
    </row>
    <row r="270" spans="1:9" x14ac:dyDescent="0.2">
      <c r="A270" s="118"/>
      <c r="B270" s="457">
        <f>IF(VIN_min&lt;Vout, B267,F267)</f>
        <v>2.1528059219905842</v>
      </c>
      <c r="C270" s="417"/>
      <c r="D270" s="417"/>
      <c r="I270" s="57"/>
    </row>
    <row r="271" spans="1:9" x14ac:dyDescent="0.2">
      <c r="A271" s="118"/>
      <c r="B271" s="457"/>
      <c r="C271" s="417"/>
      <c r="D271" s="417"/>
      <c r="I271" s="57"/>
    </row>
    <row r="272" spans="1:9" x14ac:dyDescent="0.2">
      <c r="A272" s="118"/>
      <c r="B272" s="416"/>
      <c r="C272" s="417"/>
      <c r="D272" s="388"/>
      <c r="I272" s="57"/>
    </row>
    <row r="273" spans="1:9" x14ac:dyDescent="0.2">
      <c r="A273" s="118" t="s">
        <v>587</v>
      </c>
      <c r="B273" s="386" t="e">
        <f>1+Se_ext/Sf</f>
        <v>#DIV/0!</v>
      </c>
      <c r="C273"/>
      <c r="D273" s="118" t="s">
        <v>536</v>
      </c>
      <c r="I273" s="57"/>
    </row>
    <row r="274" spans="1:9" x14ac:dyDescent="0.2">
      <c r="A274" s="118" t="s">
        <v>588</v>
      </c>
      <c r="B274" s="410" t="e">
        <f>mc_buck*Don_Vinnom_2</f>
        <v>#DIV/0!</v>
      </c>
      <c r="C274" s="388"/>
      <c r="D274" s="388" t="s">
        <v>533</v>
      </c>
      <c r="I274" s="57"/>
    </row>
    <row r="275" spans="1:9" x14ac:dyDescent="0.2">
      <c r="A275" s="2" t="s">
        <v>579</v>
      </c>
      <c r="B275" s="430">
        <f>1+Se_ext/Sn</f>
        <v>1.174074074074074</v>
      </c>
      <c r="C275" s="388"/>
      <c r="D275" s="118" t="s">
        <v>645</v>
      </c>
      <c r="I275" s="57"/>
    </row>
    <row r="276" spans="1:9" x14ac:dyDescent="0.2">
      <c r="A276" s="2" t="s">
        <v>580</v>
      </c>
      <c r="B276" s="410">
        <f>mc_boost*(1-Don_Vinnom_2)</f>
        <v>1.1683020897992966</v>
      </c>
      <c r="C276" s="388"/>
      <c r="D276" s="388" t="s">
        <v>590</v>
      </c>
      <c r="I276" s="57"/>
    </row>
    <row r="277" spans="1:9" x14ac:dyDescent="0.2">
      <c r="A277" s="2"/>
      <c r="B277" s="430"/>
      <c r="C277" s="388"/>
      <c r="D277" s="388"/>
      <c r="I277" s="57"/>
    </row>
    <row r="278" spans="1:9" x14ac:dyDescent="0.2">
      <c r="A278" s="2" t="s">
        <v>517</v>
      </c>
      <c r="B278" s="410">
        <f>IF(VIN_nom&gt;Vout, mc_buck, mc_boost)</f>
        <v>1.174074074074074</v>
      </c>
      <c r="C278" s="388"/>
      <c r="D278" s="388"/>
      <c r="I278" s="57"/>
    </row>
    <row r="279" spans="1:9" x14ac:dyDescent="0.2">
      <c r="A279" s="2" t="s">
        <v>491</v>
      </c>
      <c r="B279" s="457">
        <f>IF(VIN_nom&gt;Vout, k_buck, k_boost)</f>
        <v>1.1683020897992966</v>
      </c>
      <c r="C279" s="388"/>
      <c r="D279" s="388"/>
      <c r="I279" s="57"/>
    </row>
    <row r="280" spans="1:9" x14ac:dyDescent="0.2">
      <c r="A280" s="118" t="s">
        <v>29</v>
      </c>
      <c r="B280" s="386">
        <f>1/Pi/(k-0.5)</f>
        <v>0.4762964105695181</v>
      </c>
      <c r="C280"/>
      <c r="D280" s="118" t="s">
        <v>528</v>
      </c>
      <c r="F280" s="118" t="s">
        <v>543</v>
      </c>
      <c r="I280" s="57"/>
    </row>
    <row r="281" spans="1:9" x14ac:dyDescent="0.2">
      <c r="A281" s="118"/>
      <c r="B281" s="386"/>
      <c r="C281"/>
      <c r="D281" s="118"/>
      <c r="F281" s="118"/>
      <c r="I281" s="57"/>
    </row>
    <row r="282" spans="1:9" x14ac:dyDescent="0.2">
      <c r="A282" s="2" t="s">
        <v>630</v>
      </c>
      <c r="B282" s="445">
        <f>1/((0.5-Don_Vinnom_2)*Ri/(Fsw*Lf)+V_sc_fixed/Vout+K_SL*Don_Vinnom_2)</f>
        <v>34.386655930792898</v>
      </c>
      <c r="C282" s="118"/>
      <c r="D282" s="118"/>
      <c r="E282" s="118"/>
      <c r="I282" s="57"/>
    </row>
    <row r="283" spans="1:9" x14ac:dyDescent="0.2">
      <c r="A283" s="2" t="s">
        <v>652</v>
      </c>
      <c r="B283" s="397">
        <f>0.5*Ri/(Lf*Fsw)*Don_Vinnom_2*(1-Don_Vinnom_2)+K_SL*Don_Vinnom_2^2</f>
        <v>1.0658104893482836E-4</v>
      </c>
      <c r="C283" s="118"/>
      <c r="D283" s="118"/>
      <c r="E283" s="118"/>
      <c r="I283" s="57"/>
    </row>
    <row r="284" spans="1:9" x14ac:dyDescent="0.2">
      <c r="A284" s="2" t="s">
        <v>631</v>
      </c>
      <c r="B284" s="445">
        <f>1+Ro/Rout+Rout*(1-Don_Vinnom_2)^2/Ri*(1/KM+K_1/(1-Don_Vinnom_2))</f>
        <v>3.1560748645616723</v>
      </c>
      <c r="C284" s="118"/>
      <c r="E284" s="118"/>
      <c r="I284" s="57"/>
    </row>
    <row r="285" spans="1:9" x14ac:dyDescent="0.2">
      <c r="A285" s="118"/>
      <c r="B285" s="386"/>
      <c r="C285"/>
      <c r="D285" s="118"/>
      <c r="F285" s="118"/>
      <c r="I285" s="57"/>
    </row>
    <row r="286" spans="1:9" x14ac:dyDescent="0.2">
      <c r="A286" s="388" t="s">
        <v>591</v>
      </c>
      <c r="B286" s="386"/>
      <c r="C286"/>
      <c r="D286" s="118"/>
      <c r="I286" s="57"/>
    </row>
    <row r="287" spans="1:9" x14ac:dyDescent="0.2">
      <c r="A287" s="118" t="s">
        <v>518</v>
      </c>
      <c r="B287" s="400">
        <v>8</v>
      </c>
      <c r="C287" s="118" t="s">
        <v>217</v>
      </c>
      <c r="D287" s="118" t="s">
        <v>644</v>
      </c>
      <c r="I287" s="57"/>
    </row>
    <row r="288" spans="1:9" x14ac:dyDescent="0.2">
      <c r="A288" s="118" t="s">
        <v>519</v>
      </c>
      <c r="B288" s="30">
        <f>gm/(2*Pi*GBW*1000000)</f>
        <v>2.5265847244708825E-11</v>
      </c>
      <c r="C288" s="118" t="s">
        <v>26</v>
      </c>
      <c r="D288" s="118" t="s">
        <v>643</v>
      </c>
      <c r="I288" s="57"/>
    </row>
    <row r="289" spans="1:12" x14ac:dyDescent="0.2">
      <c r="A289" s="118" t="s">
        <v>520</v>
      </c>
      <c r="B289" s="422">
        <v>20000000</v>
      </c>
      <c r="C289" s="225" t="s">
        <v>120</v>
      </c>
      <c r="D289" s="118" t="s">
        <v>642</v>
      </c>
      <c r="I289" s="57"/>
    </row>
    <row r="290" spans="1:12" x14ac:dyDescent="0.2">
      <c r="A290" s="118" t="s">
        <v>943</v>
      </c>
      <c r="B290">
        <f>gm*RoEA</f>
        <v>25400</v>
      </c>
      <c r="C290" s="225"/>
      <c r="D290" s="118"/>
      <c r="I290" s="57"/>
    </row>
    <row r="291" spans="1:12" x14ac:dyDescent="0.2">
      <c r="A291" s="118" t="s">
        <v>944</v>
      </c>
      <c r="B291" s="4">
        <f>20*LOG(B290)</f>
        <v>88.096674332398777</v>
      </c>
      <c r="C291" s="118" t="s">
        <v>942</v>
      </c>
      <c r="D291" s="118"/>
      <c r="I291" s="57"/>
    </row>
    <row r="292" spans="1:12" x14ac:dyDescent="0.2">
      <c r="A292" s="2" t="s">
        <v>521</v>
      </c>
      <c r="B292" s="333">
        <f>gm*RoEA</f>
        <v>25400</v>
      </c>
      <c r="C292" s="118" t="s">
        <v>30</v>
      </c>
      <c r="D292" s="118" t="s">
        <v>641</v>
      </c>
      <c r="I292" s="57"/>
    </row>
    <row r="293" spans="1:12" x14ac:dyDescent="0.2">
      <c r="A293" s="2" t="s">
        <v>522</v>
      </c>
      <c r="B293" s="4">
        <f>Vref/Vout</f>
        <v>6.6666666666666666E-2</v>
      </c>
      <c r="C293" s="118" t="s">
        <v>30</v>
      </c>
      <c r="D293" s="118" t="s">
        <v>636</v>
      </c>
      <c r="I293" s="57"/>
    </row>
    <row r="294" spans="1:12" x14ac:dyDescent="0.2">
      <c r="A294" s="2" t="s">
        <v>476</v>
      </c>
      <c r="B294" s="118">
        <f>1/Ri</f>
        <v>13.333333333333334</v>
      </c>
      <c r="C294" s="118"/>
      <c r="D294" s="118" t="s">
        <v>529</v>
      </c>
      <c r="I294" s="57"/>
      <c r="L294">
        <f>Ri</f>
        <v>7.4999999999999997E-2</v>
      </c>
    </row>
    <row r="295" spans="1:12" x14ac:dyDescent="0.2">
      <c r="A295" s="2" t="s">
        <v>578</v>
      </c>
      <c r="B295" s="48">
        <f>Ro/Ri*1/((1+Ro*(k-0.5)/(Fsw*Lf)))</f>
        <v>18.579524965294315</v>
      </c>
      <c r="C295"/>
      <c r="D295" s="2" t="s">
        <v>635</v>
      </c>
      <c r="I295" s="57"/>
    </row>
    <row r="296" spans="1:12" x14ac:dyDescent="0.2">
      <c r="A296" s="2" t="s">
        <v>581</v>
      </c>
      <c r="B296" s="48">
        <f>Ro*(1-Don_Vinnom_2)/(Ri*KD)</f>
        <v>12.611662797433453</v>
      </c>
      <c r="C296"/>
      <c r="D296" s="388" t="s">
        <v>592</v>
      </c>
      <c r="I296" s="57"/>
    </row>
    <row r="297" spans="1:12" x14ac:dyDescent="0.2">
      <c r="A297" s="2" t="s">
        <v>481</v>
      </c>
      <c r="B297" s="48">
        <f>IF(VIN_nom&gt;Vout, Am_buck, Am_boost)</f>
        <v>12.611662797433453</v>
      </c>
      <c r="C297"/>
      <c r="D297" s="118" t="s">
        <v>653</v>
      </c>
      <c r="I297" s="57"/>
    </row>
    <row r="298" spans="1:12" x14ac:dyDescent="0.2">
      <c r="A298" s="2"/>
      <c r="B298" s="4"/>
      <c r="C298"/>
      <c r="D298" s="388"/>
      <c r="I298" s="57"/>
    </row>
    <row r="299" spans="1:12" x14ac:dyDescent="0.2">
      <c r="A299" s="118" t="s">
        <v>627</v>
      </c>
      <c r="B299" s="4">
        <f>2*Pi*Ri/gm</f>
        <v>371.05425000000002</v>
      </c>
      <c r="C299"/>
      <c r="D299" s="118" t="s">
        <v>654</v>
      </c>
      <c r="I299" s="57"/>
    </row>
    <row r="300" spans="1:12" x14ac:dyDescent="0.2">
      <c r="A300" s="118" t="s">
        <v>628</v>
      </c>
      <c r="B300" s="4">
        <f>2*Pi*Ri/gm</f>
        <v>371.05425000000002</v>
      </c>
      <c r="C300"/>
      <c r="D300" s="118" t="s">
        <v>655</v>
      </c>
      <c r="I300" s="57"/>
    </row>
    <row r="301" spans="1:12" x14ac:dyDescent="0.2">
      <c r="A301" s="388" t="s">
        <v>582</v>
      </c>
      <c r="B301" s="4"/>
      <c r="C301"/>
      <c r="D301" s="118"/>
      <c r="I301" s="57"/>
    </row>
    <row r="302" spans="1:12" x14ac:dyDescent="0.2">
      <c r="A302" s="388"/>
      <c r="B302" s="4"/>
      <c r="C302"/>
      <c r="D302" s="118"/>
      <c r="I302" s="57"/>
    </row>
    <row r="303" spans="1:12" x14ac:dyDescent="0.2">
      <c r="A303" s="223" t="s">
        <v>46</v>
      </c>
      <c r="B303" s="118">
        <f>Rout</f>
        <v>3</v>
      </c>
      <c r="C303" s="225" t="s">
        <v>120</v>
      </c>
      <c r="D303" s="118" t="s">
        <v>350</v>
      </c>
      <c r="I303" s="57"/>
    </row>
    <row r="304" spans="1:12" x14ac:dyDescent="0.2">
      <c r="A304" s="118" t="s">
        <v>470</v>
      </c>
      <c r="B304" s="118">
        <f>Rout</f>
        <v>3</v>
      </c>
      <c r="C304" s="225" t="s">
        <v>120</v>
      </c>
      <c r="D304" s="118" t="s">
        <v>350</v>
      </c>
      <c r="I304" s="57"/>
    </row>
    <row r="305" spans="1:12" x14ac:dyDescent="0.2">
      <c r="A305" s="118"/>
      <c r="B305" s="118"/>
      <c r="C305" s="225"/>
      <c r="D305" s="118"/>
      <c r="I305" s="57"/>
    </row>
    <row r="306" spans="1:12" x14ac:dyDescent="0.2">
      <c r="A306" s="118" t="s">
        <v>571</v>
      </c>
      <c r="B306" s="415">
        <f>1/(2*Pi*Ro*Cout)+(k-0.5)/(2*Pi*Fsw*Lf*Cout)</f>
        <v>519.1604282575164</v>
      </c>
      <c r="C306" t="s">
        <v>10</v>
      </c>
      <c r="D306" s="118" t="s">
        <v>568</v>
      </c>
      <c r="E306" s="46"/>
      <c r="I306" s="57"/>
    </row>
    <row r="307" spans="1:12" x14ac:dyDescent="0.2">
      <c r="A307" s="118" t="s">
        <v>570</v>
      </c>
      <c r="B307" s="415">
        <f>KD/(2*Pi*Ro*Cout)</f>
        <v>761.06805460157761</v>
      </c>
      <c r="C307" s="118" t="s">
        <v>10</v>
      </c>
      <c r="D307" s="388" t="s">
        <v>569</v>
      </c>
      <c r="I307" s="57"/>
    </row>
    <row r="308" spans="1:12" x14ac:dyDescent="0.2">
      <c r="A308" s="118" t="s">
        <v>619</v>
      </c>
      <c r="B308" s="398">
        <f>IF(VIN_nom&gt;Vout, Fload_u,B307)</f>
        <v>761.06805460157761</v>
      </c>
      <c r="C308" s="118" t="s">
        <v>10</v>
      </c>
      <c r="D308" s="118"/>
      <c r="E308" s="46"/>
      <c r="I308" s="57"/>
    </row>
    <row r="309" spans="1:12" x14ac:dyDescent="0.2">
      <c r="A309" s="118"/>
      <c r="B309" s="398"/>
      <c r="C309"/>
      <c r="D309" s="118"/>
      <c r="E309" s="46"/>
      <c r="I309" s="57"/>
    </row>
    <row r="310" spans="1:12" x14ac:dyDescent="0.2">
      <c r="A310" s="118" t="s">
        <v>531</v>
      </c>
      <c r="B310" s="474">
        <f>1/(2*Pi*(RoEA+Rcea1_u)*Cc1ea_u)</f>
        <v>0.29465962681375302</v>
      </c>
      <c r="C310" t="s">
        <v>10</v>
      </c>
      <c r="D310" s="118" t="s">
        <v>567</v>
      </c>
      <c r="E310" s="46"/>
      <c r="I310" s="57"/>
    </row>
    <row r="311" spans="1:12" x14ac:dyDescent="0.2">
      <c r="A311" s="118" t="s">
        <v>532</v>
      </c>
      <c r="B311" s="415">
        <f>1/(2*Pi*Rcea1_u*(Cc2ea_u+Cbw))</f>
        <v>38663.204730653437</v>
      </c>
      <c r="C311" t="s">
        <v>10</v>
      </c>
      <c r="D311" s="118" t="s">
        <v>544</v>
      </c>
      <c r="E311" s="46"/>
      <c r="I311" s="57"/>
      <c r="K311">
        <f>Fcross</f>
        <v>4000</v>
      </c>
    </row>
    <row r="312" spans="1:12" x14ac:dyDescent="0.2">
      <c r="A312" s="223" t="s">
        <v>28</v>
      </c>
      <c r="B312" s="415">
        <f>1/(2*Pi*Cout*CoutEsr)</f>
        <v>26793.761493898379</v>
      </c>
      <c r="C312" t="s">
        <v>10</v>
      </c>
      <c r="D312" s="118" t="s">
        <v>565</v>
      </c>
      <c r="I312" s="57"/>
    </row>
    <row r="313" spans="1:12" x14ac:dyDescent="0.2">
      <c r="A313" s="223" t="s">
        <v>469</v>
      </c>
      <c r="B313" s="475">
        <f>(1-Don_Vinnom_2)^2*Ro/(2*Pi*Lf)</f>
        <v>100591.86030319271</v>
      </c>
      <c r="C313" t="s">
        <v>10</v>
      </c>
      <c r="D313" s="118" t="s">
        <v>566</v>
      </c>
      <c r="H313" s="388" t="s">
        <v>613</v>
      </c>
      <c r="I313" s="57"/>
    </row>
    <row r="314" spans="1:12" x14ac:dyDescent="0.2">
      <c r="A314" s="118" t="s">
        <v>577</v>
      </c>
      <c r="B314" s="415">
        <f>Fsw/2</f>
        <v>185000</v>
      </c>
      <c r="C314" t="s">
        <v>10</v>
      </c>
      <c r="D314" s="118" t="s">
        <v>576</v>
      </c>
      <c r="I314" s="57"/>
    </row>
    <row r="315" spans="1:12" x14ac:dyDescent="0.2">
      <c r="A315" s="118"/>
      <c r="B315" s="398"/>
      <c r="C315"/>
      <c r="D315" s="118"/>
      <c r="E315" s="46"/>
      <c r="I315" s="57"/>
    </row>
    <row r="316" spans="1:12" x14ac:dyDescent="0.2">
      <c r="A316" s="223" t="s">
        <v>564</v>
      </c>
      <c r="B316" s="343">
        <f>'Design Converter'!E71*1000</f>
        <v>4000</v>
      </c>
      <c r="C316" s="397" t="s">
        <v>10</v>
      </c>
      <c r="D316" s="118"/>
      <c r="E316">
        <f>z_RHP</f>
        <v>100591.86030319271</v>
      </c>
      <c r="I316" s="57"/>
    </row>
    <row r="317" spans="1:12" x14ac:dyDescent="0.2">
      <c r="A317" s="66" t="s">
        <v>35</v>
      </c>
      <c r="B317" s="398">
        <f>IF(VIN_nom&gt;Vout, Fcross*Cout*2*Pi*Ri/(gm*Afb), Fcross*Cout*2*Pi*Ri/(gm*Afb*(1-Don_Vinnom_2)*SQRT(1+(Fcross/z_RHP)^2)))</f>
        <v>4918.227321604405</v>
      </c>
      <c r="C317" s="225" t="s">
        <v>120</v>
      </c>
      <c r="D317" s="118" t="s">
        <v>526</v>
      </c>
      <c r="I317" s="57">
        <v>1</v>
      </c>
      <c r="K317" s="333">
        <f>Fcross*Cout*2*Pi*Ri/(gm*Afb*(1-Don_Vinnom_2))</f>
        <v>4922.1142033460583</v>
      </c>
      <c r="L317" s="225" t="s">
        <v>120</v>
      </c>
    </row>
    <row r="318" spans="1:12" x14ac:dyDescent="0.2">
      <c r="A318" s="66" t="s">
        <v>33</v>
      </c>
      <c r="B318" s="397">
        <f>1/(Rcea1*(1.5*Fp_dominant)*2*Pi)</f>
        <v>2.8346326293472507E-8</v>
      </c>
      <c r="C318" t="s">
        <v>26</v>
      </c>
      <c r="D318" s="621" t="s">
        <v>955</v>
      </c>
      <c r="I318" s="57">
        <v>1</v>
      </c>
    </row>
    <row r="319" spans="1:12" x14ac:dyDescent="0.2">
      <c r="A319" s="66" t="s">
        <v>34</v>
      </c>
      <c r="B319" s="397">
        <f>1/((Rcea1*2*Pi*B320))-Cbw</f>
        <v>8.493348314285888E-10</v>
      </c>
      <c r="C319" t="s">
        <v>26</v>
      </c>
      <c r="D319" s="118" t="s">
        <v>527</v>
      </c>
      <c r="I319" s="57">
        <v>1</v>
      </c>
    </row>
    <row r="320" spans="1:12" x14ac:dyDescent="0.2">
      <c r="A320" s="65"/>
      <c r="B320" s="1">
        <f>MAX(Fcross*7,Fsw/10)</f>
        <v>37000</v>
      </c>
      <c r="C320" s="225"/>
      <c r="D320" s="621" t="s">
        <v>954</v>
      </c>
      <c r="E320" s="620"/>
      <c r="F320" s="620"/>
      <c r="G320" s="620"/>
      <c r="H320" s="620"/>
      <c r="I320" s="57">
        <v>1</v>
      </c>
    </row>
    <row r="321" spans="1:9" x14ac:dyDescent="0.2">
      <c r="A321" s="66" t="s">
        <v>472</v>
      </c>
      <c r="I321" s="57"/>
    </row>
    <row r="322" spans="1:9" x14ac:dyDescent="0.2">
      <c r="A322" s="56" t="s">
        <v>36</v>
      </c>
      <c r="B322" s="69">
        <f>'Design Converter'!D78*1000</f>
        <v>4870</v>
      </c>
      <c r="C322" s="225" t="s">
        <v>120</v>
      </c>
      <c r="I322" s="57">
        <v>2</v>
      </c>
    </row>
    <row r="323" spans="1:9" x14ac:dyDescent="0.2">
      <c r="A323" s="56" t="s">
        <v>37</v>
      </c>
      <c r="B323" s="69">
        <f>'Design Converter'!D79*0.000000001</f>
        <v>2.7E-8</v>
      </c>
      <c r="C323" t="s">
        <v>26</v>
      </c>
      <c r="I323" s="57">
        <v>2</v>
      </c>
    </row>
    <row r="324" spans="1:9" x14ac:dyDescent="0.2">
      <c r="A324" s="56" t="s">
        <v>38</v>
      </c>
      <c r="B324" s="69">
        <f>'Design Converter'!D80*0.000000000001</f>
        <v>8.1999999999999996E-10</v>
      </c>
      <c r="C324" t="s">
        <v>26</v>
      </c>
      <c r="I324" s="57">
        <v>2</v>
      </c>
    </row>
    <row r="325" spans="1:9" x14ac:dyDescent="0.2">
      <c r="A325" s="56"/>
      <c r="B325" s="48"/>
      <c r="C325"/>
      <c r="I325" s="57"/>
    </row>
    <row r="326" spans="1:9" x14ac:dyDescent="0.2">
      <c r="A326" s="223" t="s">
        <v>525</v>
      </c>
      <c r="B326" s="68">
        <f>'Design Converter'!E32*1*10^-12</f>
        <v>1.2E-10</v>
      </c>
      <c r="C326" s="118" t="s">
        <v>32</v>
      </c>
      <c r="I326" s="57">
        <v>2</v>
      </c>
    </row>
    <row r="327" spans="1:9" x14ac:dyDescent="0.2">
      <c r="A327" s="56"/>
      <c r="C327"/>
      <c r="I327" s="57"/>
    </row>
    <row r="328" spans="1:9" x14ac:dyDescent="0.2">
      <c r="A328" s="66" t="s">
        <v>546</v>
      </c>
      <c r="C328"/>
      <c r="D328">
        <f>Cout</f>
        <v>2.2000000000000001E-4</v>
      </c>
      <c r="E328">
        <f>CoutEsr</f>
        <v>2.7E-2</v>
      </c>
      <c r="I328" s="57"/>
    </row>
    <row r="329" spans="1:9" x14ac:dyDescent="0.2">
      <c r="A329" s="66" t="s">
        <v>39</v>
      </c>
      <c r="B329" s="399">
        <f>1/(2*Pi*Rcea1_u*Cc1ea_u)</f>
        <v>1210.3957964389413</v>
      </c>
      <c r="C329" t="s">
        <v>10</v>
      </c>
      <c r="D329" s="118" t="s">
        <v>625</v>
      </c>
      <c r="I329" s="57"/>
    </row>
    <row r="330" spans="1:9" x14ac:dyDescent="0.2">
      <c r="A330" s="66" t="s">
        <v>40</v>
      </c>
      <c r="B330" s="399">
        <f>1/(2*Pi*Rcea1_u*(Cc1ea_u*(Cc2ea_u+Cbw)/(Cc1ea_u+Cc2ea_u+Cbw)))</f>
        <v>39873.600527092385</v>
      </c>
      <c r="C330" t="s">
        <v>10</v>
      </c>
      <c r="D330" t="s">
        <v>162</v>
      </c>
      <c r="I330" s="57"/>
    </row>
    <row r="331" spans="1:9" x14ac:dyDescent="0.2">
      <c r="C331"/>
      <c r="I331" s="57"/>
    </row>
    <row r="332" spans="1:9" x14ac:dyDescent="0.2">
      <c r="A332" s="56" t="s">
        <v>31</v>
      </c>
      <c r="B332" s="343">
        <f>'Design Converter'!E73*1000</f>
        <v>280000</v>
      </c>
      <c r="C332" s="225" t="s">
        <v>120</v>
      </c>
      <c r="D332" s="118" t="s">
        <v>555</v>
      </c>
      <c r="I332" s="57">
        <v>1</v>
      </c>
    </row>
    <row r="333" spans="1:9" x14ac:dyDescent="0.2">
      <c r="A333" s="66" t="s">
        <v>43</v>
      </c>
      <c r="B333" s="387">
        <f>IF(Vout=Vref,100000000,Vref*B332/((Vout-Vref)))</f>
        <v>20000</v>
      </c>
      <c r="C333" s="225" t="s">
        <v>120</v>
      </c>
      <c r="D333" s="118" t="s">
        <v>554</v>
      </c>
      <c r="I333" s="57"/>
    </row>
    <row r="334" spans="1:9" x14ac:dyDescent="0.2">
      <c r="A334" s="56" t="s">
        <v>167</v>
      </c>
      <c r="B334" s="68">
        <f>IF(Vout=Vref,"N/A",'Standard Value Calculator'!O10)</f>
        <v>20000</v>
      </c>
      <c r="C334" s="225" t="s">
        <v>120</v>
      </c>
      <c r="D334" s="118" t="s">
        <v>553</v>
      </c>
      <c r="I334" s="57"/>
    </row>
    <row r="335" spans="1:9" ht="13.5" thickBot="1" x14ac:dyDescent="0.25">
      <c r="A335" s="414"/>
      <c r="B335" s="414"/>
      <c r="C335" s="71"/>
      <c r="D335" s="61"/>
      <c r="E335" s="71"/>
      <c r="F335" s="61"/>
      <c r="G335" s="61"/>
      <c r="H335" s="61"/>
      <c r="I335" s="62"/>
    </row>
    <row r="336" spans="1:9" x14ac:dyDescent="0.2">
      <c r="A336" s="1"/>
      <c r="B336" s="46"/>
      <c r="C336" s="46"/>
      <c r="E336" s="46"/>
    </row>
    <row r="337" spans="1:9" x14ac:dyDescent="0.2">
      <c r="A337" s="66" t="s">
        <v>206</v>
      </c>
      <c r="B337" s="1"/>
      <c r="C337"/>
    </row>
    <row r="338" spans="1:9" x14ac:dyDescent="0.2">
      <c r="A338" s="66" t="s">
        <v>209</v>
      </c>
      <c r="B338" s="2">
        <v>0</v>
      </c>
      <c r="C338" s="225" t="s">
        <v>120</v>
      </c>
      <c r="D338" s="118" t="s">
        <v>349</v>
      </c>
      <c r="H338" t="e">
        <f>_Don2*RdsonTop+Doff2*RdsonBot+B342*Vin^2*Fsw/2/(((Iripple1/SQRT(3))^2))</f>
        <v>#NAME?</v>
      </c>
    </row>
    <row r="339" spans="1:9" x14ac:dyDescent="0.2">
      <c r="A339" s="66" t="s">
        <v>212</v>
      </c>
      <c r="B339" s="412" t="e">
        <f>0.00000002*Fsw*0.6*4/Iripple1</f>
        <v>#NAME?</v>
      </c>
      <c r="C339" s="46"/>
      <c r="E339" s="46"/>
    </row>
    <row r="340" spans="1:9" x14ac:dyDescent="0.2">
      <c r="A340" s="66" t="s">
        <v>211</v>
      </c>
      <c r="B340" s="412" t="e">
        <f>_Don2*RdsonTop+Doff2*RdsonBot</f>
        <v>#NAME?</v>
      </c>
      <c r="C340" s="46"/>
      <c r="E340" s="46"/>
    </row>
    <row r="341" spans="1:9" x14ac:dyDescent="0.2">
      <c r="A341" s="66" t="s">
        <v>210</v>
      </c>
      <c r="B341" s="412" t="e">
        <f>B342*Vin^2*Fsw/2/(((Iripple1/SQRT(3))^2))</f>
        <v>#NAME?</v>
      </c>
      <c r="C341" s="46"/>
      <c r="E341" s="46"/>
    </row>
    <row r="342" spans="1:9" x14ac:dyDescent="0.2">
      <c r="A342" s="66" t="s">
        <v>213</v>
      </c>
      <c r="B342" s="413">
        <v>5.0000000000000001E-9</v>
      </c>
      <c r="C342" s="46"/>
      <c r="E342" s="46"/>
    </row>
    <row r="343" spans="1:9" x14ac:dyDescent="0.2">
      <c r="A343" s="1"/>
      <c r="B343" s="46"/>
      <c r="C343" s="46"/>
      <c r="E343" s="46"/>
    </row>
    <row r="344" spans="1:9" ht="16.5" thickBot="1" x14ac:dyDescent="0.3">
      <c r="A344" s="96" t="s">
        <v>229</v>
      </c>
    </row>
    <row r="345" spans="1:9" x14ac:dyDescent="0.2">
      <c r="A345" s="93"/>
      <c r="B345" s="63"/>
      <c r="C345" s="317"/>
      <c r="D345" s="63"/>
      <c r="E345" s="63"/>
      <c r="F345" s="63"/>
      <c r="G345" s="63"/>
      <c r="H345" s="63"/>
      <c r="I345" s="64"/>
    </row>
    <row r="346" spans="1:9" x14ac:dyDescent="0.2">
      <c r="A346" s="66" t="s">
        <v>59</v>
      </c>
      <c r="I346" s="57"/>
    </row>
    <row r="347" spans="1:9" x14ac:dyDescent="0.2">
      <c r="A347" s="56" t="s">
        <v>87</v>
      </c>
      <c r="B347" s="29">
        <v>25</v>
      </c>
      <c r="C347" s="118" t="s">
        <v>282</v>
      </c>
      <c r="D347" t="s">
        <v>100</v>
      </c>
      <c r="I347" s="57"/>
    </row>
    <row r="348" spans="1:9" x14ac:dyDescent="0.2">
      <c r="A348" s="66" t="s">
        <v>62</v>
      </c>
      <c r="C348"/>
      <c r="I348" s="57"/>
    </row>
    <row r="349" spans="1:9" x14ac:dyDescent="0.2">
      <c r="A349" s="56" t="s">
        <v>86</v>
      </c>
      <c r="B349" s="59">
        <f>4000/1000000</f>
        <v>4.0000000000000001E-3</v>
      </c>
      <c r="C349" s="118" t="s">
        <v>358</v>
      </c>
      <c r="D349" s="118" t="s">
        <v>690</v>
      </c>
      <c r="I349" s="57"/>
    </row>
    <row r="350" spans="1:9" ht="15.75" x14ac:dyDescent="0.3">
      <c r="A350" s="223" t="s">
        <v>687</v>
      </c>
      <c r="B350" s="59">
        <v>20</v>
      </c>
      <c r="C350" s="118" t="s">
        <v>241</v>
      </c>
      <c r="D350" s="118" t="s">
        <v>688</v>
      </c>
      <c r="I350" s="57"/>
    </row>
    <row r="351" spans="1:9" x14ac:dyDescent="0.2">
      <c r="A351" s="56" t="s">
        <v>90</v>
      </c>
      <c r="B351" s="29">
        <f>RCinEsr</f>
        <v>3.2000000000000001E-2</v>
      </c>
      <c r="C351" s="225" t="s">
        <v>120</v>
      </c>
      <c r="D351" s="118" t="s">
        <v>689</v>
      </c>
      <c r="I351" s="57"/>
    </row>
    <row r="352" spans="1:9" x14ac:dyDescent="0.2">
      <c r="A352" s="65" t="s">
        <v>164</v>
      </c>
      <c r="C352"/>
      <c r="I352" s="57"/>
    </row>
    <row r="353" spans="1:9" x14ac:dyDescent="0.2">
      <c r="A353" s="223" t="s">
        <v>684</v>
      </c>
      <c r="B353" s="59">
        <f>7.5</f>
        <v>7.5</v>
      </c>
      <c r="C353" t="s">
        <v>0</v>
      </c>
      <c r="D353" s="388" t="s">
        <v>686</v>
      </c>
      <c r="I353" s="57"/>
    </row>
    <row r="354" spans="1:9" x14ac:dyDescent="0.2">
      <c r="A354" s="66" t="s">
        <v>116</v>
      </c>
      <c r="C354"/>
      <c r="I354" s="57"/>
    </row>
    <row r="355" spans="1:9" x14ac:dyDescent="0.2">
      <c r="A355" s="56" t="s">
        <v>65</v>
      </c>
      <c r="B355" s="59">
        <v>1.5</v>
      </c>
      <c r="C355" s="225" t="s">
        <v>120</v>
      </c>
      <c r="D355" s="118" t="s">
        <v>556</v>
      </c>
      <c r="I355" s="57"/>
    </row>
    <row r="356" spans="1:9" x14ac:dyDescent="0.2">
      <c r="A356" s="56" t="s">
        <v>150</v>
      </c>
      <c r="B356" s="59">
        <v>1</v>
      </c>
      <c r="C356" s="225" t="s">
        <v>120</v>
      </c>
      <c r="D356" s="118" t="s">
        <v>557</v>
      </c>
      <c r="I356" s="57"/>
    </row>
    <row r="357" spans="1:9" x14ac:dyDescent="0.2">
      <c r="A357" s="66" t="s">
        <v>117</v>
      </c>
      <c r="C357"/>
      <c r="I357" s="57"/>
    </row>
    <row r="358" spans="1:9" x14ac:dyDescent="0.2">
      <c r="A358" s="56" t="s">
        <v>64</v>
      </c>
      <c r="B358" s="110">
        <v>1.5</v>
      </c>
      <c r="C358" s="225" t="s">
        <v>120</v>
      </c>
      <c r="D358" s="118" t="s">
        <v>558</v>
      </c>
      <c r="I358" s="57"/>
    </row>
    <row r="359" spans="1:9" x14ac:dyDescent="0.2">
      <c r="A359" s="56" t="s">
        <v>149</v>
      </c>
      <c r="B359" s="59">
        <v>1</v>
      </c>
      <c r="C359" s="225" t="s">
        <v>120</v>
      </c>
      <c r="D359" s="118" t="s">
        <v>559</v>
      </c>
      <c r="I359" s="57"/>
    </row>
    <row r="360" spans="1:9" x14ac:dyDescent="0.2">
      <c r="A360" s="66" t="s">
        <v>66</v>
      </c>
      <c r="C360"/>
      <c r="I360" s="57"/>
    </row>
    <row r="361" spans="1:9" x14ac:dyDescent="0.2">
      <c r="A361" s="56" t="s">
        <v>66</v>
      </c>
      <c r="B361" s="67">
        <v>4.9999999999999998E-8</v>
      </c>
      <c r="C361" t="s">
        <v>163</v>
      </c>
      <c r="D361" t="s">
        <v>102</v>
      </c>
      <c r="G361" s="388" t="s">
        <v>614</v>
      </c>
      <c r="I361" s="57"/>
    </row>
    <row r="362" spans="1:9" x14ac:dyDescent="0.2">
      <c r="A362" s="66" t="s">
        <v>56</v>
      </c>
      <c r="C362"/>
      <c r="I362" s="57"/>
    </row>
    <row r="363" spans="1:9" x14ac:dyDescent="0.2">
      <c r="A363" s="56" t="s">
        <v>158</v>
      </c>
      <c r="B363" s="59">
        <v>3.0000000000000001E-3</v>
      </c>
      <c r="C363" t="s">
        <v>2</v>
      </c>
      <c r="D363" s="118" t="s">
        <v>913</v>
      </c>
      <c r="I363" s="57"/>
    </row>
    <row r="364" spans="1:9" x14ac:dyDescent="0.2">
      <c r="A364" s="56"/>
      <c r="C364"/>
      <c r="I364" s="57"/>
    </row>
    <row r="365" spans="1:9" x14ac:dyDescent="0.2">
      <c r="A365" s="66" t="s">
        <v>753</v>
      </c>
      <c r="B365" s="2" t="s">
        <v>772</v>
      </c>
      <c r="C365"/>
      <c r="D365" s="2" t="s">
        <v>773</v>
      </c>
      <c r="I365" s="57"/>
    </row>
    <row r="366" spans="1:9" x14ac:dyDescent="0.2">
      <c r="A366" s="223" t="s">
        <v>774</v>
      </c>
      <c r="B366" s="29">
        <f>'Design Converter'!E87/1000</f>
        <v>0.01</v>
      </c>
      <c r="C366" s="225" t="s">
        <v>120</v>
      </c>
      <c r="D366" s="29">
        <f>'Design Converter'!F87/1000</f>
        <v>0.01</v>
      </c>
      <c r="E366" s="225" t="s">
        <v>120</v>
      </c>
      <c r="F366" s="118" t="s">
        <v>760</v>
      </c>
      <c r="I366" s="57"/>
    </row>
    <row r="367" spans="1:9" x14ac:dyDescent="0.2">
      <c r="A367" s="56" t="s">
        <v>83</v>
      </c>
      <c r="B367" s="59">
        <f>4000/1000000</f>
        <v>4.0000000000000001E-3</v>
      </c>
      <c r="C367" s="118" t="s">
        <v>358</v>
      </c>
      <c r="E367" s="118"/>
      <c r="F367" s="118" t="s">
        <v>560</v>
      </c>
      <c r="I367" s="57"/>
    </row>
    <row r="368" spans="1:9" x14ac:dyDescent="0.2">
      <c r="A368" s="223" t="s">
        <v>132</v>
      </c>
      <c r="B368" s="72">
        <f>'Design Converter'!E88/1000000000</f>
        <v>4.5299999999999995E-8</v>
      </c>
      <c r="C368" t="s">
        <v>165</v>
      </c>
      <c r="D368" s="72">
        <f>'Design Converter'!F88/1000000000</f>
        <v>4.5299999999999995E-8</v>
      </c>
      <c r="E368" t="s">
        <v>165</v>
      </c>
      <c r="F368" s="118" t="s">
        <v>748</v>
      </c>
      <c r="I368" s="57"/>
    </row>
    <row r="369" spans="1:9" x14ac:dyDescent="0.2">
      <c r="A369" s="223" t="s">
        <v>775</v>
      </c>
      <c r="B369" s="72">
        <f>'Design Converter'!E89/1000000000</f>
        <v>1.33E-8</v>
      </c>
      <c r="C369" t="s">
        <v>165</v>
      </c>
      <c r="D369" s="72">
        <f>'Design Converter'!F89/1000000000</f>
        <v>1.33E-8</v>
      </c>
      <c r="E369" t="s">
        <v>165</v>
      </c>
      <c r="F369" t="s">
        <v>131</v>
      </c>
      <c r="I369" s="57"/>
    </row>
    <row r="370" spans="1:9" x14ac:dyDescent="0.2">
      <c r="A370" s="223" t="s">
        <v>776</v>
      </c>
      <c r="B370" s="72">
        <f>'Design Converter'!E90/1000000000</f>
        <v>5.2999999999999995E-9</v>
      </c>
      <c r="C370" t="s">
        <v>165</v>
      </c>
      <c r="D370" s="72">
        <f>'Design Converter'!F90/1000000000</f>
        <v>5.2999999999999995E-9</v>
      </c>
      <c r="E370" t="s">
        <v>165</v>
      </c>
      <c r="I370" s="57"/>
    </row>
    <row r="371" spans="1:9" x14ac:dyDescent="0.2">
      <c r="A371" s="223" t="s">
        <v>777</v>
      </c>
      <c r="B371" s="29">
        <f>'Design Converter'!E91</f>
        <v>0.8</v>
      </c>
      <c r="C371" s="225" t="s">
        <v>120</v>
      </c>
      <c r="D371" s="29">
        <f>'Design Converter'!F91</f>
        <v>0.8</v>
      </c>
      <c r="E371" s="225" t="s">
        <v>120</v>
      </c>
      <c r="F371" t="s">
        <v>104</v>
      </c>
      <c r="I371" s="57"/>
    </row>
    <row r="372" spans="1:9" x14ac:dyDescent="0.2">
      <c r="A372" s="223" t="s">
        <v>778</v>
      </c>
      <c r="B372" s="29">
        <f>'Design Converter'!E92</f>
        <v>44</v>
      </c>
      <c r="C372" t="s">
        <v>70</v>
      </c>
      <c r="D372" s="29">
        <f>'Design Converter'!F92</f>
        <v>44</v>
      </c>
      <c r="E372" t="s">
        <v>70</v>
      </c>
      <c r="F372" s="118" t="s">
        <v>759</v>
      </c>
      <c r="I372" s="57"/>
    </row>
    <row r="373" spans="1:9" x14ac:dyDescent="0.2">
      <c r="A373" s="223" t="s">
        <v>779</v>
      </c>
      <c r="B373" s="29">
        <f>'Design Converter'!E93</f>
        <v>1.8</v>
      </c>
      <c r="C373" t="s">
        <v>0</v>
      </c>
      <c r="D373" s="29">
        <f>'Design Converter'!F93</f>
        <v>1.8</v>
      </c>
      <c r="E373" t="s">
        <v>0</v>
      </c>
      <c r="F373" s="118" t="s">
        <v>761</v>
      </c>
      <c r="I373" s="57"/>
    </row>
    <row r="374" spans="1:9" x14ac:dyDescent="0.2">
      <c r="A374" s="223" t="s">
        <v>780</v>
      </c>
      <c r="B374" s="419">
        <f>Vth_Q1+Iout/Gfs_Q1</f>
        <v>1.8909090909090909</v>
      </c>
      <c r="C374" t="s">
        <v>0</v>
      </c>
      <c r="D374" s="419">
        <f>Vth_Q2+Iout/Gfs_Q2</f>
        <v>1.8909090909090909</v>
      </c>
      <c r="E374" t="s">
        <v>0</v>
      </c>
      <c r="F374" s="118" t="s">
        <v>762</v>
      </c>
      <c r="I374" s="57"/>
    </row>
    <row r="375" spans="1:9" x14ac:dyDescent="0.2">
      <c r="A375" s="56"/>
      <c r="C375"/>
      <c r="F375" s="118"/>
      <c r="I375" s="57"/>
    </row>
    <row r="376" spans="1:9" x14ac:dyDescent="0.2">
      <c r="A376" s="223" t="s">
        <v>783</v>
      </c>
      <c r="B376" s="29">
        <f>'Design Converter'!E94</f>
        <v>1.3</v>
      </c>
      <c r="C376" t="s">
        <v>0</v>
      </c>
      <c r="D376" s="29">
        <f>'Design Converter'!F94</f>
        <v>1.3</v>
      </c>
      <c r="E376" t="s">
        <v>0</v>
      </c>
      <c r="F376" s="118" t="s">
        <v>781</v>
      </c>
      <c r="I376" s="57"/>
    </row>
    <row r="377" spans="1:9" x14ac:dyDescent="0.2">
      <c r="A377" s="223" t="s">
        <v>707</v>
      </c>
      <c r="B377" s="72">
        <f>'Design Converter'!E95/1000000000</f>
        <v>0</v>
      </c>
      <c r="C377" t="s">
        <v>165</v>
      </c>
      <c r="D377" s="72">
        <f>'Design Converter'!F95/1000000000</f>
        <v>1E-8</v>
      </c>
      <c r="E377" t="s">
        <v>165</v>
      </c>
      <c r="F377" t="s">
        <v>114</v>
      </c>
      <c r="I377" s="57"/>
    </row>
    <row r="378" spans="1:9" x14ac:dyDescent="0.2">
      <c r="A378" s="223" t="s">
        <v>708</v>
      </c>
      <c r="B378" s="72">
        <v>4.0000000000000001E-8</v>
      </c>
      <c r="C378" t="s">
        <v>163</v>
      </c>
      <c r="D378" s="72">
        <v>4.0000000000000001E-8</v>
      </c>
      <c r="E378" t="s">
        <v>163</v>
      </c>
      <c r="F378" t="s">
        <v>110</v>
      </c>
      <c r="I378" s="57"/>
    </row>
    <row r="379" spans="1:9" x14ac:dyDescent="0.2">
      <c r="A379" s="223" t="s">
        <v>918</v>
      </c>
      <c r="B379" s="29">
        <f>'Design Converter'!E96</f>
        <v>58</v>
      </c>
      <c r="C379" s="118" t="s">
        <v>241</v>
      </c>
      <c r="D379" s="29">
        <f>'Design Converter'!F96</f>
        <v>58</v>
      </c>
      <c r="E379" s="118" t="s">
        <v>241</v>
      </c>
      <c r="F379" t="s">
        <v>107</v>
      </c>
      <c r="I379" s="57"/>
    </row>
    <row r="380" spans="1:9" x14ac:dyDescent="0.2">
      <c r="A380" s="223"/>
      <c r="B380" s="29"/>
      <c r="C380" s="118"/>
      <c r="D380" s="29"/>
      <c r="E380" s="118"/>
      <c r="I380" s="57"/>
    </row>
    <row r="381" spans="1:9" x14ac:dyDescent="0.2">
      <c r="A381" s="223"/>
      <c r="B381" s="118"/>
      <c r="C381" s="118"/>
      <c r="D381" s="118"/>
      <c r="E381" s="118"/>
      <c r="I381" s="57"/>
    </row>
    <row r="382" spans="1:9" x14ac:dyDescent="0.2">
      <c r="A382" s="66" t="s">
        <v>752</v>
      </c>
      <c r="B382" s="2" t="s">
        <v>770</v>
      </c>
      <c r="C382"/>
      <c r="D382" s="2" t="s">
        <v>771</v>
      </c>
      <c r="I382" s="57"/>
    </row>
    <row r="383" spans="1:9" x14ac:dyDescent="0.2">
      <c r="A383" s="223" t="s">
        <v>774</v>
      </c>
      <c r="B383" s="29">
        <f>'Design Converter'!E100/1000</f>
        <v>0.01</v>
      </c>
      <c r="C383" s="225" t="s">
        <v>120</v>
      </c>
      <c r="D383" s="29">
        <f>'Design Converter'!F100/1000</f>
        <v>0.01</v>
      </c>
      <c r="E383" s="225" t="s">
        <v>120</v>
      </c>
      <c r="F383" s="118" t="s">
        <v>754</v>
      </c>
      <c r="I383" s="57"/>
    </row>
    <row r="384" spans="1:9" x14ac:dyDescent="0.2">
      <c r="A384" s="56" t="s">
        <v>84</v>
      </c>
      <c r="B384" s="336">
        <f>4000/1000000</f>
        <v>4.0000000000000001E-3</v>
      </c>
      <c r="C384" s="118" t="s">
        <v>358</v>
      </c>
      <c r="E384" s="118"/>
      <c r="F384" s="118" t="s">
        <v>560</v>
      </c>
      <c r="I384" s="57"/>
    </row>
    <row r="385" spans="1:9" x14ac:dyDescent="0.2">
      <c r="A385" s="223" t="s">
        <v>132</v>
      </c>
      <c r="B385" s="72">
        <f>'Design Converter'!E101/1000000000</f>
        <v>4.5299999999999995E-8</v>
      </c>
      <c r="C385" t="s">
        <v>165</v>
      </c>
      <c r="D385" s="72">
        <f>'Design Converter'!F101/1000000000</f>
        <v>4.5299999999999995E-8</v>
      </c>
      <c r="E385" t="s">
        <v>165</v>
      </c>
      <c r="F385" s="118" t="s">
        <v>755</v>
      </c>
      <c r="I385" s="57"/>
    </row>
    <row r="386" spans="1:9" x14ac:dyDescent="0.2">
      <c r="A386" s="223" t="s">
        <v>775</v>
      </c>
      <c r="B386" s="72">
        <f>'Design Converter'!E102/1000000000</f>
        <v>1.33E-8</v>
      </c>
      <c r="C386" t="s">
        <v>165</v>
      </c>
      <c r="D386" s="72">
        <f>'Design Converter'!F102/1000000000</f>
        <v>1.33E-8</v>
      </c>
      <c r="E386" t="s">
        <v>165</v>
      </c>
      <c r="F386" t="s">
        <v>131</v>
      </c>
      <c r="I386" s="57"/>
    </row>
    <row r="387" spans="1:9" x14ac:dyDescent="0.2">
      <c r="A387" s="223" t="s">
        <v>776</v>
      </c>
      <c r="B387" s="72">
        <f>'Design Converter'!E103/1000000000</f>
        <v>5.2999999999999995E-9</v>
      </c>
      <c r="C387" t="s">
        <v>165</v>
      </c>
      <c r="D387" s="72">
        <f>'Design Converter'!F103/1000000000</f>
        <v>5.2999999999999995E-9</v>
      </c>
      <c r="E387" t="s">
        <v>165</v>
      </c>
      <c r="I387" s="57"/>
    </row>
    <row r="388" spans="1:9" x14ac:dyDescent="0.2">
      <c r="A388" s="223" t="s">
        <v>777</v>
      </c>
      <c r="B388" s="29">
        <v>1</v>
      </c>
      <c r="C388" s="225" t="s">
        <v>120</v>
      </c>
      <c r="D388" s="29">
        <v>1</v>
      </c>
      <c r="E388" s="225" t="s">
        <v>120</v>
      </c>
      <c r="F388" t="s">
        <v>104</v>
      </c>
      <c r="I388" s="57"/>
    </row>
    <row r="389" spans="1:9" x14ac:dyDescent="0.2">
      <c r="A389" s="223" t="s">
        <v>778</v>
      </c>
      <c r="B389" s="29">
        <f>'Design Converter'!E105</f>
        <v>44</v>
      </c>
      <c r="C389" t="s">
        <v>70</v>
      </c>
      <c r="D389" s="29">
        <f>'Design Converter'!F105</f>
        <v>44</v>
      </c>
      <c r="E389" t="s">
        <v>70</v>
      </c>
      <c r="F389" s="118" t="s">
        <v>756</v>
      </c>
      <c r="I389" s="57"/>
    </row>
    <row r="390" spans="1:9" x14ac:dyDescent="0.2">
      <c r="A390" s="223" t="s">
        <v>779</v>
      </c>
      <c r="B390" s="29">
        <f>'Design Converter'!E106</f>
        <v>1.8</v>
      </c>
      <c r="C390" t="s">
        <v>0</v>
      </c>
      <c r="D390" s="29">
        <f>'Design Converter'!F106</f>
        <v>1.8</v>
      </c>
      <c r="E390" t="s">
        <v>0</v>
      </c>
      <c r="F390" s="118" t="s">
        <v>757</v>
      </c>
      <c r="I390" s="57"/>
    </row>
    <row r="391" spans="1:9" x14ac:dyDescent="0.2">
      <c r="A391" s="223" t="s">
        <v>780</v>
      </c>
      <c r="B391" s="419">
        <f>Vth_Q3+Iin_Vinnom/Gfs_Q3</f>
        <v>1.901010101010101</v>
      </c>
      <c r="C391" t="s">
        <v>0</v>
      </c>
      <c r="D391" s="419">
        <f>Vth_Q4+Iin_Vinnom/Gfs_Q4</f>
        <v>1.901010101010101</v>
      </c>
      <c r="E391" t="s">
        <v>0</v>
      </c>
      <c r="F391" s="118" t="s">
        <v>758</v>
      </c>
      <c r="I391" s="57"/>
    </row>
    <row r="392" spans="1:9" x14ac:dyDescent="0.2">
      <c r="E392" s="2"/>
      <c r="I392" s="57"/>
    </row>
    <row r="393" spans="1:9" x14ac:dyDescent="0.2">
      <c r="A393" s="223" t="s">
        <v>782</v>
      </c>
      <c r="B393" s="29">
        <f>'Design Converter'!E107</f>
        <v>1.3</v>
      </c>
      <c r="C393" t="s">
        <v>0</v>
      </c>
      <c r="D393" s="29">
        <f>'Design Converter'!F107</f>
        <v>1.3</v>
      </c>
      <c r="E393" t="s">
        <v>0</v>
      </c>
      <c r="F393" s="118" t="s">
        <v>561</v>
      </c>
      <c r="I393" s="57"/>
    </row>
    <row r="394" spans="1:9" x14ac:dyDescent="0.2">
      <c r="A394" s="56" t="s">
        <v>77</v>
      </c>
      <c r="B394" s="72">
        <f>'Design Converter'!E108/1000000000</f>
        <v>1E-8</v>
      </c>
      <c r="C394" t="s">
        <v>165</v>
      </c>
      <c r="D394" s="72">
        <f>'Design Converter'!F108/1000000000</f>
        <v>0</v>
      </c>
      <c r="E394" t="s">
        <v>165</v>
      </c>
      <c r="F394" t="s">
        <v>114</v>
      </c>
      <c r="I394" s="57"/>
    </row>
    <row r="395" spans="1:9" x14ac:dyDescent="0.2">
      <c r="A395" s="56" t="s">
        <v>78</v>
      </c>
      <c r="B395" s="72">
        <v>4.0000000000000001E-8</v>
      </c>
      <c r="C395" t="s">
        <v>163</v>
      </c>
      <c r="D395" s="72">
        <v>4.0000000000000001E-8</v>
      </c>
      <c r="E395" t="s">
        <v>163</v>
      </c>
      <c r="F395" t="s">
        <v>110</v>
      </c>
      <c r="I395" s="57"/>
    </row>
    <row r="396" spans="1:9" x14ac:dyDescent="0.2">
      <c r="A396" s="223" t="s">
        <v>919</v>
      </c>
      <c r="B396" s="29">
        <f>'Design Converter'!E109</f>
        <v>58</v>
      </c>
      <c r="C396" s="118" t="s">
        <v>241</v>
      </c>
      <c r="D396" s="29">
        <f>'Design Converter'!F109</f>
        <v>58</v>
      </c>
      <c r="E396" s="118" t="s">
        <v>241</v>
      </c>
      <c r="F396" t="s">
        <v>107</v>
      </c>
      <c r="I396" s="57"/>
    </row>
    <row r="397" spans="1:9" x14ac:dyDescent="0.2">
      <c r="A397" s="223"/>
      <c r="B397" s="29"/>
      <c r="C397" s="118"/>
      <c r="D397" s="29"/>
      <c r="E397" s="118"/>
      <c r="I397" s="57"/>
    </row>
    <row r="398" spans="1:9" x14ac:dyDescent="0.2">
      <c r="A398" s="66" t="s">
        <v>751</v>
      </c>
      <c r="B398" s="531" t="s">
        <v>750</v>
      </c>
      <c r="D398" s="531" t="s">
        <v>749</v>
      </c>
      <c r="I398" s="57"/>
    </row>
    <row r="399" spans="1:9" x14ac:dyDescent="0.2">
      <c r="A399" s="56" t="s">
        <v>231</v>
      </c>
      <c r="B399" s="29">
        <f>'Design Converter'!E112</f>
        <v>0</v>
      </c>
      <c r="C399" t="s">
        <v>0</v>
      </c>
      <c r="D399" s="29">
        <f>'Design Converter'!F112</f>
        <v>0</v>
      </c>
      <c r="E399" t="s">
        <v>0</v>
      </c>
      <c r="F399" t="s">
        <v>234</v>
      </c>
      <c r="I399" s="57"/>
    </row>
    <row r="400" spans="1:9" x14ac:dyDescent="0.2">
      <c r="A400" s="56" t="s">
        <v>232</v>
      </c>
      <c r="B400" s="72">
        <f>'Design Converter'!E113/1000000000</f>
        <v>0</v>
      </c>
      <c r="C400" t="s">
        <v>165</v>
      </c>
      <c r="D400" s="72">
        <f>'Design Converter'!F113/1000000000</f>
        <v>0</v>
      </c>
      <c r="E400" t="s">
        <v>165</v>
      </c>
      <c r="F400" t="s">
        <v>235</v>
      </c>
      <c r="I400" s="57"/>
    </row>
    <row r="401" spans="1:9" x14ac:dyDescent="0.2">
      <c r="A401" s="56" t="s">
        <v>233</v>
      </c>
      <c r="B401" s="29">
        <v>0</v>
      </c>
      <c r="C401" t="s">
        <v>2</v>
      </c>
      <c r="D401" s="29">
        <v>0</v>
      </c>
      <c r="E401" t="s">
        <v>2</v>
      </c>
      <c r="F401" t="s">
        <v>236</v>
      </c>
      <c r="I401" s="57"/>
    </row>
    <row r="402" spans="1:9" x14ac:dyDescent="0.2">
      <c r="A402" s="56"/>
      <c r="C402"/>
      <c r="I402" s="57"/>
    </row>
    <row r="403" spans="1:9" x14ac:dyDescent="0.2">
      <c r="A403" s="66" t="s">
        <v>121</v>
      </c>
      <c r="C403"/>
      <c r="I403" s="57"/>
    </row>
    <row r="404" spans="1:9" x14ac:dyDescent="0.2">
      <c r="A404" s="223" t="s">
        <v>681</v>
      </c>
      <c r="B404" s="29">
        <v>30.5</v>
      </c>
      <c r="C404" s="118" t="s">
        <v>241</v>
      </c>
      <c r="D404" s="118"/>
      <c r="E404" s="118"/>
      <c r="F404" t="s">
        <v>685</v>
      </c>
      <c r="I404" s="57"/>
    </row>
    <row r="405" spans="1:9" x14ac:dyDescent="0.2">
      <c r="A405" s="66" t="s">
        <v>81</v>
      </c>
      <c r="C405"/>
      <c r="I405" s="57"/>
    </row>
    <row r="406" spans="1:9" x14ac:dyDescent="0.2">
      <c r="A406" s="223" t="s">
        <v>63</v>
      </c>
      <c r="C406"/>
      <c r="I406" s="57"/>
    </row>
    <row r="407" spans="1:9" x14ac:dyDescent="0.2">
      <c r="A407" s="56" t="s">
        <v>92</v>
      </c>
      <c r="B407" s="69">
        <f>(Qgd_Q1+Qgs_Q1/2)*(RdsonDRT+Rgate1)/(Vdd-Vsp_Q1)</f>
        <v>6.5402755267423012E-9</v>
      </c>
      <c r="C407" t="s">
        <v>163</v>
      </c>
      <c r="D407" s="69">
        <f>(Qgd_Q4+Qgs_Q4/2)*(RdsonDRT+Rgate4)/(Vdd-Vsp_Q4)</f>
        <v>7.1218203139094364E-9</v>
      </c>
      <c r="E407" t="s">
        <v>163</v>
      </c>
      <c r="I407" s="57"/>
    </row>
    <row r="408" spans="1:9" x14ac:dyDescent="0.2">
      <c r="A408" s="56" t="s">
        <v>93</v>
      </c>
      <c r="B408" s="69">
        <f>(Qgd_Q1+Qgs_Q1/2)*(RdsonDRT2+Rgate1)/(Vsp_Q1)</f>
        <v>1.5183173076923079E-8</v>
      </c>
      <c r="C408" t="s">
        <v>163</v>
      </c>
      <c r="D408" s="69">
        <f>(Qgd_Q4+Qgs_Q4/2)*(RdsonDRT2+Rgate4)/(Vsp_Q4)</f>
        <v>1.6780552603613177E-8</v>
      </c>
      <c r="E408" t="s">
        <v>163</v>
      </c>
      <c r="I408" s="57"/>
    </row>
    <row r="409" spans="1:9" x14ac:dyDescent="0.2">
      <c r="A409" s="56"/>
      <c r="C409"/>
      <c r="I409" s="57"/>
    </row>
    <row r="410" spans="1:9" x14ac:dyDescent="0.2">
      <c r="A410" s="66" t="s">
        <v>572</v>
      </c>
      <c r="B410" s="2" t="s">
        <v>8</v>
      </c>
      <c r="C410" s="2" t="s">
        <v>80</v>
      </c>
      <c r="I410" s="57"/>
    </row>
    <row r="411" spans="1:9" x14ac:dyDescent="0.2">
      <c r="A411" s="58" t="s">
        <v>119</v>
      </c>
      <c r="B411" s="3" t="e">
        <f>#REF!</f>
        <v>#REF!</v>
      </c>
      <c r="C411" s="3" t="s">
        <v>120</v>
      </c>
      <c r="I411" s="57"/>
    </row>
    <row r="412" spans="1:9" x14ac:dyDescent="0.2">
      <c r="A412" s="58" t="s">
        <v>123</v>
      </c>
      <c r="B412" s="42" t="e">
        <f>B411*ThetaJaCtrl</f>
        <v>#REF!</v>
      </c>
      <c r="C412" s="118" t="s">
        <v>282</v>
      </c>
      <c r="I412" s="57"/>
    </row>
    <row r="413" spans="1:9" x14ac:dyDescent="0.2">
      <c r="A413" s="58" t="s">
        <v>246</v>
      </c>
      <c r="B413" s="42">
        <f>(Qg_Q1+Qg_Q2)*Fsw+Iq</f>
        <v>3.6521999999999999E-2</v>
      </c>
      <c r="C413" t="s">
        <v>2</v>
      </c>
      <c r="I413" s="57"/>
    </row>
    <row r="414" spans="1:9" x14ac:dyDescent="0.2">
      <c r="A414" s="58" t="s">
        <v>247</v>
      </c>
      <c r="B414">
        <f>Qrr_Q2*Fsw</f>
        <v>3.7000000000000002E-3</v>
      </c>
      <c r="C414" t="s">
        <v>2</v>
      </c>
      <c r="I414" s="57"/>
    </row>
    <row r="415" spans="1:9" x14ac:dyDescent="0.2">
      <c r="A415" s="58" t="s">
        <v>248</v>
      </c>
      <c r="B415" t="e">
        <f>C415/Vin</f>
        <v>#NAME?</v>
      </c>
      <c r="C415" t="e">
        <f>Deadtime*Fsw*(Ipp/2)*(Vsd_Q1+Vsd_Q2)</f>
        <v>#NAME?</v>
      </c>
      <c r="I415" s="57"/>
    </row>
    <row r="416" spans="1:9" x14ac:dyDescent="0.2">
      <c r="A416" s="58" t="s">
        <v>250</v>
      </c>
      <c r="B416" t="e">
        <f>SUM(B413:B415)</f>
        <v>#NAME?</v>
      </c>
      <c r="C416" t="s">
        <v>2</v>
      </c>
      <c r="I416" s="57"/>
    </row>
    <row r="417" spans="1:9" x14ac:dyDescent="0.2">
      <c r="A417" s="56"/>
      <c r="I417" s="57"/>
    </row>
    <row r="418" spans="1:9" x14ac:dyDescent="0.2">
      <c r="A418" s="66" t="s">
        <v>615</v>
      </c>
      <c r="I418" s="57"/>
    </row>
    <row r="419" spans="1:9" x14ac:dyDescent="0.2">
      <c r="A419" s="56" t="s">
        <v>118</v>
      </c>
      <c r="I419" s="57"/>
    </row>
    <row r="420" spans="1:9" ht="13.5" thickBot="1" x14ac:dyDescent="0.25">
      <c r="A420" s="60" t="s">
        <v>119</v>
      </c>
      <c r="B420" s="61"/>
      <c r="C420" s="318"/>
      <c r="D420" s="61"/>
      <c r="E420" s="61"/>
      <c r="F420" s="61"/>
      <c r="G420" s="61"/>
      <c r="H420" s="61"/>
      <c r="I420" s="62"/>
    </row>
    <row r="421" spans="1:9" x14ac:dyDescent="0.2">
      <c r="A421" s="1"/>
      <c r="B421" s="1"/>
      <c r="C421" s="1"/>
    </row>
    <row r="422" spans="1:9" ht="21.75" customHeight="1" thickBot="1" x14ac:dyDescent="0.3">
      <c r="A422" s="92" t="s">
        <v>242</v>
      </c>
    </row>
    <row r="423" spans="1:9" x14ac:dyDescent="0.2">
      <c r="A423" s="93" t="str">
        <f>"RC1 = "&amp;'Design Converter'!D78&amp;"kΩ"</f>
        <v>RC1 = 4.87kΩ</v>
      </c>
      <c r="B423" s="63" t="str">
        <f>'Design Converter'!D78&amp;"kΩ"</f>
        <v>4.87kΩ</v>
      </c>
      <c r="C423" s="317"/>
      <c r="D423" s="63"/>
      <c r="E423" s="63"/>
      <c r="F423" s="63"/>
      <c r="G423" s="63"/>
      <c r="H423" s="63"/>
      <c r="I423" s="64"/>
    </row>
    <row r="424" spans="1:9" x14ac:dyDescent="0.2">
      <c r="A424" s="56" t="str">
        <f>"RUV1 = "&amp;'Design Converter'!E64&amp;"kΩ"</f>
        <v>RUV1 = 249kΩ</v>
      </c>
      <c r="B424" t="str">
        <f>'Design Converter'!E64&amp;"kΩ"</f>
        <v>249kΩ</v>
      </c>
      <c r="I424" s="57"/>
    </row>
    <row r="425" spans="1:9" x14ac:dyDescent="0.2">
      <c r="A425" s="56" t="str">
        <f>"RUV2 = "&amp;'Design Converter'!E65&amp;"kΩ"</f>
        <v>RUV2 = 36.5kΩ</v>
      </c>
      <c r="B425" t="str">
        <f>'Design Converter'!E65&amp;"kΩ"</f>
        <v>36.5kΩ</v>
      </c>
      <c r="I425" s="57"/>
    </row>
    <row r="426" spans="1:9" x14ac:dyDescent="0.2">
      <c r="A426" s="56" t="str">
        <f>"LF = "&amp;'Design Converter'!E16&amp;"µH"</f>
        <v>LF = 4.7µH</v>
      </c>
      <c r="B426" t="str">
        <f>'Design Converter'!E16&amp;"µH"</f>
        <v>4.7µH</v>
      </c>
      <c r="I426" s="57"/>
    </row>
    <row r="427" spans="1:9" x14ac:dyDescent="0.2">
      <c r="A427" s="56" t="str">
        <f>"Rdcr = "&amp;Rdcr*1000&amp;"mΩ"</f>
        <v>Rdcr = 13.2mΩ</v>
      </c>
      <c r="B427" t="str">
        <f>Rdcr*1000&amp;"mΩ"</f>
        <v>13.2mΩ</v>
      </c>
      <c r="I427" s="57"/>
    </row>
    <row r="428" spans="1:9" x14ac:dyDescent="0.2">
      <c r="A428" s="56" t="str">
        <f>"Rs = "&amp;'Design Converter'!E28&amp;"mΩ"</f>
        <v>Rs = 15mΩ</v>
      </c>
      <c r="B428" t="str">
        <f>'Design Converter'!E28&amp;"mΩ"</f>
        <v>15mΩ</v>
      </c>
      <c r="I428" s="57"/>
    </row>
    <row r="429" spans="1:9" x14ac:dyDescent="0.2">
      <c r="A429" s="56" t="str">
        <f>"Rshunt = "&amp;ROUND('Design Converter'!E37,1)&amp;"mΩ"</f>
        <v>Rshunt = 4.2mΩ</v>
      </c>
      <c r="B429" t="str">
        <f>ROUND('Design Converter'!E37,1)&amp;"mΩ"</f>
        <v>4.2mΩ</v>
      </c>
      <c r="I429" s="57"/>
    </row>
    <row r="430" spans="1:9" x14ac:dyDescent="0.2">
      <c r="A430" s="56"/>
      <c r="I430" s="57"/>
    </row>
    <row r="431" spans="1:9" x14ac:dyDescent="0.2">
      <c r="A431" s="56" t="str">
        <f>"VOUT = "&amp;'Design Converter'!E9&amp;"V"</f>
        <v>VOUT = 12V</v>
      </c>
      <c r="B431" t="str">
        <f>'Design Converter'!E9&amp;"V"</f>
        <v>12V</v>
      </c>
      <c r="I431" s="57"/>
    </row>
    <row r="432" spans="1:9" x14ac:dyDescent="0.2">
      <c r="A432" s="56"/>
      <c r="I432" s="57"/>
    </row>
    <row r="433" spans="1:9" x14ac:dyDescent="0.2">
      <c r="A433" s="56" t="str">
        <f>"COUT = "&amp;'Design Converter'!$E$42&amp;"µF"</f>
        <v>COUT = 220µF</v>
      </c>
      <c r="B433" t="str">
        <f>'Design Converter'!$E$42&amp;"µF"</f>
        <v>220µF</v>
      </c>
      <c r="I433" s="57"/>
    </row>
    <row r="434" spans="1:9" x14ac:dyDescent="0.2">
      <c r="A434" s="223" t="s">
        <v>344</v>
      </c>
      <c r="B434" t="str">
        <f>"22µF"</f>
        <v>22µF</v>
      </c>
      <c r="I434" s="57"/>
    </row>
    <row r="435" spans="1:9" x14ac:dyDescent="0.2">
      <c r="A435" s="223" t="s">
        <v>345</v>
      </c>
      <c r="B435" s="120" t="str">
        <f>ROUNDUP(Cout*1000000/22,0)&amp;" x"</f>
        <v>10 x</v>
      </c>
      <c r="C435" s="319"/>
      <c r="I435" s="57"/>
    </row>
    <row r="436" spans="1:9" x14ac:dyDescent="0.2">
      <c r="A436" s="56"/>
      <c r="I436" s="57"/>
    </row>
    <row r="437" spans="1:9" x14ac:dyDescent="0.2">
      <c r="A437" s="56" t="s">
        <v>267</v>
      </c>
      <c r="B437" t="str">
        <f>Cin*1000000&amp;"µF"</f>
        <v>120µF</v>
      </c>
      <c r="I437" s="57"/>
    </row>
    <row r="438" spans="1:9" x14ac:dyDescent="0.2">
      <c r="A438" s="223" t="s">
        <v>343</v>
      </c>
      <c r="B438" t="str">
        <f>"10µF"</f>
        <v>10µF</v>
      </c>
      <c r="I438" s="57"/>
    </row>
    <row r="439" spans="1:9" x14ac:dyDescent="0.2">
      <c r="A439" s="223" t="s">
        <v>342</v>
      </c>
      <c r="B439" s="120" t="str">
        <f>ROUNDUP(Cin*1000000/10,0)&amp;" x"</f>
        <v>12 x</v>
      </c>
      <c r="C439" s="319"/>
      <c r="I439" s="57"/>
    </row>
    <row r="440" spans="1:9" x14ac:dyDescent="0.2">
      <c r="A440" s="223"/>
      <c r="B440" s="120"/>
      <c r="C440" s="319"/>
      <c r="I440" s="57"/>
    </row>
    <row r="441" spans="1:9" x14ac:dyDescent="0.2">
      <c r="A441" s="56" t="str">
        <f>"RC1 = "&amp;Rcea1_u/1000&amp;"kΩ"</f>
        <v>RC1 = 4.87kΩ</v>
      </c>
      <c r="B441" t="str">
        <f>ROUND(Rcea1_u/1000,2)&amp;"kΩ"</f>
        <v>4.87kΩ</v>
      </c>
      <c r="I441" s="57"/>
    </row>
    <row r="442" spans="1:9" x14ac:dyDescent="0.2">
      <c r="A442" s="56" t="str">
        <f>"CC1 = "&amp;Cc1ea_u*10^9&amp;"nF"</f>
        <v>CC1 = 27nF</v>
      </c>
      <c r="B442" t="str">
        <f>Cc1ea_u*10^9&amp;"nF"</f>
        <v>27nF</v>
      </c>
      <c r="I442" s="57"/>
    </row>
    <row r="443" spans="1:9" x14ac:dyDescent="0.2">
      <c r="A443" s="56" t="str">
        <f>"CC2 = "&amp;IF(Cc2ea_u&gt;0, Cc2ea_u*10^12&amp;"pF", "OPEN")</f>
        <v>CC2 = 820pF</v>
      </c>
      <c r="B443" t="str">
        <f>IF(Cc2ea_u&gt;0, ROUND(Cc2ea_u*10^12,1)&amp;"pF", "N/A")</f>
        <v>820pF</v>
      </c>
      <c r="I443" s="57"/>
    </row>
    <row r="444" spans="1:9" x14ac:dyDescent="0.2">
      <c r="A444" s="56"/>
      <c r="I444" s="57"/>
    </row>
    <row r="445" spans="1:9" x14ac:dyDescent="0.2">
      <c r="A445" s="56" t="str">
        <f>"gm = "&amp;$B$239*1000&amp;"mS"</f>
        <v>gm = 1.27mS</v>
      </c>
      <c r="B445" t="str">
        <f>$B$239*1000&amp;"mS"</f>
        <v>1.27mS</v>
      </c>
      <c r="I445" s="57"/>
    </row>
    <row r="446" spans="1:9" x14ac:dyDescent="0.2">
      <c r="A446" s="56" t="str">
        <f>"RoEA = "&amp;RoEA/1000000&amp;"MΩ"</f>
        <v>RoEA = 20MΩ</v>
      </c>
      <c r="B446" t="str">
        <f>RoEA/1000000&amp;"MΩ"</f>
        <v>20MΩ</v>
      </c>
      <c r="I446" s="57"/>
    </row>
    <row r="447" spans="1:9" x14ac:dyDescent="0.2">
      <c r="A447" s="56" t="str">
        <f>"GBW = "&amp;GBW&amp;"MHz"</f>
        <v>GBW = 8MHz</v>
      </c>
      <c r="B447" t="str">
        <f>GBW&amp;"MHz"</f>
        <v>8MHz</v>
      </c>
      <c r="I447" s="57"/>
    </row>
    <row r="448" spans="1:9" x14ac:dyDescent="0.2">
      <c r="A448" s="56"/>
      <c r="I448" s="57"/>
    </row>
    <row r="449" spans="1:9" x14ac:dyDescent="0.2">
      <c r="A449" s="56" t="str">
        <f>"Cslope = "&amp;Cslope&amp;"pF"</f>
        <v>Cslope = 120pF</v>
      </c>
      <c r="B449" t="str">
        <f>ROUND(Cslope*1,0)&amp;"pF"</f>
        <v>120pF</v>
      </c>
      <c r="I449" s="57"/>
    </row>
    <row r="450" spans="1:9" x14ac:dyDescent="0.2">
      <c r="A450" s="56" t="str">
        <f>IF(DITHER=1, "Cdither = "&amp;Cdither*1000000000&amp;"nF", "")</f>
        <v>Cdither = 47nF</v>
      </c>
      <c r="B450" t="str">
        <f>IF(DITHER=1, ROUND(Cdither*1000000000,0)&amp;"nF", "")</f>
        <v>47nF</v>
      </c>
      <c r="C450" s="2" t="str">
        <f>IF(DITHER=1, "Cd", "")</f>
        <v>Cd</v>
      </c>
      <c r="I450" s="57"/>
    </row>
    <row r="451" spans="1:9" x14ac:dyDescent="0.2">
      <c r="A451" s="56" t="str">
        <f>"RFB1 = "&amp;'Design Converter'!E73&amp;"kΩ"</f>
        <v>RFB1 = 280kΩ</v>
      </c>
      <c r="B451" t="str">
        <f>'Design Converter'!E73&amp;"kΩ"</f>
        <v>280kΩ</v>
      </c>
      <c r="I451" s="57"/>
    </row>
    <row r="452" spans="1:9" x14ac:dyDescent="0.2">
      <c r="A452" s="56" t="str">
        <f>"RFB2 = "&amp;IF(Vout=Vref,"OPEN",'Design Converter'!E74&amp;"kΩ")</f>
        <v>RFB2 = 20kΩ</v>
      </c>
      <c r="B452" t="str">
        <f>IF(Vout=Vref,"OPEN",Rfb2_u/1000&amp;"kΩ")</f>
        <v>20kΩ</v>
      </c>
      <c r="I452" s="57"/>
    </row>
    <row r="453" spans="1:9" x14ac:dyDescent="0.2">
      <c r="A453" s="56" t="str">
        <f>"Crossover Frequency = "&amp;ROUND('Stability Calculations'!Q4,1)&amp;" kHz"</f>
        <v>Crossover Frequency = 4 kHz</v>
      </c>
      <c r="B453" t="str">
        <f>ROUND('Stability Calculations'!Q4,1)&amp;" kHz"</f>
        <v>4 kHz</v>
      </c>
      <c r="D453" s="119">
        <f>'Stability Calculations'!Q4</f>
        <v>3.9811000000000001</v>
      </c>
      <c r="I453" s="57"/>
    </row>
    <row r="454" spans="1:9" x14ac:dyDescent="0.2">
      <c r="A454" s="56" t="str">
        <f>"Phase Margin = "&amp;ROUND('Stability Calculations'!Q5,0)&amp;"°"</f>
        <v>Phase Margin = 82°</v>
      </c>
      <c r="B454" s="120" t="str">
        <f>ROUND('Stability Calculations'!Q5,0)&amp;"°"</f>
        <v>82°</v>
      </c>
      <c r="C454" s="319"/>
      <c r="E454" s="225"/>
      <c r="I454" s="57"/>
    </row>
    <row r="455" spans="1:9" x14ac:dyDescent="0.2">
      <c r="A455" s="56"/>
      <c r="B455" s="120"/>
      <c r="C455" s="319"/>
      <c r="E455" s="225"/>
      <c r="I455" s="57"/>
    </row>
    <row r="456" spans="1:9" x14ac:dyDescent="0.2">
      <c r="A456" s="66" t="s">
        <v>917</v>
      </c>
      <c r="B456" s="540" t="str">
        <f>IF(PLOT_TYPE=1, "", ROUND('Efficiency vs VIN Calculations'!BH9,1)&amp;"%")</f>
        <v/>
      </c>
      <c r="C456" s="319"/>
      <c r="E456" s="225"/>
      <c r="I456" s="57"/>
    </row>
    <row r="457" spans="1:9" x14ac:dyDescent="0.2">
      <c r="A457" s="66" t="s">
        <v>915</v>
      </c>
      <c r="B457" s="540" t="str">
        <f>IF(PLOT_TYPE=1, ROUND('Efficiency vs Load Calculations'!BH109,1)&amp;"%", ROUND('Efficiency vs VIN Calculations'!BH209,1)&amp;"%")</f>
        <v>96.7%</v>
      </c>
      <c r="C457" s="319"/>
      <c r="E457" s="225"/>
      <c r="I457" s="57"/>
    </row>
    <row r="458" spans="1:9" x14ac:dyDescent="0.2">
      <c r="A458" s="66" t="s">
        <v>916</v>
      </c>
      <c r="B458" s="540" t="str">
        <f>IF(PLOT_TYPE=1, ROUND('Efficiency vs Load Calculations'!BH59,1)&amp;"%", ROUND('Efficiency vs VIN Calculations'!BH109,1)&amp;"%")</f>
        <v>96.2%</v>
      </c>
      <c r="C458" s="319"/>
      <c r="E458" s="225"/>
      <c r="I458" s="57"/>
    </row>
    <row r="459" spans="1:9" x14ac:dyDescent="0.2">
      <c r="A459" s="56"/>
      <c r="B459" s="120"/>
      <c r="C459" s="319"/>
      <c r="E459" s="225"/>
      <c r="I459" s="57"/>
    </row>
    <row r="460" spans="1:9" x14ac:dyDescent="0.2">
      <c r="A460" s="56" t="str">
        <f>"CDITH = "&amp;Cdither*1000000000&amp;"nF"</f>
        <v>CDITH = 47nF</v>
      </c>
      <c r="B460" t="str">
        <f>Cdither*1000000000&amp;"nF"</f>
        <v>47nF</v>
      </c>
      <c r="I460" s="57"/>
    </row>
    <row r="461" spans="1:9" x14ac:dyDescent="0.2">
      <c r="A461" s="56" t="str">
        <f>"Rs = "&amp;Rs&amp;"Ω"</f>
        <v>Rs = 0.015Ω</v>
      </c>
      <c r="B461" t="str">
        <f>'Standard Value Calculator'!O6&amp;"Ω"</f>
        <v>4.12Ω</v>
      </c>
      <c r="I461" s="57"/>
    </row>
    <row r="462" spans="1:9" x14ac:dyDescent="0.2">
      <c r="A462" s="56" t="s">
        <v>225</v>
      </c>
      <c r="B462" t="str">
        <f>'Standard Value Calculator'!O13&amp;"mΩ"</f>
        <v>5.23mΩ</v>
      </c>
      <c r="I462" s="57"/>
    </row>
    <row r="463" spans="1:9" x14ac:dyDescent="0.2">
      <c r="A463" s="56" t="s">
        <v>200</v>
      </c>
      <c r="B463" t="str">
        <f>'Standard Value Calculator'!O6&amp;"mΩ"</f>
        <v>4.12mΩ</v>
      </c>
      <c r="I463" s="57"/>
    </row>
    <row r="464" spans="1:9" x14ac:dyDescent="0.2">
      <c r="A464" s="56" t="str">
        <f>"Rshunt = "&amp;ROUND(Rshunt,1)&amp;"mΩ"</f>
        <v>Rshunt = 4.2mΩ</v>
      </c>
      <c r="B464" t="str">
        <f>IF(Rshunt="0", "N/A",ROUND(Rshunt,1)&amp;"mΩ")</f>
        <v>4.2mΩ</v>
      </c>
      <c r="I464" s="57"/>
    </row>
    <row r="465" spans="1:9" x14ac:dyDescent="0.2">
      <c r="A465" s="56"/>
      <c r="I465" s="57"/>
    </row>
    <row r="466" spans="1:9" x14ac:dyDescent="0.2">
      <c r="A466" s="223" t="s">
        <v>338</v>
      </c>
      <c r="B466" s="118" t="s">
        <v>339</v>
      </c>
      <c r="I466" s="57"/>
    </row>
    <row r="467" spans="1:9" x14ac:dyDescent="0.2">
      <c r="A467" s="223"/>
      <c r="B467" s="118"/>
      <c r="I467" s="57"/>
    </row>
    <row r="468" spans="1:9" x14ac:dyDescent="0.2">
      <c r="A468" s="223"/>
      <c r="B468" s="118"/>
      <c r="I468" s="57"/>
    </row>
    <row r="469" spans="1:9" x14ac:dyDescent="0.2">
      <c r="A469" s="223" t="s">
        <v>359</v>
      </c>
      <c r="B469" t="str">
        <f>'Standard Value Calculator'!O4/1000&amp;"kΩ"</f>
        <v>21.5kΩ</v>
      </c>
      <c r="I469" s="57"/>
    </row>
    <row r="470" spans="1:9" x14ac:dyDescent="0.2">
      <c r="A470" s="56" t="s">
        <v>183</v>
      </c>
      <c r="B470" t="str">
        <f>'Standard Value Calculator'!B4*1000000000 &amp;"nF"</f>
        <v>220nF</v>
      </c>
      <c r="I470" s="57"/>
    </row>
    <row r="471" spans="1:9" x14ac:dyDescent="0.2">
      <c r="A471" s="223" t="s">
        <v>438</v>
      </c>
      <c r="B471" s="118" t="str">
        <f>Cslope &amp;"pF"</f>
        <v>120pF</v>
      </c>
      <c r="I471" s="57"/>
    </row>
    <row r="472" spans="1:9" x14ac:dyDescent="0.2">
      <c r="A472" s="56" t="s">
        <v>226</v>
      </c>
      <c r="B472" t="str">
        <f>IF(B99="y","","|")</f>
        <v>|</v>
      </c>
      <c r="I472" s="57"/>
    </row>
    <row r="473" spans="1:9" x14ac:dyDescent="0.2">
      <c r="A473" s="56" t="s">
        <v>243</v>
      </c>
      <c r="B473" t="str">
        <f>'Design Converter'!$E$10&amp;"A"</f>
        <v>4A</v>
      </c>
      <c r="I473" s="57"/>
    </row>
    <row r="474" spans="1:9" x14ac:dyDescent="0.2">
      <c r="A474" s="56" t="s">
        <v>175</v>
      </c>
      <c r="B474" t="str">
        <f>VIN_nom&amp;"V"</f>
        <v>12V</v>
      </c>
      <c r="I474" s="57"/>
    </row>
    <row r="475" spans="1:9" x14ac:dyDescent="0.2">
      <c r="A475" s="223" t="s">
        <v>933</v>
      </c>
      <c r="B475" t="str">
        <f>VIN_min&amp;"V"&amp;"..."&amp;VIN_max&amp;"V"</f>
        <v>9V...36V</v>
      </c>
      <c r="I475" s="57"/>
    </row>
    <row r="476" spans="1:9" x14ac:dyDescent="0.2">
      <c r="A476" s="56"/>
      <c r="I476" s="57"/>
    </row>
    <row r="477" spans="1:9" x14ac:dyDescent="0.2">
      <c r="A477" s="56" t="s">
        <v>251</v>
      </c>
      <c r="B477">
        <v>12</v>
      </c>
      <c r="I477" s="57"/>
    </row>
    <row r="478" spans="1:9" x14ac:dyDescent="0.2">
      <c r="A478" s="56" t="s">
        <v>252</v>
      </c>
      <c r="B478">
        <v>18</v>
      </c>
      <c r="I478" s="57"/>
    </row>
    <row r="479" spans="1:9" x14ac:dyDescent="0.2">
      <c r="A479" s="56" t="s">
        <v>253</v>
      </c>
      <c r="B479">
        <v>14</v>
      </c>
      <c r="I479" s="57"/>
    </row>
    <row r="480" spans="1:9" x14ac:dyDescent="0.2">
      <c r="A480" s="56" t="s">
        <v>254</v>
      </c>
      <c r="B480">
        <v>6</v>
      </c>
      <c r="I480" s="57"/>
    </row>
    <row r="481" spans="1:9" x14ac:dyDescent="0.2">
      <c r="A481" s="56" t="s">
        <v>255</v>
      </c>
      <c r="B481">
        <v>7</v>
      </c>
      <c r="I481" s="57"/>
    </row>
    <row r="482" spans="1:9" x14ac:dyDescent="0.2">
      <c r="A482" s="56" t="s">
        <v>256</v>
      </c>
      <c r="B482">
        <v>11</v>
      </c>
      <c r="I482" s="57"/>
    </row>
    <row r="483" spans="1:9" x14ac:dyDescent="0.2">
      <c r="A483" s="56" t="s">
        <v>257</v>
      </c>
      <c r="B483">
        <v>1</v>
      </c>
      <c r="I483" s="57"/>
    </row>
    <row r="484" spans="1:9" x14ac:dyDescent="0.2">
      <c r="A484" s="56" t="s">
        <v>258</v>
      </c>
      <c r="B484">
        <v>5</v>
      </c>
      <c r="I484" s="57"/>
    </row>
    <row r="485" spans="1:9" x14ac:dyDescent="0.2">
      <c r="A485" s="56" t="s">
        <v>259</v>
      </c>
      <c r="B485">
        <v>13</v>
      </c>
      <c r="I485" s="57"/>
    </row>
    <row r="486" spans="1:9" x14ac:dyDescent="0.2">
      <c r="A486" s="56" t="s">
        <v>260</v>
      </c>
      <c r="B486">
        <v>4</v>
      </c>
      <c r="I486" s="57"/>
    </row>
    <row r="487" spans="1:9" x14ac:dyDescent="0.2">
      <c r="A487" s="56" t="s">
        <v>261</v>
      </c>
      <c r="B487">
        <v>3</v>
      </c>
      <c r="I487" s="57"/>
    </row>
    <row r="488" spans="1:9" x14ac:dyDescent="0.2">
      <c r="A488" s="56" t="s">
        <v>262</v>
      </c>
      <c r="B488">
        <v>24</v>
      </c>
      <c r="I488" s="57"/>
    </row>
    <row r="489" spans="1:9" x14ac:dyDescent="0.2">
      <c r="A489" s="56" t="s">
        <v>263</v>
      </c>
      <c r="B489">
        <v>23</v>
      </c>
      <c r="I489" s="57"/>
    </row>
    <row r="490" spans="1:9" x14ac:dyDescent="0.2">
      <c r="A490" s="56" t="s">
        <v>264</v>
      </c>
      <c r="B490">
        <v>15</v>
      </c>
      <c r="I490" s="57"/>
    </row>
    <row r="491" spans="1:9" x14ac:dyDescent="0.2">
      <c r="A491" s="56" t="s">
        <v>265</v>
      </c>
      <c r="B491">
        <v>16</v>
      </c>
      <c r="I491" s="57"/>
    </row>
    <row r="492" spans="1:9" x14ac:dyDescent="0.2">
      <c r="A492" s="56" t="s">
        <v>266</v>
      </c>
      <c r="B492">
        <v>17</v>
      </c>
      <c r="I492" s="57"/>
    </row>
    <row r="493" spans="1:9" x14ac:dyDescent="0.2">
      <c r="A493" t="s">
        <v>278</v>
      </c>
      <c r="B493">
        <v>2</v>
      </c>
      <c r="I493" s="57"/>
    </row>
    <row r="494" spans="1:9" x14ac:dyDescent="0.2">
      <c r="A494" s="56" t="s">
        <v>277</v>
      </c>
      <c r="B494">
        <v>8</v>
      </c>
      <c r="I494" s="57"/>
    </row>
    <row r="495" spans="1:9" ht="13.5" thickBot="1" x14ac:dyDescent="0.25">
      <c r="A495" s="60"/>
      <c r="B495" s="61"/>
      <c r="C495" s="318"/>
      <c r="D495" s="61"/>
      <c r="E495" s="61"/>
      <c r="F495" s="61"/>
      <c r="G495" s="61"/>
      <c r="H495" s="61"/>
      <c r="I495" s="62"/>
    </row>
  </sheetData>
  <sheetProtection selectLockedCells="1"/>
  <mergeCells count="2">
    <mergeCell ref="E5:H5"/>
    <mergeCell ref="A1:I1"/>
  </mergeCells>
  <phoneticPr fontId="6" type="noConversion"/>
  <pageMargins left="0.75" right="0.75" top="1" bottom="1" header="0.5" footer="0.5"/>
  <pageSetup orientation="portrait" r:id="rId1"/>
  <headerFooter alignWithMargins="0"/>
  <ignoredErrors>
    <ignoredError sqref="B291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B9"/>
  <sheetViews>
    <sheetView zoomScaleNormal="100" workbookViewId="0">
      <selection activeCell="E5" sqref="E5"/>
    </sheetView>
  </sheetViews>
  <sheetFormatPr defaultRowHeight="12.75" x14ac:dyDescent="0.2"/>
  <cols>
    <col min="1" max="1" width="10.5703125" customWidth="1"/>
    <col min="2" max="2" width="133.85546875" customWidth="1"/>
  </cols>
  <sheetData>
    <row r="2" spans="1:2" x14ac:dyDescent="0.2">
      <c r="A2" t="str">
        <f>IF(DITHER=1, "SCH_WITH_DITH", "SCH_NO_DITH")</f>
        <v>SCH_WITH_DITH</v>
      </c>
    </row>
    <row r="5" spans="1:2" ht="393" customHeight="1" x14ac:dyDescent="0.2">
      <c r="B5" s="599"/>
    </row>
    <row r="6" spans="1:2" ht="12" customHeight="1" x14ac:dyDescent="0.2">
      <c r="B6" s="599"/>
    </row>
    <row r="7" spans="1:2" ht="34.5" customHeight="1" x14ac:dyDescent="0.2"/>
    <row r="8" spans="1:2" ht="393" customHeight="1" x14ac:dyDescent="0.2">
      <c r="B8" s="599"/>
    </row>
    <row r="9" spans="1:2" x14ac:dyDescent="0.2">
      <c r="B9" s="599"/>
    </row>
  </sheetData>
  <phoneticPr fontId="98" type="noConversion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2:B7"/>
  <sheetViews>
    <sheetView zoomScaleNormal="100" workbookViewId="0">
      <selection activeCell="B5" sqref="B5"/>
    </sheetView>
  </sheetViews>
  <sheetFormatPr defaultRowHeight="12.75" x14ac:dyDescent="0.2"/>
  <cols>
    <col min="1" max="1" width="10.5703125" customWidth="1"/>
    <col min="2" max="2" width="126" customWidth="1"/>
  </cols>
  <sheetData>
    <row r="2" spans="1:2" x14ac:dyDescent="0.2">
      <c r="A2" t="str">
        <f>IF(PLOT_TYPE=1, "EFF_IOUT", "EFF_VIN")</f>
        <v>EFF_IOUT</v>
      </c>
    </row>
    <row r="5" spans="1:2" ht="409.5" customHeight="1" x14ac:dyDescent="0.2">
      <c r="B5" s="599"/>
    </row>
    <row r="7" spans="1:2" ht="409.5" customHeight="1" x14ac:dyDescent="0.2">
      <c r="B7" s="599"/>
    </row>
  </sheetData>
  <phoneticPr fontId="98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>
    <tabColor rgb="FF92D050"/>
  </sheetPr>
  <dimension ref="A1:CD235"/>
  <sheetViews>
    <sheetView topLeftCell="F1" zoomScaleNormal="100" workbookViewId="0">
      <pane ySplit="8" topLeftCell="A9" activePane="bottomLeft" state="frozen"/>
      <selection pane="bottomLeft" activeCell="J97" sqref="J97"/>
    </sheetView>
  </sheetViews>
  <sheetFormatPr defaultRowHeight="12.75" x14ac:dyDescent="0.2"/>
  <cols>
    <col min="1" max="1" width="19.85546875" customWidth="1"/>
    <col min="2" max="2" width="13.140625" bestFit="1" customWidth="1"/>
    <col min="4" max="4" width="71.5703125" customWidth="1"/>
    <col min="6" max="6" width="9.140625" customWidth="1"/>
    <col min="7" max="7" width="6.85546875" customWidth="1"/>
    <col min="8" max="8" width="9.140625" style="609"/>
    <col min="9" max="9" width="11" customWidth="1"/>
    <col min="10" max="10" width="6.7109375" customWidth="1"/>
    <col min="11" max="11" width="5.85546875" customWidth="1"/>
    <col min="12" max="13" width="7.140625" customWidth="1"/>
    <col min="14" max="14" width="10.7109375" style="386" customWidth="1"/>
    <col min="15" max="15" width="11.42578125" style="386" customWidth="1"/>
    <col min="16" max="16" width="8.85546875" style="4" customWidth="1"/>
    <col min="17" max="17" width="8" style="4" customWidth="1"/>
    <col min="18" max="18" width="10.28515625" style="335" bestFit="1" customWidth="1"/>
    <col min="19" max="19" width="8" customWidth="1"/>
    <col min="20" max="20" width="9.28515625" customWidth="1"/>
    <col min="21" max="21" width="10.28515625" style="4" customWidth="1"/>
    <col min="22" max="22" width="9.85546875" customWidth="1"/>
    <col min="23" max="23" width="10.7109375" customWidth="1"/>
    <col min="24" max="24" width="9.7109375" style="335" customWidth="1"/>
    <col min="25" max="25" width="10.5703125" customWidth="1"/>
    <col min="27" max="28" width="8.5703125" customWidth="1"/>
    <col min="29" max="29" width="10" customWidth="1"/>
    <col min="30" max="30" width="8" customWidth="1"/>
    <col min="31" max="31" width="9.85546875" customWidth="1"/>
    <col min="32" max="32" width="8.85546875" customWidth="1"/>
    <col min="33" max="33" width="10.5703125" bestFit="1" customWidth="1"/>
    <col min="34" max="34" width="11.140625" customWidth="1"/>
    <col min="35" max="35" width="10.28515625" customWidth="1"/>
    <col min="36" max="37" width="8.5703125" customWidth="1"/>
    <col min="38" max="38" width="10" customWidth="1"/>
    <col min="39" max="39" width="8" customWidth="1"/>
    <col min="40" max="40" width="9.85546875" customWidth="1"/>
    <col min="41" max="41" width="8.85546875" customWidth="1"/>
    <col min="42" max="42" width="10.5703125" bestFit="1" customWidth="1"/>
    <col min="43" max="43" width="11.140625" customWidth="1"/>
    <col min="44" max="44" width="10.28515625" customWidth="1"/>
    <col min="45" max="45" width="12.28515625" style="335" customWidth="1"/>
    <col min="46" max="46" width="13.7109375" customWidth="1"/>
    <col min="47" max="47" width="12" style="335" customWidth="1"/>
    <col min="48" max="48" width="10.7109375" customWidth="1"/>
    <col min="49" max="49" width="11" customWidth="1"/>
    <col min="50" max="50" width="9.28515625" customWidth="1"/>
    <col min="51" max="52" width="10.42578125" customWidth="1"/>
    <col min="54" max="54" width="8.42578125" style="4" customWidth="1"/>
    <col min="55" max="55" width="7.28515625" customWidth="1"/>
    <col min="56" max="56" width="10.140625" style="9" customWidth="1"/>
    <col min="57" max="57" width="10.42578125" style="406" customWidth="1"/>
    <col min="58" max="58" width="10.5703125" style="406" customWidth="1"/>
    <col min="59" max="59" width="3.28515625" customWidth="1"/>
    <col min="60" max="60" width="9.28515625" style="386" customWidth="1"/>
    <col min="61" max="61" width="9.140625" style="335"/>
    <col min="62" max="62" width="10.28515625" style="335" customWidth="1"/>
    <col min="63" max="63" width="8.85546875" style="335" customWidth="1"/>
    <col min="64" max="64" width="7.85546875" customWidth="1"/>
    <col min="68" max="68" width="28.42578125" customWidth="1"/>
    <col min="71" max="71" width="12.42578125" bestFit="1" customWidth="1"/>
  </cols>
  <sheetData>
    <row r="1" spans="1:82" ht="12.75" customHeight="1" x14ac:dyDescent="0.2">
      <c r="A1" s="714" t="s">
        <v>888</v>
      </c>
      <c r="B1" s="714"/>
      <c r="C1" s="714"/>
      <c r="D1" s="714"/>
    </row>
    <row r="2" spans="1:82" ht="12.75" customHeight="1" x14ac:dyDescent="0.2">
      <c r="A2" s="714"/>
      <c r="B2" s="714"/>
      <c r="C2" s="714"/>
      <c r="D2" s="714"/>
      <c r="H2" s="615">
        <f>BD9</f>
        <v>0.94578878771037811</v>
      </c>
      <c r="I2" s="118" t="s">
        <v>923</v>
      </c>
      <c r="AI2" s="118"/>
      <c r="AJ2" s="118"/>
    </row>
    <row r="3" spans="1:82" ht="12.75" customHeight="1" x14ac:dyDescent="0.2">
      <c r="A3" s="714"/>
      <c r="B3" s="714"/>
      <c r="C3" s="714"/>
      <c r="D3" s="714"/>
      <c r="H3" s="615">
        <f>BD109</f>
        <v>0.95421669951759669</v>
      </c>
      <c r="I3" s="118" t="s">
        <v>925</v>
      </c>
      <c r="AI3" s="118"/>
      <c r="AJ3" s="118"/>
    </row>
    <row r="4" spans="1:82" ht="12.75" customHeight="1" x14ac:dyDescent="0.2">
      <c r="A4" s="714"/>
      <c r="B4" s="714"/>
      <c r="C4" s="714"/>
      <c r="D4" s="714"/>
      <c r="H4" s="615">
        <f>BD209</f>
        <v>0.93975009494996109</v>
      </c>
      <c r="I4" s="118" t="s">
        <v>924</v>
      </c>
      <c r="AI4" s="118"/>
      <c r="AJ4" s="118"/>
    </row>
    <row r="5" spans="1:82" x14ac:dyDescent="0.2">
      <c r="A5" s="10"/>
      <c r="B5" s="11"/>
      <c r="C5" s="6"/>
      <c r="D5" s="6"/>
    </row>
    <row r="6" spans="1:82" ht="13.5" customHeight="1" thickBot="1" x14ac:dyDescent="0.25">
      <c r="A6" s="715" t="s">
        <v>682</v>
      </c>
      <c r="B6" s="715"/>
      <c r="C6" s="715"/>
      <c r="D6" s="715"/>
      <c r="BU6">
        <v>80</v>
      </c>
      <c r="BV6">
        <v>100</v>
      </c>
      <c r="BW6">
        <v>120</v>
      </c>
      <c r="BX6">
        <v>140</v>
      </c>
      <c r="BY6">
        <v>160</v>
      </c>
      <c r="BZ6">
        <v>180</v>
      </c>
      <c r="CA6">
        <v>20</v>
      </c>
      <c r="CB6">
        <v>30</v>
      </c>
      <c r="CC6">
        <v>40</v>
      </c>
      <c r="CD6">
        <v>50</v>
      </c>
    </row>
    <row r="7" spans="1:82" ht="13.5" thickBot="1" x14ac:dyDescent="0.25">
      <c r="A7" s="715"/>
      <c r="B7" s="715"/>
      <c r="C7" s="715"/>
      <c r="D7" s="715"/>
      <c r="G7" s="711" t="s">
        <v>903</v>
      </c>
      <c r="H7" s="712"/>
      <c r="I7" s="712"/>
      <c r="J7" s="712"/>
      <c r="K7" s="712"/>
      <c r="L7" s="712"/>
      <c r="M7" s="712"/>
      <c r="N7" s="712"/>
      <c r="O7" s="712"/>
      <c r="P7" s="713"/>
      <c r="Q7" s="711" t="s">
        <v>694</v>
      </c>
      <c r="R7" s="712"/>
      <c r="S7" s="712"/>
      <c r="T7" s="713"/>
      <c r="U7" s="716" t="s">
        <v>27</v>
      </c>
      <c r="V7" s="717"/>
      <c r="W7" s="718"/>
      <c r="X7" s="711" t="s">
        <v>61</v>
      </c>
      <c r="Y7" s="712"/>
      <c r="Z7" s="713"/>
      <c r="AA7" s="711" t="s">
        <v>898</v>
      </c>
      <c r="AB7" s="712"/>
      <c r="AC7" s="712"/>
      <c r="AD7" s="712"/>
      <c r="AE7" s="713"/>
      <c r="AF7" s="711" t="s">
        <v>899</v>
      </c>
      <c r="AG7" s="712"/>
      <c r="AH7" s="712"/>
      <c r="AI7" s="713"/>
      <c r="AJ7" s="711" t="s">
        <v>900</v>
      </c>
      <c r="AK7" s="712"/>
      <c r="AL7" s="712"/>
      <c r="AM7" s="712"/>
      <c r="AN7" s="713"/>
      <c r="AO7" s="711" t="s">
        <v>901</v>
      </c>
      <c r="AP7" s="712"/>
      <c r="AQ7" s="712"/>
      <c r="AR7" s="713"/>
      <c r="AS7" s="510" t="s">
        <v>893</v>
      </c>
      <c r="AT7" s="508" t="s">
        <v>237</v>
      </c>
      <c r="AU7" s="511" t="s">
        <v>656</v>
      </c>
      <c r="AV7" s="509" t="s">
        <v>714</v>
      </c>
      <c r="AW7" s="509" t="s">
        <v>711</v>
      </c>
      <c r="AX7" s="719" t="s">
        <v>701</v>
      </c>
      <c r="AY7" s="720"/>
      <c r="AZ7" s="720"/>
      <c r="BA7" s="721"/>
      <c r="BB7" s="711" t="s">
        <v>709</v>
      </c>
      <c r="BC7" s="712"/>
      <c r="BD7" s="712"/>
      <c r="BE7" s="712"/>
      <c r="BF7" s="712"/>
      <c r="BG7" s="605"/>
      <c r="BH7" s="722" t="s">
        <v>710</v>
      </c>
      <c r="BI7" s="722"/>
      <c r="BJ7" s="722"/>
      <c r="BK7" s="722"/>
      <c r="BL7" s="722"/>
    </row>
    <row r="8" spans="1:82" ht="51.75" thickBot="1" x14ac:dyDescent="0.45">
      <c r="A8" s="13" t="s">
        <v>112</v>
      </c>
      <c r="B8" s="13"/>
      <c r="C8" s="13"/>
      <c r="D8" s="6"/>
      <c r="G8" s="493" t="s">
        <v>57</v>
      </c>
      <c r="H8" s="608" t="s">
        <v>4</v>
      </c>
      <c r="I8" s="600" t="s">
        <v>902</v>
      </c>
      <c r="J8" s="600" t="s">
        <v>904</v>
      </c>
      <c r="K8" s="494" t="s">
        <v>6</v>
      </c>
      <c r="L8" s="494" t="s">
        <v>412</v>
      </c>
      <c r="M8" s="494" t="s">
        <v>912</v>
      </c>
      <c r="N8" s="505" t="s">
        <v>909</v>
      </c>
      <c r="O8" s="611" t="s">
        <v>910</v>
      </c>
      <c r="P8" s="602" t="s">
        <v>695</v>
      </c>
      <c r="Q8" s="601" t="s">
        <v>897</v>
      </c>
      <c r="R8" s="507" t="s">
        <v>91</v>
      </c>
      <c r="S8" s="494" t="s">
        <v>896</v>
      </c>
      <c r="T8" s="495" t="s">
        <v>747</v>
      </c>
      <c r="U8" s="601" t="s">
        <v>697</v>
      </c>
      <c r="V8" s="496" t="s">
        <v>696</v>
      </c>
      <c r="W8" s="495" t="s">
        <v>746</v>
      </c>
      <c r="X8" s="506" t="s">
        <v>698</v>
      </c>
      <c r="Y8" s="494" t="s">
        <v>699</v>
      </c>
      <c r="Z8" s="495" t="s">
        <v>744</v>
      </c>
      <c r="AA8" s="493" t="s">
        <v>88</v>
      </c>
      <c r="AB8" s="494" t="s">
        <v>700</v>
      </c>
      <c r="AC8" s="494" t="s">
        <v>889</v>
      </c>
      <c r="AD8" s="497" t="s">
        <v>238</v>
      </c>
      <c r="AE8" s="495" t="s">
        <v>890</v>
      </c>
      <c r="AF8" s="493" t="s">
        <v>88</v>
      </c>
      <c r="AG8" s="494" t="s">
        <v>700</v>
      </c>
      <c r="AH8" s="494" t="s">
        <v>703</v>
      </c>
      <c r="AI8" s="498" t="s">
        <v>891</v>
      </c>
      <c r="AJ8" s="493" t="s">
        <v>88</v>
      </c>
      <c r="AK8" s="494" t="s">
        <v>700</v>
      </c>
      <c r="AL8" s="494" t="s">
        <v>889</v>
      </c>
      <c r="AM8" s="497" t="s">
        <v>238</v>
      </c>
      <c r="AN8" s="495" t="s">
        <v>890</v>
      </c>
      <c r="AO8" s="493" t="s">
        <v>88</v>
      </c>
      <c r="AP8" s="494" t="s">
        <v>700</v>
      </c>
      <c r="AQ8" s="494" t="s">
        <v>703</v>
      </c>
      <c r="AR8" s="498" t="s">
        <v>891</v>
      </c>
      <c r="AS8" s="507" t="s">
        <v>892</v>
      </c>
      <c r="AT8" s="495" t="s">
        <v>703</v>
      </c>
      <c r="AU8" s="512" t="s">
        <v>97</v>
      </c>
      <c r="AV8" s="513" t="s">
        <v>713</v>
      </c>
      <c r="AW8" s="513" t="s">
        <v>712</v>
      </c>
      <c r="AX8" s="499" t="s">
        <v>704</v>
      </c>
      <c r="AY8" s="500" t="s">
        <v>166</v>
      </c>
      <c r="AZ8" s="501" t="s">
        <v>240</v>
      </c>
      <c r="BA8" s="502" t="s">
        <v>702</v>
      </c>
      <c r="BB8" s="503" t="s">
        <v>58</v>
      </c>
      <c r="BC8" s="494" t="s">
        <v>394</v>
      </c>
      <c r="BD8" s="504" t="s">
        <v>706</v>
      </c>
      <c r="BE8" s="613" t="s">
        <v>894</v>
      </c>
      <c r="BF8" s="613" t="s">
        <v>895</v>
      </c>
      <c r="BH8" s="606" t="s">
        <v>705</v>
      </c>
      <c r="BI8" s="607" t="s">
        <v>745</v>
      </c>
      <c r="BJ8" s="607" t="s">
        <v>914</v>
      </c>
      <c r="BK8" s="607" t="s">
        <v>891</v>
      </c>
      <c r="BL8" s="607" t="s">
        <v>870</v>
      </c>
      <c r="BM8" s="607"/>
      <c r="BS8" t="s">
        <v>132</v>
      </c>
      <c r="BU8" t="s">
        <v>124</v>
      </c>
      <c r="BV8" t="s">
        <v>125</v>
      </c>
      <c r="BW8" t="s">
        <v>126</v>
      </c>
      <c r="BX8" t="s">
        <v>127</v>
      </c>
      <c r="BY8" t="s">
        <v>128</v>
      </c>
      <c r="BZ8" t="s">
        <v>129</v>
      </c>
      <c r="CA8" t="s">
        <v>133</v>
      </c>
      <c r="CB8" t="s">
        <v>134</v>
      </c>
      <c r="CC8" t="s">
        <v>135</v>
      </c>
      <c r="CD8" t="s">
        <v>136</v>
      </c>
    </row>
    <row r="9" spans="1:82" x14ac:dyDescent="0.2">
      <c r="A9" s="14" t="s">
        <v>59</v>
      </c>
      <c r="B9" s="15" t="s">
        <v>115</v>
      </c>
      <c r="C9" s="16" t="s">
        <v>80</v>
      </c>
      <c r="D9" s="17" t="s">
        <v>111</v>
      </c>
      <c r="G9">
        <v>0</v>
      </c>
      <c r="H9" s="610">
        <f t="shared" ref="H9:H72" si="0">VIN_min+(VIN_max-VIN_min)*(G9/200)</f>
        <v>9</v>
      </c>
      <c r="I9" s="4" t="str">
        <f t="shared" ref="I9:I72" si="1">IF(H9&gt;VIN_BB_to_buck, "BUCK", IF(H9&lt;VIN_boost_to_BB,"BOOST","BUCK-BST"))</f>
        <v>BOOST</v>
      </c>
      <c r="J9">
        <f>IF(I9="BOOST",2, IF(I9="BUCK", 1,3))</f>
        <v>2</v>
      </c>
      <c r="K9">
        <f t="shared" ref="K9:K72" si="2">Iout</f>
        <v>4</v>
      </c>
      <c r="L9" s="4">
        <f t="shared" ref="L9:L72" si="3">Vout*K9/(H9*Efficiency)</f>
        <v>5.9259259259259265</v>
      </c>
      <c r="M9" s="4">
        <f t="shared" ref="M9:M72" si="4">Iout/(1-O9)</f>
        <v>5.4304143730370464</v>
      </c>
      <c r="N9" s="386">
        <f t="shared" ref="N9:N72" si="5">CHOOSE(J9,(Vout+(Rdson2+Rs+Rdcr)*K9)/(H9+(Rs+Rdson2-Rdson1)*K9),1,IF(H9&lt;Vout,D_max_buck_BB,Vout/H9*(1-D_min_boost_exitBB_to_buck)))</f>
        <v>1</v>
      </c>
      <c r="O9" s="386">
        <f>CHOOSE(J9,0,(Vout+(Rdson3+Rdcr)*L9-H9)/(Vout+(Rdson3-Rdson4-Rs)*L9), IF(H9&gt;Vout,D_min_boost_exitBB_to_buck, (Vout-H9*D_max_buck_BB)/Vout))</f>
        <v>0.26340796019900498</v>
      </c>
      <c r="P9" s="4">
        <f t="shared" ref="P9:P72" si="6">MAX(0, CHOOSE(J9, (H9-(Rdson1+Rdcr)*K9-Vout)*N9/(Fsw*Lf), (H9-(Rdson4+Rdcr+Rs)*L9)*O9/(Fsw*Lf), IF(H9&lt;Vout, (H9-(Rdson4+Rdcr+Rs)*L9)*O9/(0.5*Fsw*Lf),(H9-(Rdson1+Rdcr)*K9-Vout)*N9/(0.5*Fsw*Lf))))</f>
        <v>1.3289499047051712</v>
      </c>
      <c r="Q9" s="386">
        <f t="shared" ref="Q9:Q72" si="7">CHOOSE(J9, SQRT(K9^2+(P9^2)/12), SQRT(L9^2+(P9^2)/12), SQRT(M9^2+(P9^2)/12))</f>
        <v>5.9383308878558099</v>
      </c>
      <c r="R9" s="386">
        <f t="shared" ref="R9:R73" si="8">(Q9^2*Rdcr*(1+Ltc*Ta-Ltc*25))/(1-Q9^2*Rdcr*Ltc*ThetaCa)</f>
        <v>0.48348613345211328</v>
      </c>
      <c r="S9" s="386">
        <f>ABS(7.759*10^-3*Fsw^0.9458*(0.00787*P9)^2.304)</f>
        <v>3.9183259832983701E-2</v>
      </c>
      <c r="T9" s="386">
        <f>R9+S9</f>
        <v>0.52266939328509698</v>
      </c>
      <c r="U9" s="4">
        <f t="shared" ref="U9:U72" si="9">IF(H9&gt;Vout, P9/SQRT(12), SQRT(O9/(1-O9))*SQRT(K9^2+(P9^2)/12))</f>
        <v>2.4029748302666643</v>
      </c>
      <c r="V9" s="386">
        <f t="shared" ref="V9:V73" si="10">RCoutEsr*U9^2</f>
        <v>0.15590577694216781</v>
      </c>
      <c r="W9" s="386">
        <f>V9</f>
        <v>0.15590577694216781</v>
      </c>
      <c r="X9" s="386">
        <f t="shared" ref="X9:X72" si="11">IF(H9&gt;Vout, SQRT(N9*(1-N9))*SQRT(K9^2+(P9^2)/12), P9/SQRT(12))</f>
        <v>0.38363479261052907</v>
      </c>
      <c r="Y9" s="386">
        <f t="shared" ref="Y9:Y73" si="12">RCinEsr*X9^2</f>
        <v>4.709620931242357E-3</v>
      </c>
      <c r="Z9" s="603">
        <f>Y9</f>
        <v>4.709620931242357E-3</v>
      </c>
      <c r="AA9" s="386">
        <f t="shared" ref="AA9:AA72" si="13">CHOOSE(J9, SQRT(N9)*SQRT(K9^2+(P9^2)/12), SQRT(L9^2+(P9^2)/12), SQRT(N9)*SQRT(M9^2+(P9^2)/12))</f>
        <v>5.9383308878558099</v>
      </c>
      <c r="AB9" s="386">
        <f t="shared" ref="AB9:AB72" si="14">Rdson1*AA9^2</f>
        <v>0.35263773733662368</v>
      </c>
      <c r="AC9" s="386">
        <f t="shared" ref="AC9:AC72" si="15">CHOOSE(J9, (H9*K9/2)*(Fsw)*(Tr_buck+Tf_buck), 0, (H9*M9/2)*(Fsw/2)*(Tr_buck+Tf_buck))</f>
        <v>0</v>
      </c>
      <c r="AD9">
        <f t="shared" ref="AD9:AD72" si="16">IF(H9&gt;Vout, IF(K9&gt;P9/2,0,ABS(K9-P9/2)*Vsd_Q1*Deadtime*Fsw),0)</f>
        <v>0</v>
      </c>
      <c r="AE9" s="386">
        <f t="shared" ref="AE9:AE72" si="17">(AD9+AC9+AB9*(1+RdsonTopTc*Ta-RdsonTopTc*25))/(1-AB9*RdsonTopTc*ThetaJA_Q1)</f>
        <v>0.38405829751407017</v>
      </c>
      <c r="AF9" s="386">
        <f t="shared" ref="AF9:AF72" si="18">CHOOSE(J9, SQRT((1-N9))*SQRT(K9^2+(P9^2)/12), 0, SQRT((1-N9))*SQRT(M9^2+(P9^2)/12))</f>
        <v>0</v>
      </c>
      <c r="AG9" s="386">
        <f t="shared" ref="AG9:AG72" si="19">Rdson2*AF9^2</f>
        <v>0</v>
      </c>
      <c r="AH9" s="386">
        <f t="shared" ref="AH9:AH72" si="20">CHOOSE(J9, IF(K9&lt;P9/2,Deadtime*Fsw*IF(VfdSky_Q2&gt;0,0,Vsd_Q2)*(K9+P9/2),2*Deadtime*Fsw*IF(VfdSky_Q2&gt;0,0,Vsd_Q2)*K9),0, IF(K9&lt;P9/2,Deadtime*Fsw/2*IF(VfdSky_Q2&gt;0,0,Vsd_Q2)*(K9+P9/2),2*Deadtime*Fsw/2*IF(VfdSky_Q2&gt;0,0,Vsd_Q2)*K9))</f>
        <v>0</v>
      </c>
      <c r="AI9" s="386">
        <f t="shared" ref="AI9:AI72" si="21">(AH9+AG9*(1+RdsonBotTc*Ta-RdsonBotTc*25))/(1-AG9*RdsonBotTc*ThetaJA_Q2)</f>
        <v>0</v>
      </c>
      <c r="AJ9" s="386">
        <f t="shared" ref="AJ9:AJ72" si="22">CHOOSE(J9, 0, SQRT(O9)*SQRT(L9^2+(P9^2)/12), SQRT(O9)*SQRT(M9^2+(P9^2)/12))</f>
        <v>3.0477464966928034</v>
      </c>
      <c r="AK9" s="386">
        <f t="shared" ref="AK9:AK72" si="23">Rdson4*AJ9^2</f>
        <v>9.2887587081032563E-2</v>
      </c>
      <c r="AL9" s="386">
        <f t="shared" ref="AL9:AL72" si="24">CHOOSE(J9, 0, (Vout*L9/2)*(Fsw)*(Tr_boost+Tf_boost), (Vout*Iout/2)*(Fsw/2)*(Tr_boost+Tf_boost))</f>
        <v>0.31444899482607525</v>
      </c>
      <c r="AM9">
        <f t="shared" ref="AM9:AM72" si="25">IF(H9&gt;Vout, 0, IF(L9&gt;P9/2,0,ABS(L9-P9/2)*Vsd_Q4*Deadtime*Fsw))</f>
        <v>0</v>
      </c>
      <c r="AN9" s="386">
        <f t="shared" ref="AN9:AN72" si="26">(AM9+AL9+AK9*(1+RdsonTopTc*Ta-RdsonTopTc*25))/(1-AK9*RdsonTopTc*ThetaJA_Q4)</f>
        <v>0.41630798578046502</v>
      </c>
      <c r="AO9" s="386">
        <f t="shared" ref="AO9:AO72" si="27">CHOOSE(J9, SQRT(Iout^2+(P9^2)/12), SQRT(1-O9)*SQRT(L9^2+(P9^2)/12), SQRT(1-O9)*SQRT(M9^2+(P9^2)/12))</f>
        <v>5.0965689464147461</v>
      </c>
      <c r="AP9" s="386">
        <f t="shared" ref="AP9:AP72" si="28">Rdson3*AO9^2</f>
        <v>0.25975015025559117</v>
      </c>
      <c r="AQ9" s="386">
        <f t="shared" ref="AQ9:AQ72" si="29">CHOOSE(J9, 0, IF(L9&lt;P9/2,Deadtime*Fsw*IF(VfdSky_Q3&gt;0,0,Vsd_Q3)*(L9+P9/2), 2*Deadtime*Fsw*IF(VfdSky_Q3&gt;0,0,Vsd_Q3)*L9), IF(L9&lt;P9/2,Deadtime*Fsw/2*IF(VfdSky_Q3&gt;0,0,Vsd_Q3)*(L9+P9/2), 2*Deadtime*Fsw/2*IF(VfdSky_Q3&gt;0,0,Vsd_Q3)*L9))</f>
        <v>0.28503703703703703</v>
      </c>
      <c r="AR9" s="386">
        <f t="shared" ref="AR9:AR72" si="30">(AQ9+AP9*(1+RdsonBotTc*Ta-RdsonBotTc*25))/(1-AP9*RdsonBotTc*ThetaJA_Q3)</f>
        <v>0.57972244125633432</v>
      </c>
      <c r="AS9" s="386">
        <f t="shared" ref="AS9:AS72" si="31">CHOOSE(J9, Rdson3*Q9^2, Rdson1*Q9^2, 0)</f>
        <v>0.35263773733662368</v>
      </c>
      <c r="AT9" s="386">
        <f t="shared" ref="AT9:AT72" si="32">CHOOSE(J9, 2*Deadtime*Fsw*IF(VfdSky_Q2&gt;0,VfdSky_Q2,0)*K9, 2*Deadtime*Fsw*IF(VfdSky_Q3&gt;0,VfdSky_Q3,0)*L9, 2*Deadtime*Fsw/2*IF(VfdSky_Q2&gt;0,VfdSky_Q2,0)*K9+2*Deadtime*Fsw/2*IF(VfdSky_Q3&gt;0,VfdSky_Q3,0)*L9)</f>
        <v>0</v>
      </c>
      <c r="AU9" s="386">
        <f t="shared" ref="AU9:AU72" si="33">CHOOSE(J9, IF(QrrSky_Q2&gt;0,QrrSky_Q2,Qrr_Q2)*Fsw*(H9-K9*Rdson1), IF(QrrSky_Q3&gt;0,QrrSky_Q3,Qrr_Q3)*Fsw*Vout,  IF(QrrSky_Q2&gt;0,QrrSky_Q2,Qrr_Q2)*Fsw/2*(H9-K9*Rdson1)+IF(QrrSky_Q3&gt;0,QrrSky_Q3,Qrr_Q3)*Fsw/2*Vout)</f>
        <v>4.4400000000000002E-2</v>
      </c>
      <c r="AV9" s="386">
        <f t="shared" ref="AV9:AV72" si="34">CHOOSE(J9, Rs*AF9^2, Rs*AJ9^2, Rs*(AF9^2+AJ9^2))</f>
        <v>0.13933138062154882</v>
      </c>
      <c r="AW9" s="386">
        <f t="shared" ref="AW9:AW72" si="35">Rshunt_std/1000*Iout^2</f>
        <v>6.5920000000000006E-2</v>
      </c>
      <c r="AX9" s="386">
        <f t="shared" ref="AX9:AX72" si="36">IF(Vout&gt;8, Iq*Vout, Iq*H9)</f>
        <v>3.6000000000000004E-2</v>
      </c>
      <c r="AY9" s="386">
        <f t="shared" ref="AY9:AY72" si="37">CHOOSE(J9, (Qg_Q1+Qg_Q2)*Fsw, (Qg_Q3+Qg_Q4)*Fsw, (Qg_Q1+Qg_Q2+Qg_Q3+Qg_Q4)*Fsw/2)*IF(Vout&gt;8, Vout, H9)</f>
        <v>0.40226399999999995</v>
      </c>
      <c r="AZ9" s="386">
        <f t="shared" ref="AZ9:AZ72" si="38">(Vin-Vdd)*Fsw*(Qg_Q1+Qg_Q2)+(RdsonDRT+RdsonDRT2)*Fsw*Qg_Q1*Vdd/(RdsonDRT+2*Rgate1+RdsonDRT2)+(RdsonDRB+RdsonDRB2)*Fsw*Qg_Q2*Vdd/(RdsonDRB+2*Rgate2+RdsonDRB2)</f>
        <v>0.30415082926829268</v>
      </c>
      <c r="BA9" s="386">
        <f>SUM(AX9:AY9)</f>
        <v>0.43826399999999999</v>
      </c>
      <c r="BB9" s="386">
        <f>SUM(T9,W9,Z9,AE9,AI9,AN9,AR9, AT9,AU9,BA9,AV9,AW9)</f>
        <v>2.7512888963309257</v>
      </c>
      <c r="BC9">
        <f t="shared" ref="BC9:BC72" si="39">Vout*K9</f>
        <v>48</v>
      </c>
      <c r="BD9" s="604">
        <f>BC9/(BC9+BB9)</f>
        <v>0.94578878771037811</v>
      </c>
      <c r="BE9" s="614">
        <f t="shared" ref="BE9:BE72" si="40">IF(H9&gt;Vout,ThetaJA_Q1*(AE9+AU9),ThetaJA_Q4*(AN9+AU9))</f>
        <v>26.72106317526697</v>
      </c>
      <c r="BF9" s="614">
        <f t="shared" ref="BF9:BF72" si="41">IF(H9&gt;Vout, AI9*ThetaJA_Q2, ThetaJA_Q3*AR9)</f>
        <v>33.623901592867391</v>
      </c>
      <c r="BH9" s="4">
        <f>BD9*100</f>
        <v>94.578878771037807</v>
      </c>
      <c r="BI9" s="386">
        <f>T9</f>
        <v>0.52266939328509698</v>
      </c>
      <c r="BJ9" s="386">
        <f>AE9+AI9+AN9+AR9+AU9</f>
        <v>1.4244887245508695</v>
      </c>
      <c r="BK9" s="386">
        <f>AI9+AU9*0.33</f>
        <v>1.4652000000000002E-2</v>
      </c>
      <c r="BL9" s="386">
        <f>AV9</f>
        <v>0.13933138062154882</v>
      </c>
      <c r="BP9" t="s">
        <v>137</v>
      </c>
      <c r="BQ9" s="18">
        <v>70</v>
      </c>
      <c r="BR9" s="18">
        <v>70</v>
      </c>
      <c r="BS9" s="18">
        <v>70</v>
      </c>
      <c r="BT9" s="19">
        <f>250000*(5-Vdd)*BS9/1000000000+((250000*BS9/1000000000*Vdd)*2.5/(2*4))</f>
        <v>-2.7343749999999972E-3</v>
      </c>
      <c r="BU9">
        <f t="shared" ref="BU9:CD17" si="42">BU$6*$BT9</f>
        <v>-0.21874999999999978</v>
      </c>
      <c r="BV9">
        <f t="shared" si="42"/>
        <v>-0.27343749999999972</v>
      </c>
      <c r="BW9">
        <f t="shared" si="42"/>
        <v>-0.32812499999999967</v>
      </c>
      <c r="BX9">
        <f t="shared" si="42"/>
        <v>-0.38281249999999961</v>
      </c>
      <c r="BY9">
        <f t="shared" si="42"/>
        <v>-0.43749999999999956</v>
      </c>
      <c r="BZ9">
        <f t="shared" si="42"/>
        <v>-0.4921874999999995</v>
      </c>
      <c r="CA9">
        <f t="shared" si="42"/>
        <v>-5.4687499999999944E-2</v>
      </c>
      <c r="CB9">
        <f t="shared" si="42"/>
        <v>-8.2031249999999917E-2</v>
      </c>
      <c r="CC9">
        <f t="shared" si="42"/>
        <v>-0.10937499999999989</v>
      </c>
      <c r="CD9">
        <f t="shared" si="42"/>
        <v>-0.13671874999999986</v>
      </c>
    </row>
    <row r="10" spans="1:82" x14ac:dyDescent="0.2">
      <c r="A10" s="547"/>
      <c r="B10" s="24"/>
      <c r="C10" s="16"/>
      <c r="D10" s="17"/>
      <c r="G10">
        <v>1</v>
      </c>
      <c r="H10" s="610">
        <f t="shared" si="0"/>
        <v>9.1349999999999998</v>
      </c>
      <c r="I10" s="4" t="str">
        <f t="shared" si="1"/>
        <v>BOOST</v>
      </c>
      <c r="J10">
        <f t="shared" ref="J10:J73" si="43">IF(I10="BOOST",2, IF(I10="BUCK", 1,3))</f>
        <v>2</v>
      </c>
      <c r="K10">
        <f t="shared" si="2"/>
        <v>4</v>
      </c>
      <c r="L10" s="4">
        <f t="shared" si="3"/>
        <v>5.838350665936872</v>
      </c>
      <c r="M10" s="4">
        <f t="shared" si="4"/>
        <v>5.3467047355559609</v>
      </c>
      <c r="N10" s="386">
        <f t="shared" si="5"/>
        <v>1</v>
      </c>
      <c r="O10" s="386">
        <f t="shared" ref="O10:O41" si="44">CHOOSE(J10,0,(Vout+(Rdson3+Rdcr)*L10-H10)/(Vout+(Rdson3-Rdson4-Rs)*L10),IF(H10&gt;Vout,D_min_boost_exitBB_to_buck, (Vout-H10*D_max_buck_BB)/Vout))</f>
        <v>0.25187565092201197</v>
      </c>
      <c r="P10" s="4">
        <f t="shared" si="6"/>
        <v>1.2908047758910615</v>
      </c>
      <c r="Q10" s="386">
        <f t="shared" si="7"/>
        <v>5.850229617650414</v>
      </c>
      <c r="R10" s="386">
        <f t="shared" si="8"/>
        <v>0.46871257769319424</v>
      </c>
      <c r="S10" s="386">
        <f t="shared" ref="S10:S72" si="45">7.759*10^-3*Fsw^0.9458*(0.00787*P10)^2.304</f>
        <v>3.6640337415582064E-2</v>
      </c>
      <c r="T10" s="386">
        <f t="shared" ref="T10:T73" si="46">R10+S10</f>
        <v>0.50535291510877633</v>
      </c>
      <c r="U10" s="4">
        <f t="shared" si="9"/>
        <v>2.3310010262125713</v>
      </c>
      <c r="V10" s="386">
        <f t="shared" si="10"/>
        <v>0.14670627617350962</v>
      </c>
      <c r="W10" s="386">
        <f t="shared" ref="W10:W73" si="47">V10</f>
        <v>0.14670627617350962</v>
      </c>
      <c r="X10" s="386">
        <f t="shared" si="11"/>
        <v>0.37262324241597949</v>
      </c>
      <c r="Y10" s="386">
        <f t="shared" si="12"/>
        <v>4.4431385852351304E-3</v>
      </c>
      <c r="Z10" s="603">
        <f t="shared" ref="Z10:Z73" si="48">Y10</f>
        <v>4.4431385852351304E-3</v>
      </c>
      <c r="AA10" s="386">
        <f t="shared" si="13"/>
        <v>5.850229617650414</v>
      </c>
      <c r="AB10" s="386">
        <f t="shared" si="14"/>
        <v>0.34225186579234113</v>
      </c>
      <c r="AC10" s="386">
        <f t="shared" si="15"/>
        <v>0</v>
      </c>
      <c r="AD10">
        <f t="shared" si="16"/>
        <v>0</v>
      </c>
      <c r="AE10" s="386">
        <f t="shared" si="17"/>
        <v>0.37177142109665656</v>
      </c>
      <c r="AF10" s="386">
        <f t="shared" si="18"/>
        <v>0</v>
      </c>
      <c r="AG10" s="386">
        <f t="shared" si="19"/>
        <v>0</v>
      </c>
      <c r="AH10" s="386">
        <f t="shared" si="20"/>
        <v>0</v>
      </c>
      <c r="AI10" s="386">
        <f t="shared" si="21"/>
        <v>0</v>
      </c>
      <c r="AJ10" s="386">
        <f t="shared" si="22"/>
        <v>2.9360672927526541</v>
      </c>
      <c r="AK10" s="386">
        <f t="shared" si="23"/>
        <v>8.6204911475718987E-2</v>
      </c>
      <c r="AL10" s="386">
        <f t="shared" si="24"/>
        <v>0.30980196534588694</v>
      </c>
      <c r="AM10">
        <f t="shared" si="25"/>
        <v>0</v>
      </c>
      <c r="AN10" s="386">
        <f t="shared" si="26"/>
        <v>0.40408845992210513</v>
      </c>
      <c r="AO10" s="386">
        <f t="shared" si="27"/>
        <v>5.0601082430776332</v>
      </c>
      <c r="AP10" s="386">
        <f t="shared" si="28"/>
        <v>0.25604695431662211</v>
      </c>
      <c r="AQ10" s="386">
        <f t="shared" si="29"/>
        <v>0.2808246670315635</v>
      </c>
      <c r="AR10" s="386">
        <f t="shared" si="30"/>
        <v>0.57077745357909959</v>
      </c>
      <c r="AS10" s="386">
        <f t="shared" si="31"/>
        <v>0.34225186579234113</v>
      </c>
      <c r="AT10" s="386">
        <f t="shared" si="32"/>
        <v>0</v>
      </c>
      <c r="AU10" s="386">
        <f t="shared" si="33"/>
        <v>4.4400000000000002E-2</v>
      </c>
      <c r="AV10" s="386">
        <f t="shared" si="34"/>
        <v>0.12930736721357849</v>
      </c>
      <c r="AW10" s="386">
        <f t="shared" si="35"/>
        <v>6.5920000000000006E-2</v>
      </c>
      <c r="AX10" s="386">
        <f t="shared" si="36"/>
        <v>3.6000000000000004E-2</v>
      </c>
      <c r="AY10" s="386">
        <f t="shared" si="37"/>
        <v>0.40226399999999995</v>
      </c>
      <c r="AZ10" s="386">
        <f t="shared" si="38"/>
        <v>0.30415082926829268</v>
      </c>
      <c r="BA10" s="386">
        <f t="shared" ref="BA10" si="49">SUM(AX10:AY10)</f>
        <v>0.43826399999999999</v>
      </c>
      <c r="BB10" s="386">
        <f>SUM(T10,W10,Z10,AE10,AI10,AN10,AR10, AT10,AU10,BA10,AV10,AW10)</f>
        <v>2.6810310316789607</v>
      </c>
      <c r="BC10">
        <f t="shared" si="39"/>
        <v>48</v>
      </c>
      <c r="BD10" s="604">
        <f t="shared" ref="BD10:BD73" si="50">BC10/(BC10+BB10)</f>
        <v>0.94709991140466065</v>
      </c>
      <c r="BE10" s="614">
        <f t="shared" si="40"/>
        <v>26.012330675482097</v>
      </c>
      <c r="BF10" s="614">
        <f t="shared" si="41"/>
        <v>33.105092307587775</v>
      </c>
      <c r="BG10" s="9"/>
      <c r="BH10" s="4">
        <f t="shared" ref="BH10:BH73" si="51">BD10*100</f>
        <v>94.709991140466059</v>
      </c>
      <c r="BI10" s="386">
        <f t="shared" ref="BI10:BI73" si="52">T10</f>
        <v>0.50535291510877633</v>
      </c>
      <c r="BJ10" s="386">
        <f t="shared" ref="BJ10:BJ73" si="53">AE10+AI10+AN10+AR10+AU10</f>
        <v>1.3910373345978613</v>
      </c>
      <c r="BK10" s="386">
        <f t="shared" ref="BK10:BK73" si="54">AI10+AU10*0.33</f>
        <v>1.4652000000000002E-2</v>
      </c>
      <c r="BL10" s="386">
        <f t="shared" ref="BL10:BL73" si="55">AV10</f>
        <v>0.12930736721357849</v>
      </c>
      <c r="BQ10" s="18"/>
      <c r="BR10" s="18"/>
      <c r="BS10" s="18"/>
      <c r="BT10" s="19"/>
    </row>
    <row r="11" spans="1:82" x14ac:dyDescent="0.2">
      <c r="A11" s="20" t="s">
        <v>4</v>
      </c>
      <c r="B11" s="5">
        <f>Vin</f>
        <v>12</v>
      </c>
      <c r="C11" s="482" t="s">
        <v>0</v>
      </c>
      <c r="D11" s="21" t="s">
        <v>4</v>
      </c>
      <c r="G11">
        <v>2</v>
      </c>
      <c r="H11" s="610">
        <f t="shared" si="0"/>
        <v>9.27</v>
      </c>
      <c r="I11" s="4" t="str">
        <f t="shared" si="1"/>
        <v>BOOST</v>
      </c>
      <c r="J11">
        <f t="shared" si="43"/>
        <v>2</v>
      </c>
      <c r="K11">
        <f t="shared" si="2"/>
        <v>4</v>
      </c>
      <c r="L11" s="4">
        <f t="shared" si="3"/>
        <v>5.7533261416756565</v>
      </c>
      <c r="M11" s="4">
        <f t="shared" si="4"/>
        <v>5.2655940897949716</v>
      </c>
      <c r="N11" s="386">
        <f t="shared" si="5"/>
        <v>1</v>
      </c>
      <c r="O11" s="386">
        <f t="shared" si="44"/>
        <v>0.24035162380779912</v>
      </c>
      <c r="P11" s="4">
        <f t="shared" si="6"/>
        <v>1.2508543874555489</v>
      </c>
      <c r="Q11" s="386">
        <f t="shared" si="7"/>
        <v>5.7646463971383266</v>
      </c>
      <c r="R11" s="386">
        <f t="shared" si="8"/>
        <v>0.45460416610099635</v>
      </c>
      <c r="S11" s="386">
        <f t="shared" si="45"/>
        <v>3.4080118184191051E-2</v>
      </c>
      <c r="T11" s="386">
        <f t="shared" si="46"/>
        <v>0.4886842842851874</v>
      </c>
      <c r="U11" s="4">
        <f t="shared" si="9"/>
        <v>2.2591216038129005</v>
      </c>
      <c r="V11" s="386">
        <f t="shared" si="10"/>
        <v>0.13779802136198263</v>
      </c>
      <c r="W11" s="386">
        <f t="shared" si="47"/>
        <v>0.13779802136198263</v>
      </c>
      <c r="X11" s="386">
        <f t="shared" si="11"/>
        <v>0.36109055865724282</v>
      </c>
      <c r="Y11" s="386">
        <f t="shared" si="12"/>
        <v>4.1723645296447912E-3</v>
      </c>
      <c r="Z11" s="603">
        <f t="shared" si="48"/>
        <v>4.1723645296447912E-3</v>
      </c>
      <c r="AA11" s="386">
        <f t="shared" si="13"/>
        <v>5.7646463971383266</v>
      </c>
      <c r="AB11" s="386">
        <f t="shared" si="14"/>
        <v>0.33231148084039885</v>
      </c>
      <c r="AC11" s="386">
        <f t="shared" si="15"/>
        <v>0</v>
      </c>
      <c r="AD11">
        <f t="shared" si="16"/>
        <v>0</v>
      </c>
      <c r="AE11" s="386">
        <f t="shared" si="17"/>
        <v>0.36007166047506073</v>
      </c>
      <c r="AF11" s="386">
        <f t="shared" si="18"/>
        <v>0</v>
      </c>
      <c r="AG11" s="386">
        <f t="shared" si="19"/>
        <v>0</v>
      </c>
      <c r="AH11" s="386">
        <f t="shared" si="20"/>
        <v>0</v>
      </c>
      <c r="AI11" s="386">
        <f t="shared" si="21"/>
        <v>0</v>
      </c>
      <c r="AJ11" s="386">
        <f t="shared" si="22"/>
        <v>2.8261564717822014</v>
      </c>
      <c r="AK11" s="386">
        <f t="shared" si="23"/>
        <v>7.987160402996421E-2</v>
      </c>
      <c r="AL11" s="386">
        <f t="shared" si="24"/>
        <v>0.30529028623890803</v>
      </c>
      <c r="AM11">
        <f t="shared" si="25"/>
        <v>0</v>
      </c>
      <c r="AN11" s="386">
        <f t="shared" si="26"/>
        <v>0.39243377129997997</v>
      </c>
      <c r="AO11" s="386">
        <f t="shared" si="27"/>
        <v>5.0243395268476299</v>
      </c>
      <c r="AP11" s="386">
        <f t="shared" si="28"/>
        <v>0.25243987681043467</v>
      </c>
      <c r="AQ11" s="386">
        <f t="shared" si="29"/>
        <v>0.27673498741459907</v>
      </c>
      <c r="AR11" s="386">
        <f t="shared" si="30"/>
        <v>0.56209452083517886</v>
      </c>
      <c r="AS11" s="386">
        <f t="shared" si="31"/>
        <v>0.33231148084039885</v>
      </c>
      <c r="AT11" s="386">
        <f t="shared" si="32"/>
        <v>0</v>
      </c>
      <c r="AU11" s="386">
        <f t="shared" si="33"/>
        <v>4.4400000000000002E-2</v>
      </c>
      <c r="AV11" s="386">
        <f t="shared" si="34"/>
        <v>0.11980740604494632</v>
      </c>
      <c r="AW11" s="386">
        <f t="shared" si="35"/>
        <v>6.5920000000000006E-2</v>
      </c>
      <c r="AX11" s="386">
        <f t="shared" si="36"/>
        <v>3.6000000000000004E-2</v>
      </c>
      <c r="AY11" s="386">
        <f t="shared" si="37"/>
        <v>0.40226399999999995</v>
      </c>
      <c r="AZ11" s="386">
        <f t="shared" si="38"/>
        <v>0.30415082926829268</v>
      </c>
      <c r="BA11" s="386">
        <f t="shared" ref="BA11:BA74" si="56">SUM(AX11:AY11)</f>
        <v>0.43826399999999999</v>
      </c>
      <c r="BB11" s="386">
        <f t="shared" ref="BB11:BB74" si="57">SUM(T11,W11,Z11,AE11,AI11,AN11,AR11, AT11,AU11,BA11,AV11,AW11)</f>
        <v>2.6136460288319809</v>
      </c>
      <c r="BC11">
        <f t="shared" si="39"/>
        <v>48</v>
      </c>
      <c r="BD11" s="604">
        <f t="shared" si="50"/>
        <v>0.94836084269955334</v>
      </c>
      <c r="BE11" s="614">
        <f t="shared" si="40"/>
        <v>25.336358735398839</v>
      </c>
      <c r="BF11" s="614">
        <f t="shared" si="41"/>
        <v>32.601482208440373</v>
      </c>
      <c r="BG11" s="9"/>
      <c r="BH11" s="4">
        <f t="shared" si="51"/>
        <v>94.836084269955336</v>
      </c>
      <c r="BI11" s="386">
        <f t="shared" si="52"/>
        <v>0.4886842842851874</v>
      </c>
      <c r="BJ11" s="386">
        <f t="shared" si="53"/>
        <v>1.3589999526102194</v>
      </c>
      <c r="BK11" s="386">
        <f t="shared" si="54"/>
        <v>1.4652000000000002E-2</v>
      </c>
      <c r="BL11" s="386">
        <f t="shared" si="55"/>
        <v>0.11980740604494632</v>
      </c>
      <c r="BP11" t="s">
        <v>138</v>
      </c>
      <c r="BQ11" s="18">
        <v>90</v>
      </c>
      <c r="BR11" s="18">
        <v>90</v>
      </c>
      <c r="BS11" s="18">
        <v>90</v>
      </c>
      <c r="BT11" s="19">
        <f>250000*(12-Vdd)*BS11/1000000000+((250000*BS9/1000000000*Vdd)*2.5/(2*4))</f>
        <v>0.14226562500000001</v>
      </c>
      <c r="BU11">
        <f t="shared" si="42"/>
        <v>11.381250000000001</v>
      </c>
      <c r="BV11">
        <f t="shared" si="42"/>
        <v>14.2265625</v>
      </c>
      <c r="BW11">
        <f t="shared" si="42"/>
        <v>17.071875000000002</v>
      </c>
      <c r="BX11">
        <f t="shared" si="42"/>
        <v>19.917187500000001</v>
      </c>
      <c r="BY11">
        <f t="shared" si="42"/>
        <v>22.762500000000003</v>
      </c>
      <c r="BZ11">
        <f t="shared" si="42"/>
        <v>25.607812500000001</v>
      </c>
      <c r="CA11">
        <f t="shared" si="42"/>
        <v>2.8453125000000004</v>
      </c>
      <c r="CB11">
        <f t="shared" si="42"/>
        <v>4.2679687500000005</v>
      </c>
      <c r="CC11">
        <f t="shared" si="42"/>
        <v>5.6906250000000007</v>
      </c>
      <c r="CD11">
        <f t="shared" si="42"/>
        <v>7.11328125</v>
      </c>
    </row>
    <row r="12" spans="1:82" x14ac:dyDescent="0.2">
      <c r="A12" s="22" t="s">
        <v>5</v>
      </c>
      <c r="B12" s="5">
        <f>Vout</f>
        <v>12</v>
      </c>
      <c r="C12" s="482" t="s">
        <v>0</v>
      </c>
      <c r="D12" s="21" t="s">
        <v>5</v>
      </c>
      <c r="G12">
        <v>3</v>
      </c>
      <c r="H12" s="610">
        <f t="shared" si="0"/>
        <v>9.4049999999999994</v>
      </c>
      <c r="I12" s="4" t="str">
        <f t="shared" si="1"/>
        <v>BOOST</v>
      </c>
      <c r="J12">
        <f t="shared" si="43"/>
        <v>2</v>
      </c>
      <c r="K12">
        <f t="shared" si="2"/>
        <v>4</v>
      </c>
      <c r="L12" s="4">
        <f t="shared" si="3"/>
        <v>5.6707425128477764</v>
      </c>
      <c r="M12" s="4">
        <f t="shared" si="4"/>
        <v>5.1869608909467049</v>
      </c>
      <c r="N12" s="386">
        <f t="shared" si="5"/>
        <v>1</v>
      </c>
      <c r="O12" s="386">
        <f t="shared" si="44"/>
        <v>0.22883551966208582</v>
      </c>
      <c r="P12" s="4">
        <f t="shared" si="6"/>
        <v>1.2091013060308546</v>
      </c>
      <c r="Q12" s="386">
        <f t="shared" si="7"/>
        <v>5.6814740878613161</v>
      </c>
      <c r="R12" s="386">
        <f t="shared" si="8"/>
        <v>0.44112115076418867</v>
      </c>
      <c r="S12" s="386">
        <f t="shared" si="45"/>
        <v>3.1515976229702217E-2</v>
      </c>
      <c r="T12" s="386">
        <f t="shared" si="46"/>
        <v>0.47263712699389088</v>
      </c>
      <c r="U12" s="4">
        <f t="shared" si="9"/>
        <v>2.1872344601285039</v>
      </c>
      <c r="V12" s="386">
        <f t="shared" si="10"/>
        <v>0.12916785375648795</v>
      </c>
      <c r="W12" s="386">
        <f t="shared" si="47"/>
        <v>0.12916785375648795</v>
      </c>
      <c r="X12" s="386">
        <f t="shared" si="11"/>
        <v>0.34903748225722103</v>
      </c>
      <c r="Y12" s="386">
        <f t="shared" si="12"/>
        <v>3.8984692486547165E-3</v>
      </c>
      <c r="Z12" s="603">
        <f t="shared" si="48"/>
        <v>3.8984692486547165E-3</v>
      </c>
      <c r="AA12" s="386">
        <f t="shared" si="13"/>
        <v>5.6814740878613161</v>
      </c>
      <c r="AB12" s="386">
        <f t="shared" si="14"/>
        <v>0.32279147811039571</v>
      </c>
      <c r="AC12" s="386">
        <f t="shared" si="15"/>
        <v>0</v>
      </c>
      <c r="AD12">
        <f t="shared" si="16"/>
        <v>0</v>
      </c>
      <c r="AE12" s="386">
        <f t="shared" si="17"/>
        <v>0.34892137010403912</v>
      </c>
      <c r="AF12" s="386">
        <f t="shared" si="18"/>
        <v>0</v>
      </c>
      <c r="AG12" s="386">
        <f t="shared" si="19"/>
        <v>0</v>
      </c>
      <c r="AH12" s="386">
        <f t="shared" si="20"/>
        <v>0</v>
      </c>
      <c r="AI12" s="386">
        <f t="shared" si="21"/>
        <v>0</v>
      </c>
      <c r="AJ12" s="386">
        <f t="shared" si="22"/>
        <v>2.717832879996215</v>
      </c>
      <c r="AK12" s="386">
        <f t="shared" si="23"/>
        <v>7.3866155635885208E-2</v>
      </c>
      <c r="AL12" s="386">
        <f t="shared" si="24"/>
        <v>0.30090812902016773</v>
      </c>
      <c r="AM12">
        <f t="shared" si="25"/>
        <v>0</v>
      </c>
      <c r="AN12" s="386">
        <f t="shared" si="26"/>
        <v>0.38130875296862143</v>
      </c>
      <c r="AO12" s="386">
        <f t="shared" si="27"/>
        <v>4.9892416505367878</v>
      </c>
      <c r="AP12" s="386">
        <f t="shared" si="28"/>
        <v>0.24892532247451052</v>
      </c>
      <c r="AQ12" s="386">
        <f t="shared" si="29"/>
        <v>0.27276271486797804</v>
      </c>
      <c r="AR12" s="386">
        <f t="shared" si="30"/>
        <v>0.55366241545416361</v>
      </c>
      <c r="AS12" s="386">
        <f t="shared" si="31"/>
        <v>0.32279147811039571</v>
      </c>
      <c r="AT12" s="386">
        <f t="shared" si="32"/>
        <v>0</v>
      </c>
      <c r="AU12" s="386">
        <f t="shared" si="33"/>
        <v>4.4400000000000002E-2</v>
      </c>
      <c r="AV12" s="386">
        <f t="shared" si="34"/>
        <v>0.11079923345382781</v>
      </c>
      <c r="AW12" s="386">
        <f t="shared" si="35"/>
        <v>6.5920000000000006E-2</v>
      </c>
      <c r="AX12" s="386">
        <f t="shared" si="36"/>
        <v>3.6000000000000004E-2</v>
      </c>
      <c r="AY12" s="386">
        <f t="shared" si="37"/>
        <v>0.40226399999999995</v>
      </c>
      <c r="AZ12" s="386">
        <f t="shared" si="38"/>
        <v>0.30415082926829268</v>
      </c>
      <c r="BA12" s="386">
        <f t="shared" si="56"/>
        <v>0.43826399999999999</v>
      </c>
      <c r="BB12" s="386">
        <f t="shared" si="57"/>
        <v>2.5489792219796854</v>
      </c>
      <c r="BC12">
        <f t="shared" si="39"/>
        <v>48</v>
      </c>
      <c r="BD12" s="604">
        <f t="shared" si="50"/>
        <v>0.94957407130248561</v>
      </c>
      <c r="BE12" s="614">
        <f t="shared" si="40"/>
        <v>24.691107672180042</v>
      </c>
      <c r="BF12" s="614">
        <f t="shared" si="41"/>
        <v>32.112420096341488</v>
      </c>
      <c r="BG12" s="9"/>
      <c r="BH12" s="4">
        <f t="shared" si="51"/>
        <v>94.957407130248555</v>
      </c>
      <c r="BI12" s="386">
        <f t="shared" si="52"/>
        <v>0.47263712699389088</v>
      </c>
      <c r="BJ12" s="386">
        <f t="shared" si="53"/>
        <v>1.3282925385268243</v>
      </c>
      <c r="BK12" s="386">
        <f t="shared" si="54"/>
        <v>1.4652000000000002E-2</v>
      </c>
      <c r="BL12" s="386">
        <f t="shared" si="55"/>
        <v>0.11079923345382781</v>
      </c>
      <c r="BP12" t="s">
        <v>143</v>
      </c>
      <c r="BQ12" s="18">
        <v>60</v>
      </c>
      <c r="BR12" s="18">
        <v>60</v>
      </c>
      <c r="BS12" s="18">
        <v>60</v>
      </c>
      <c r="BT12" s="19">
        <f>250000*(18-Vdd)*BS12/1000000000+((250000*BS9/1000000000*Vdd)*2.5/(2*4))</f>
        <v>0.198515625</v>
      </c>
      <c r="BU12">
        <f t="shared" si="42"/>
        <v>15.88125</v>
      </c>
      <c r="BV12">
        <f t="shared" si="42"/>
        <v>19.8515625</v>
      </c>
      <c r="BW12">
        <f t="shared" si="42"/>
        <v>23.821874999999999</v>
      </c>
      <c r="BX12">
        <f t="shared" si="42"/>
        <v>27.792187500000001</v>
      </c>
      <c r="BY12">
        <f t="shared" si="42"/>
        <v>31.762499999999999</v>
      </c>
      <c r="BZ12">
        <f t="shared" si="42"/>
        <v>35.732812500000001</v>
      </c>
      <c r="CA12">
        <f t="shared" si="42"/>
        <v>3.9703124999999999</v>
      </c>
      <c r="CB12">
        <f t="shared" si="42"/>
        <v>5.9554687499999996</v>
      </c>
      <c r="CC12">
        <f t="shared" si="42"/>
        <v>7.9406249999999998</v>
      </c>
      <c r="CD12">
        <f t="shared" si="42"/>
        <v>9.92578125</v>
      </c>
    </row>
    <row r="13" spans="1:82" x14ac:dyDescent="0.2">
      <c r="A13" s="22" t="s">
        <v>7</v>
      </c>
      <c r="B13" s="5">
        <f>Fsw/1000</f>
        <v>370</v>
      </c>
      <c r="C13" s="482" t="s">
        <v>3</v>
      </c>
      <c r="D13" s="21" t="s">
        <v>98</v>
      </c>
      <c r="G13">
        <v>4</v>
      </c>
      <c r="H13" s="610">
        <f t="shared" si="0"/>
        <v>9.5399999999999991</v>
      </c>
      <c r="I13" s="4" t="str">
        <f t="shared" si="1"/>
        <v>BOOST</v>
      </c>
      <c r="J13">
        <f t="shared" si="43"/>
        <v>2</v>
      </c>
      <c r="K13">
        <f t="shared" si="2"/>
        <v>4</v>
      </c>
      <c r="L13" s="4">
        <f t="shared" si="3"/>
        <v>5.5904961565338924</v>
      </c>
      <c r="M13" s="4">
        <f t="shared" si="4"/>
        <v>5.1106911811205338</v>
      </c>
      <c r="N13" s="386">
        <f t="shared" si="5"/>
        <v>1</v>
      </c>
      <c r="O13" s="386">
        <f t="shared" si="44"/>
        <v>0.21732699976542341</v>
      </c>
      <c r="P13" s="4">
        <f t="shared" si="6"/>
        <v>1.1655479504592141</v>
      </c>
      <c r="Q13" s="386">
        <f t="shared" si="7"/>
        <v>5.6006120896102534</v>
      </c>
      <c r="R13" s="386">
        <f t="shared" si="8"/>
        <v>0.42822682454590633</v>
      </c>
      <c r="S13" s="386">
        <f t="shared" si="45"/>
        <v>2.8961575256913417E-2</v>
      </c>
      <c r="T13" s="386">
        <f t="shared" si="46"/>
        <v>0.45718839980281972</v>
      </c>
      <c r="U13" s="4">
        <f t="shared" si="9"/>
        <v>2.1152304001457902</v>
      </c>
      <c r="V13" s="386">
        <f t="shared" si="10"/>
        <v>0.12080339043392484</v>
      </c>
      <c r="W13" s="386">
        <f t="shared" si="47"/>
        <v>0.12080339043392484</v>
      </c>
      <c r="X13" s="386">
        <f t="shared" si="11"/>
        <v>0.33646471147552193</v>
      </c>
      <c r="Y13" s="386">
        <f t="shared" si="12"/>
        <v>3.622672066185799E-3</v>
      </c>
      <c r="Z13" s="603">
        <f t="shared" si="48"/>
        <v>3.622672066185799E-3</v>
      </c>
      <c r="AA13" s="386">
        <f t="shared" si="13"/>
        <v>5.6006120896102534</v>
      </c>
      <c r="AB13" s="386">
        <f t="shared" si="14"/>
        <v>0.31366855778288527</v>
      </c>
      <c r="AC13" s="386">
        <f t="shared" si="15"/>
        <v>0</v>
      </c>
      <c r="AD13">
        <f t="shared" si="16"/>
        <v>0</v>
      </c>
      <c r="AE13" s="386">
        <f t="shared" si="17"/>
        <v>0.33828600425583588</v>
      </c>
      <c r="AF13" s="386">
        <f t="shared" si="18"/>
        <v>0</v>
      </c>
      <c r="AG13" s="386">
        <f t="shared" si="19"/>
        <v>0</v>
      </c>
      <c r="AH13" s="386">
        <f t="shared" si="20"/>
        <v>0</v>
      </c>
      <c r="AI13" s="386">
        <f t="shared" si="21"/>
        <v>0</v>
      </c>
      <c r="AJ13" s="386">
        <f t="shared" si="22"/>
        <v>2.6109126102514768</v>
      </c>
      <c r="AK13" s="386">
        <f t="shared" si="23"/>
        <v>6.8168646583701809E-2</v>
      </c>
      <c r="AL13" s="386">
        <f t="shared" si="24"/>
        <v>0.29664999511893897</v>
      </c>
      <c r="AM13">
        <f t="shared" si="25"/>
        <v>0</v>
      </c>
      <c r="AN13" s="386">
        <f t="shared" si="26"/>
        <v>0.37068100856159958</v>
      </c>
      <c r="AO13" s="386">
        <f t="shared" si="27"/>
        <v>4.9547947606251403</v>
      </c>
      <c r="AP13" s="386">
        <f t="shared" si="28"/>
        <v>0.24549991119918343</v>
      </c>
      <c r="AQ13" s="386">
        <f t="shared" si="29"/>
        <v>0.26890286512928019</v>
      </c>
      <c r="AR13" s="386">
        <f t="shared" si="30"/>
        <v>0.54547058789493752</v>
      </c>
      <c r="AS13" s="386">
        <f t="shared" si="31"/>
        <v>0.31366855778288527</v>
      </c>
      <c r="AT13" s="386">
        <f t="shared" si="32"/>
        <v>0</v>
      </c>
      <c r="AU13" s="386">
        <f t="shared" si="33"/>
        <v>4.4400000000000002E-2</v>
      </c>
      <c r="AV13" s="386">
        <f t="shared" si="34"/>
        <v>0.1022529698755527</v>
      </c>
      <c r="AW13" s="386">
        <f t="shared" si="35"/>
        <v>6.5920000000000006E-2</v>
      </c>
      <c r="AX13" s="386">
        <f t="shared" si="36"/>
        <v>3.6000000000000004E-2</v>
      </c>
      <c r="AY13" s="386">
        <f t="shared" si="37"/>
        <v>0.40226399999999995</v>
      </c>
      <c r="AZ13" s="386">
        <f t="shared" si="38"/>
        <v>0.30415082926829268</v>
      </c>
      <c r="BA13" s="386">
        <f t="shared" si="56"/>
        <v>0.43826399999999999</v>
      </c>
      <c r="BB13" s="386">
        <f t="shared" si="57"/>
        <v>2.4868890328908564</v>
      </c>
      <c r="BC13">
        <f t="shared" si="39"/>
        <v>48</v>
      </c>
      <c r="BD13" s="604">
        <f t="shared" si="50"/>
        <v>0.95074188407071947</v>
      </c>
      <c r="BE13" s="614">
        <f t="shared" si="40"/>
        <v>24.074698496572775</v>
      </c>
      <c r="BF13" s="614">
        <f t="shared" si="41"/>
        <v>31.637294097906377</v>
      </c>
      <c r="BG13" s="9"/>
      <c r="BH13" s="4">
        <f t="shared" si="51"/>
        <v>95.074188407071944</v>
      </c>
      <c r="BI13" s="386">
        <f t="shared" si="52"/>
        <v>0.45718839980281972</v>
      </c>
      <c r="BJ13" s="386">
        <f t="shared" si="53"/>
        <v>1.298837600712373</v>
      </c>
      <c r="BK13" s="386">
        <f t="shared" si="54"/>
        <v>1.4652000000000002E-2</v>
      </c>
      <c r="BL13" s="386">
        <f t="shared" si="55"/>
        <v>0.1022529698755527</v>
      </c>
      <c r="BP13" t="s">
        <v>139</v>
      </c>
      <c r="BQ13" s="18">
        <v>30</v>
      </c>
      <c r="BR13" s="18">
        <v>30</v>
      </c>
      <c r="BS13" s="18">
        <v>30</v>
      </c>
      <c r="BT13" s="19">
        <f>500000*(5-Vdd)*BS13/1000000000+((500000*BS9/1000000000*Vdd)*2.5/(2*4))</f>
        <v>4.4531250000000001E-2</v>
      </c>
      <c r="BU13">
        <f t="shared" si="42"/>
        <v>3.5625</v>
      </c>
      <c r="BV13">
        <f t="shared" si="42"/>
        <v>4.453125</v>
      </c>
      <c r="BW13">
        <f t="shared" si="42"/>
        <v>5.34375</v>
      </c>
      <c r="BX13">
        <f t="shared" si="42"/>
        <v>6.234375</v>
      </c>
      <c r="BY13">
        <f t="shared" si="42"/>
        <v>7.125</v>
      </c>
      <c r="BZ13">
        <f t="shared" si="42"/>
        <v>8.015625</v>
      </c>
      <c r="CA13">
        <f t="shared" si="42"/>
        <v>0.890625</v>
      </c>
      <c r="CB13">
        <f t="shared" si="42"/>
        <v>1.3359375</v>
      </c>
      <c r="CC13">
        <f t="shared" si="42"/>
        <v>1.78125</v>
      </c>
      <c r="CD13">
        <f t="shared" si="42"/>
        <v>2.2265625</v>
      </c>
    </row>
    <row r="14" spans="1:82" x14ac:dyDescent="0.2">
      <c r="A14" s="22" t="s">
        <v>6</v>
      </c>
      <c r="B14" s="5">
        <f>Iout</f>
        <v>4</v>
      </c>
      <c r="C14" s="482" t="s">
        <v>2</v>
      </c>
      <c r="D14" s="21" t="s">
        <v>99</v>
      </c>
      <c r="G14">
        <v>5</v>
      </c>
      <c r="H14" s="610">
        <f t="shared" si="0"/>
        <v>9.6750000000000007</v>
      </c>
      <c r="I14" s="4" t="str">
        <f t="shared" si="1"/>
        <v>BOOST</v>
      </c>
      <c r="J14">
        <f t="shared" si="43"/>
        <v>2</v>
      </c>
      <c r="K14">
        <f t="shared" si="2"/>
        <v>4</v>
      </c>
      <c r="L14" s="4">
        <f t="shared" si="3"/>
        <v>5.5124892334194655</v>
      </c>
      <c r="M14" s="4">
        <f t="shared" si="4"/>
        <v>5.0366779985247803</v>
      </c>
      <c r="N14" s="386">
        <f t="shared" si="5"/>
        <v>1</v>
      </c>
      <c r="O14" s="386">
        <f t="shared" si="44"/>
        <v>0.20582574443480767</v>
      </c>
      <c r="P14" s="4">
        <f t="shared" si="6"/>
        <v>1.1201966022776024</v>
      </c>
      <c r="Q14" s="386">
        <f t="shared" si="7"/>
        <v>5.5219659166108332</v>
      </c>
      <c r="R14" s="386">
        <f t="shared" si="8"/>
        <v>0.41588725050900083</v>
      </c>
      <c r="S14" s="386">
        <f t="shared" si="45"/>
        <v>2.6430822630093661E-2</v>
      </c>
      <c r="T14" s="386">
        <f t="shared" si="46"/>
        <v>0.44231807313909449</v>
      </c>
      <c r="U14" s="4">
        <f t="shared" si="9"/>
        <v>2.0429912770038836</v>
      </c>
      <c r="V14" s="386">
        <f t="shared" si="10"/>
        <v>0.11269296066367689</v>
      </c>
      <c r="W14" s="386">
        <f t="shared" si="47"/>
        <v>0.11269296066367689</v>
      </c>
      <c r="X14" s="386">
        <f t="shared" si="11"/>
        <v>0.32337290493513898</v>
      </c>
      <c r="Y14" s="386">
        <f t="shared" si="12"/>
        <v>3.346241140678094E-3</v>
      </c>
      <c r="Z14" s="603">
        <f t="shared" si="48"/>
        <v>3.346241140678094E-3</v>
      </c>
      <c r="AA14" s="386">
        <f t="shared" si="13"/>
        <v>5.5219659166108332</v>
      </c>
      <c r="AB14" s="386">
        <f t="shared" si="14"/>
        <v>0.3049210758421172</v>
      </c>
      <c r="AC14" s="386">
        <f t="shared" si="15"/>
        <v>0</v>
      </c>
      <c r="AD14">
        <f t="shared" si="16"/>
        <v>0</v>
      </c>
      <c r="AE14" s="386">
        <f t="shared" si="17"/>
        <v>0.32813381642973394</v>
      </c>
      <c r="AF14" s="386">
        <f t="shared" si="18"/>
        <v>0</v>
      </c>
      <c r="AG14" s="386">
        <f t="shared" si="19"/>
        <v>0</v>
      </c>
      <c r="AH14" s="386">
        <f t="shared" si="20"/>
        <v>0</v>
      </c>
      <c r="AI14" s="386">
        <f t="shared" si="21"/>
        <v>0</v>
      </c>
      <c r="AJ14" s="386">
        <f t="shared" si="22"/>
        <v>2.5052067265809868</v>
      </c>
      <c r="AK14" s="386">
        <f t="shared" si="23"/>
        <v>6.2760607429066223E-2</v>
      </c>
      <c r="AL14" s="386">
        <f t="shared" si="24"/>
        <v>0.2925106928614653</v>
      </c>
      <c r="AM14">
        <f t="shared" si="25"/>
        <v>0</v>
      </c>
      <c r="AN14" s="386">
        <f t="shared" si="26"/>
        <v>0.36052064708453652</v>
      </c>
      <c r="AO14" s="386">
        <f t="shared" si="27"/>
        <v>4.9209802723954397</v>
      </c>
      <c r="AP14" s="386">
        <f t="shared" si="28"/>
        <v>0.24216046841305097</v>
      </c>
      <c r="AQ14" s="386">
        <f t="shared" si="29"/>
        <v>0.26515073212747625</v>
      </c>
      <c r="AR14" s="386">
        <f t="shared" si="30"/>
        <v>0.53750912352232894</v>
      </c>
      <c r="AS14" s="386">
        <f t="shared" si="31"/>
        <v>0.3049210758421172</v>
      </c>
      <c r="AT14" s="386">
        <f t="shared" si="32"/>
        <v>0</v>
      </c>
      <c r="AU14" s="386">
        <f t="shared" si="33"/>
        <v>4.4400000000000002E-2</v>
      </c>
      <c r="AV14" s="386">
        <f t="shared" si="34"/>
        <v>9.4140911143599335E-2</v>
      </c>
      <c r="AW14" s="386">
        <f t="shared" si="35"/>
        <v>6.5920000000000006E-2</v>
      </c>
      <c r="AX14" s="386">
        <f t="shared" si="36"/>
        <v>3.6000000000000004E-2</v>
      </c>
      <c r="AY14" s="386">
        <f t="shared" si="37"/>
        <v>0.40226399999999995</v>
      </c>
      <c r="AZ14" s="386">
        <f t="shared" si="38"/>
        <v>0.30415082926829268</v>
      </c>
      <c r="BA14" s="386">
        <f t="shared" si="56"/>
        <v>0.43826399999999999</v>
      </c>
      <c r="BB14" s="386">
        <f t="shared" si="57"/>
        <v>2.4272457731236479</v>
      </c>
      <c r="BC14">
        <f t="shared" si="39"/>
        <v>48</v>
      </c>
      <c r="BD14" s="604">
        <f t="shared" si="50"/>
        <v>0.9518663822322555</v>
      </c>
      <c r="BE14" s="614">
        <f t="shared" si="40"/>
        <v>23.485397530903118</v>
      </c>
      <c r="BF14" s="614">
        <f t="shared" si="41"/>
        <v>31.175529164295078</v>
      </c>
      <c r="BG14" s="9"/>
      <c r="BH14" s="4">
        <f t="shared" si="51"/>
        <v>95.186638223225543</v>
      </c>
      <c r="BI14" s="386">
        <f t="shared" si="52"/>
        <v>0.44231807313909449</v>
      </c>
      <c r="BJ14" s="386">
        <f t="shared" si="53"/>
        <v>1.2705635870365994</v>
      </c>
      <c r="BK14" s="386">
        <f t="shared" si="54"/>
        <v>1.4652000000000002E-2</v>
      </c>
      <c r="BL14" s="386">
        <f t="shared" si="55"/>
        <v>9.4140911143599335E-2</v>
      </c>
      <c r="BP14" t="s">
        <v>142</v>
      </c>
      <c r="BQ14" s="18">
        <v>45</v>
      </c>
      <c r="BR14" s="18">
        <v>45</v>
      </c>
      <c r="BS14" s="18">
        <v>45</v>
      </c>
      <c r="BT14" s="19">
        <f>500000*(12-Vdd)*BS14/1000000000+((500000*BS9/1000000000*Vdd)*2.5/(2*4))</f>
        <v>0.18328125000000001</v>
      </c>
      <c r="BU14">
        <f t="shared" si="42"/>
        <v>14.662500000000001</v>
      </c>
      <c r="BV14">
        <f t="shared" si="42"/>
        <v>18.328125</v>
      </c>
      <c r="BW14">
        <f t="shared" si="42"/>
        <v>21.993750000000002</v>
      </c>
      <c r="BX14">
        <f t="shared" si="42"/>
        <v>25.659375000000001</v>
      </c>
      <c r="BY14">
        <f t="shared" si="42"/>
        <v>29.325000000000003</v>
      </c>
      <c r="BZ14">
        <f t="shared" si="42"/>
        <v>32.990625000000001</v>
      </c>
      <c r="CA14">
        <f t="shared" si="42"/>
        <v>3.6656250000000004</v>
      </c>
      <c r="CB14">
        <f t="shared" si="42"/>
        <v>5.4984375000000005</v>
      </c>
      <c r="CC14">
        <f t="shared" si="42"/>
        <v>7.3312500000000007</v>
      </c>
      <c r="CD14">
        <f t="shared" si="42"/>
        <v>9.1640625</v>
      </c>
    </row>
    <row r="15" spans="1:82" x14ac:dyDescent="0.2">
      <c r="A15" s="23" t="s">
        <v>87</v>
      </c>
      <c r="B15" s="5">
        <f>Ta</f>
        <v>25</v>
      </c>
      <c r="C15" s="482" t="s">
        <v>673</v>
      </c>
      <c r="D15" s="21" t="s">
        <v>100</v>
      </c>
      <c r="G15">
        <v>6</v>
      </c>
      <c r="H15" s="610">
        <f t="shared" si="0"/>
        <v>9.81</v>
      </c>
      <c r="I15" s="4" t="str">
        <f t="shared" si="1"/>
        <v>BOOST</v>
      </c>
      <c r="J15">
        <f t="shared" si="43"/>
        <v>2</v>
      </c>
      <c r="K15">
        <f t="shared" si="2"/>
        <v>4</v>
      </c>
      <c r="L15" s="4">
        <f t="shared" si="3"/>
        <v>5.4366292898402984</v>
      </c>
      <c r="M15" s="4">
        <f t="shared" si="4"/>
        <v>4.964820841603375</v>
      </c>
      <c r="N15" s="386">
        <f t="shared" si="5"/>
        <v>1</v>
      </c>
      <c r="O15" s="386">
        <f t="shared" si="44"/>
        <v>0.19433145170486935</v>
      </c>
      <c r="P15" s="4">
        <f t="shared" si="6"/>
        <v>1.0730494153225014</v>
      </c>
      <c r="Q15" s="386">
        <f t="shared" si="7"/>
        <v>5.4454468095642152</v>
      </c>
      <c r="R15" s="386">
        <f t="shared" si="8"/>
        <v>0.40407101943120344</v>
      </c>
      <c r="S15" s="386">
        <f t="shared" si="45"/>
        <v>2.3937818287469371E-2</v>
      </c>
      <c r="T15" s="386">
        <f t="shared" si="46"/>
        <v>0.42800883771867282</v>
      </c>
      <c r="U15" s="4">
        <f t="shared" si="9"/>
        <v>1.9703877057132517</v>
      </c>
      <c r="V15" s="386">
        <f t="shared" si="10"/>
        <v>0.10482554819230015</v>
      </c>
      <c r="W15" s="386">
        <f t="shared" si="47"/>
        <v>0.10482554819230015</v>
      </c>
      <c r="X15" s="386">
        <f t="shared" si="11"/>
        <v>0.3097626843951084</v>
      </c>
      <c r="Y15" s="386">
        <f t="shared" si="12"/>
        <v>3.0704934605972332E-3</v>
      </c>
      <c r="Z15" s="603">
        <f t="shared" si="48"/>
        <v>3.0704934605972332E-3</v>
      </c>
      <c r="AA15" s="386">
        <f t="shared" si="13"/>
        <v>5.4454468095642152</v>
      </c>
      <c r="AB15" s="386">
        <f t="shared" si="14"/>
        <v>0.29652890955793093</v>
      </c>
      <c r="AC15" s="386">
        <f t="shared" si="15"/>
        <v>0</v>
      </c>
      <c r="AD15">
        <f t="shared" si="16"/>
        <v>0</v>
      </c>
      <c r="AE15" s="386">
        <f t="shared" si="17"/>
        <v>0.31843559287359469</v>
      </c>
      <c r="AF15" s="386">
        <f t="shared" si="18"/>
        <v>0</v>
      </c>
      <c r="AG15" s="386">
        <f t="shared" si="19"/>
        <v>0</v>
      </c>
      <c r="AH15" s="386">
        <f t="shared" si="20"/>
        <v>0</v>
      </c>
      <c r="AI15" s="386">
        <f t="shared" si="21"/>
        <v>0</v>
      </c>
      <c r="AJ15" s="386">
        <f t="shared" si="22"/>
        <v>2.4005185578714991</v>
      </c>
      <c r="AK15" s="386">
        <f t="shared" si="23"/>
        <v>5.7624893466854621E-2</v>
      </c>
      <c r="AL15" s="386">
        <f t="shared" si="24"/>
        <v>0.28848531635419744</v>
      </c>
      <c r="AM15">
        <f t="shared" si="25"/>
        <v>0</v>
      </c>
      <c r="AN15" s="386">
        <f t="shared" si="26"/>
        <v>0.35080004697884715</v>
      </c>
      <c r="AO15" s="386">
        <f t="shared" si="27"/>
        <v>4.8877808470826132</v>
      </c>
      <c r="AP15" s="386">
        <f t="shared" si="28"/>
        <v>0.23890401609107628</v>
      </c>
      <c r="AQ15" s="386">
        <f t="shared" si="29"/>
        <v>0.26150186884131832</v>
      </c>
      <c r="AR15" s="386">
        <f t="shared" si="30"/>
        <v>0.52976870294228151</v>
      </c>
      <c r="AS15" s="386">
        <f t="shared" si="31"/>
        <v>0.29652890955793093</v>
      </c>
      <c r="AT15" s="386">
        <f t="shared" si="32"/>
        <v>0</v>
      </c>
      <c r="AU15" s="386">
        <f t="shared" si="33"/>
        <v>4.4400000000000002E-2</v>
      </c>
      <c r="AV15" s="386">
        <f t="shared" si="34"/>
        <v>8.6437340200281931E-2</v>
      </c>
      <c r="AW15" s="386">
        <f t="shared" si="35"/>
        <v>6.5920000000000006E-2</v>
      </c>
      <c r="AX15" s="386">
        <f t="shared" si="36"/>
        <v>3.6000000000000004E-2</v>
      </c>
      <c r="AY15" s="386">
        <f t="shared" si="37"/>
        <v>0.40226399999999995</v>
      </c>
      <c r="AZ15" s="386">
        <f t="shared" si="38"/>
        <v>0.30415082926829268</v>
      </c>
      <c r="BA15" s="386">
        <f t="shared" si="56"/>
        <v>0.43826399999999999</v>
      </c>
      <c r="BB15" s="386">
        <f t="shared" si="57"/>
        <v>2.3699305623665752</v>
      </c>
      <c r="BC15">
        <f t="shared" si="39"/>
        <v>48</v>
      </c>
      <c r="BD15" s="604">
        <f t="shared" si="50"/>
        <v>0.95294949713237742</v>
      </c>
      <c r="BE15" s="614">
        <f t="shared" si="40"/>
        <v>22.921602724773134</v>
      </c>
      <c r="BF15" s="614">
        <f t="shared" si="41"/>
        <v>30.726584770652327</v>
      </c>
      <c r="BG15" s="9"/>
      <c r="BH15" s="4">
        <f t="shared" si="51"/>
        <v>95.294949713237742</v>
      </c>
      <c r="BI15" s="386">
        <f t="shared" si="52"/>
        <v>0.42800883771867282</v>
      </c>
      <c r="BJ15" s="386">
        <f t="shared" si="53"/>
        <v>1.2434043427947232</v>
      </c>
      <c r="BK15" s="386">
        <f t="shared" si="54"/>
        <v>1.4652000000000002E-2</v>
      </c>
      <c r="BL15" s="386">
        <f t="shared" si="55"/>
        <v>8.6437340200281931E-2</v>
      </c>
      <c r="BP15" t="s">
        <v>140</v>
      </c>
      <c r="BQ15" s="18">
        <v>20</v>
      </c>
      <c r="BR15" s="18">
        <v>20</v>
      </c>
      <c r="BS15" s="18">
        <v>20</v>
      </c>
      <c r="BT15" s="19">
        <f>1000000*(5-Vdd)*BS15/1000000000+((1000000*BS9/1000000000*Vdd)*2.5/(2*4))</f>
        <v>0.1140625</v>
      </c>
      <c r="BU15">
        <f t="shared" si="42"/>
        <v>9.125</v>
      </c>
      <c r="BV15">
        <f t="shared" si="42"/>
        <v>11.40625</v>
      </c>
      <c r="BW15">
        <f t="shared" si="42"/>
        <v>13.6875</v>
      </c>
      <c r="BX15">
        <f t="shared" si="42"/>
        <v>15.96875</v>
      </c>
      <c r="BY15">
        <f t="shared" si="42"/>
        <v>18.25</v>
      </c>
      <c r="BZ15">
        <f t="shared" si="42"/>
        <v>20.53125</v>
      </c>
      <c r="CA15">
        <f t="shared" si="42"/>
        <v>2.28125</v>
      </c>
      <c r="CB15">
        <f t="shared" si="42"/>
        <v>3.421875</v>
      </c>
      <c r="CC15">
        <f t="shared" si="42"/>
        <v>4.5625</v>
      </c>
      <c r="CD15">
        <f t="shared" si="42"/>
        <v>5.703125</v>
      </c>
    </row>
    <row r="16" spans="1:82" x14ac:dyDescent="0.2">
      <c r="A16" s="490" t="s">
        <v>684</v>
      </c>
      <c r="B16" s="5">
        <f>Vdd</f>
        <v>7.5</v>
      </c>
      <c r="C16" s="482" t="s">
        <v>0</v>
      </c>
      <c r="D16" s="482" t="s">
        <v>683</v>
      </c>
      <c r="G16">
        <v>7</v>
      </c>
      <c r="H16" s="610">
        <f t="shared" si="0"/>
        <v>9.9450000000000003</v>
      </c>
      <c r="I16" s="4" t="str">
        <f t="shared" si="1"/>
        <v>BOOST</v>
      </c>
      <c r="J16">
        <f t="shared" si="43"/>
        <v>2</v>
      </c>
      <c r="K16">
        <f t="shared" si="2"/>
        <v>4</v>
      </c>
      <c r="L16" s="4">
        <f t="shared" si="3"/>
        <v>5.3628288922406568</v>
      </c>
      <c r="M16" s="4">
        <f t="shared" si="4"/>
        <v>4.8950251822046038</v>
      </c>
      <c r="N16" s="386">
        <f t="shared" si="5"/>
        <v>1</v>
      </c>
      <c r="O16" s="386">
        <f t="shared" si="44"/>
        <v>0.18284383611720378</v>
      </c>
      <c r="P16" s="4">
        <f t="shared" si="6"/>
        <v>1.0241084245396601</v>
      </c>
      <c r="Q16" s="386">
        <f t="shared" si="7"/>
        <v>5.3709713801340362</v>
      </c>
      <c r="R16" s="386">
        <f t="shared" si="8"/>
        <v>0.39274903210180367</v>
      </c>
      <c r="S16" s="386">
        <f t="shared" si="45"/>
        <v>2.1496797664312062E-2</v>
      </c>
      <c r="T16" s="386">
        <f t="shared" si="46"/>
        <v>0.41424582976611574</v>
      </c>
      <c r="U16" s="4">
        <f t="shared" si="9"/>
        <v>1.897276203659567</v>
      </c>
      <c r="V16" s="386">
        <f t="shared" si="10"/>
        <v>9.7190738810267185E-2</v>
      </c>
      <c r="W16" s="386">
        <f t="shared" si="47"/>
        <v>9.7190738810267185E-2</v>
      </c>
      <c r="X16" s="386">
        <f t="shared" si="11"/>
        <v>0.29563463729366818</v>
      </c>
      <c r="Y16" s="386">
        <f t="shared" si="12"/>
        <v>2.7967948405682795E-3</v>
      </c>
      <c r="Z16" s="603">
        <f t="shared" si="48"/>
        <v>2.7967948405682795E-3</v>
      </c>
      <c r="AA16" s="386">
        <f t="shared" si="13"/>
        <v>5.3709713801340362</v>
      </c>
      <c r="AB16" s="386">
        <f t="shared" si="14"/>
        <v>0.28847333566218913</v>
      </c>
      <c r="AC16" s="386">
        <f t="shared" si="15"/>
        <v>0</v>
      </c>
      <c r="AD16">
        <f t="shared" si="16"/>
        <v>0</v>
      </c>
      <c r="AE16" s="386">
        <f t="shared" si="17"/>
        <v>0.30916441581111254</v>
      </c>
      <c r="AF16" s="386">
        <f t="shared" si="18"/>
        <v>0</v>
      </c>
      <c r="AG16" s="386">
        <f t="shared" si="19"/>
        <v>0</v>
      </c>
      <c r="AH16" s="386">
        <f t="shared" si="20"/>
        <v>0</v>
      </c>
      <c r="AI16" s="386">
        <f t="shared" si="21"/>
        <v>0</v>
      </c>
      <c r="AJ16" s="386">
        <f t="shared" si="22"/>
        <v>2.2966404008899701</v>
      </c>
      <c r="AK16" s="386">
        <f t="shared" si="23"/>
        <v>5.2745571310000426E-2</v>
      </c>
      <c r="AL16" s="386">
        <f t="shared" si="24"/>
        <v>0.2845692260869459</v>
      </c>
      <c r="AM16">
        <f t="shared" si="25"/>
        <v>0</v>
      </c>
      <c r="AN16" s="386">
        <f t="shared" si="26"/>
        <v>0.34149364576408459</v>
      </c>
      <c r="AO16" s="386">
        <f t="shared" si="27"/>
        <v>4.8551803710283377</v>
      </c>
      <c r="AP16" s="386">
        <f t="shared" si="28"/>
        <v>0.23572776435218867</v>
      </c>
      <c r="AQ16" s="386">
        <f t="shared" si="29"/>
        <v>0.25795206971677559</v>
      </c>
      <c r="AR16" s="386">
        <f t="shared" si="30"/>
        <v>0.52224056549104059</v>
      </c>
      <c r="AS16" s="386">
        <f t="shared" si="31"/>
        <v>0.28847333566218913</v>
      </c>
      <c r="AT16" s="386">
        <f t="shared" si="32"/>
        <v>0</v>
      </c>
      <c r="AU16" s="386">
        <f t="shared" si="33"/>
        <v>4.4400000000000002E-2</v>
      </c>
      <c r="AV16" s="386">
        <f t="shared" si="34"/>
        <v>7.9118356965000636E-2</v>
      </c>
      <c r="AW16" s="386">
        <f t="shared" si="35"/>
        <v>6.5920000000000006E-2</v>
      </c>
      <c r="AX16" s="386">
        <f t="shared" si="36"/>
        <v>3.6000000000000004E-2</v>
      </c>
      <c r="AY16" s="386">
        <f t="shared" si="37"/>
        <v>0.40226399999999995</v>
      </c>
      <c r="AZ16" s="386">
        <f t="shared" si="38"/>
        <v>0.30415082926829268</v>
      </c>
      <c r="BA16" s="386">
        <f t="shared" si="56"/>
        <v>0.43826399999999999</v>
      </c>
      <c r="BB16" s="386">
        <f t="shared" si="57"/>
        <v>2.3148343474481892</v>
      </c>
      <c r="BC16">
        <f t="shared" si="39"/>
        <v>48</v>
      </c>
      <c r="BD16" s="604">
        <f t="shared" si="50"/>
        <v>0.95399300469791581</v>
      </c>
      <c r="BE16" s="614">
        <f t="shared" si="40"/>
        <v>22.381831454316906</v>
      </c>
      <c r="BF16" s="614">
        <f t="shared" si="41"/>
        <v>30.289952798480353</v>
      </c>
      <c r="BG16" s="9"/>
      <c r="BH16" s="4">
        <f t="shared" si="51"/>
        <v>95.399300469791584</v>
      </c>
      <c r="BI16" s="386">
        <f t="shared" si="52"/>
        <v>0.41424582976611574</v>
      </c>
      <c r="BJ16" s="386">
        <f t="shared" si="53"/>
        <v>1.2172986270662376</v>
      </c>
      <c r="BK16" s="386">
        <f t="shared" si="54"/>
        <v>1.4652000000000002E-2</v>
      </c>
      <c r="BL16" s="386">
        <f t="shared" si="55"/>
        <v>7.9118356965000636E-2</v>
      </c>
      <c r="BP16" t="s">
        <v>141</v>
      </c>
      <c r="BQ16" s="18">
        <v>25</v>
      </c>
      <c r="BR16" s="18">
        <v>25</v>
      </c>
      <c r="BS16" s="18">
        <v>25</v>
      </c>
      <c r="BT16" s="19">
        <f>1000000*(12-Vdd)*BS16/1000000000+((1000000*BS9/1000000000*Vdd)*2.5/(2*4))</f>
        <v>0.27656249999999999</v>
      </c>
      <c r="BU16">
        <f t="shared" si="42"/>
        <v>22.125</v>
      </c>
      <c r="BV16">
        <f t="shared" si="42"/>
        <v>27.65625</v>
      </c>
      <c r="BW16">
        <f t="shared" si="42"/>
        <v>33.1875</v>
      </c>
      <c r="BX16">
        <f t="shared" si="42"/>
        <v>38.71875</v>
      </c>
      <c r="BY16">
        <f t="shared" si="42"/>
        <v>44.25</v>
      </c>
      <c r="BZ16">
        <f t="shared" si="42"/>
        <v>49.78125</v>
      </c>
      <c r="CA16">
        <f t="shared" si="42"/>
        <v>5.53125</v>
      </c>
      <c r="CB16">
        <f t="shared" si="42"/>
        <v>8.296875</v>
      </c>
      <c r="CC16">
        <f t="shared" si="42"/>
        <v>11.0625</v>
      </c>
      <c r="CD16">
        <f t="shared" si="42"/>
        <v>13.828125</v>
      </c>
    </row>
    <row r="17" spans="1:82" x14ac:dyDescent="0.2">
      <c r="A17" s="24" t="s">
        <v>62</v>
      </c>
      <c r="B17" s="16" t="s">
        <v>115</v>
      </c>
      <c r="C17" s="24" t="s">
        <v>80</v>
      </c>
      <c r="D17" s="17" t="s">
        <v>111</v>
      </c>
      <c r="G17">
        <v>8</v>
      </c>
      <c r="H17" s="610">
        <f t="shared" si="0"/>
        <v>10.08</v>
      </c>
      <c r="I17" s="4" t="str">
        <f t="shared" si="1"/>
        <v>BOOST</v>
      </c>
      <c r="J17">
        <f t="shared" si="43"/>
        <v>2</v>
      </c>
      <c r="K17">
        <f t="shared" si="2"/>
        <v>4</v>
      </c>
      <c r="L17" s="4">
        <f t="shared" si="3"/>
        <v>5.2910052910052903</v>
      </c>
      <c r="M17" s="4">
        <f t="shared" si="4"/>
        <v>4.8272020225826502</v>
      </c>
      <c r="N17" s="386">
        <f t="shared" si="5"/>
        <v>1</v>
      </c>
      <c r="O17" s="386">
        <f t="shared" si="44"/>
        <v>0.17136262760763432</v>
      </c>
      <c r="P17" s="4">
        <f t="shared" si="6"/>
        <v>0.9733755540745751</v>
      </c>
      <c r="Q17" s="386">
        <f t="shared" si="7"/>
        <v>5.298461284834036</v>
      </c>
      <c r="R17" s="386">
        <f t="shared" si="8"/>
        <v>0.38189430352635867</v>
      </c>
      <c r="S17" s="386">
        <f t="shared" si="45"/>
        <v>1.9122067543905802E-2</v>
      </c>
      <c r="T17" s="386">
        <f t="shared" si="46"/>
        <v>0.40101637107026444</v>
      </c>
      <c r="U17" s="4">
        <f t="shared" si="9"/>
        <v>1.8234955507826915</v>
      </c>
      <c r="V17" s="386">
        <f t="shared" si="10"/>
        <v>8.9778672640555335E-2</v>
      </c>
      <c r="W17" s="386">
        <f t="shared" si="47"/>
        <v>8.9778672640555335E-2</v>
      </c>
      <c r="X17" s="386">
        <f t="shared" si="11"/>
        <v>0.28098931908377855</v>
      </c>
      <c r="Y17" s="386">
        <f t="shared" si="12"/>
        <v>2.5265599180532968E-3</v>
      </c>
      <c r="Z17" s="603">
        <f t="shared" si="48"/>
        <v>2.5265599180532968E-3</v>
      </c>
      <c r="AA17" s="386">
        <f t="shared" si="13"/>
        <v>5.298461284834036</v>
      </c>
      <c r="AB17" s="386">
        <f t="shared" si="14"/>
        <v>0.28073691986885146</v>
      </c>
      <c r="AC17" s="386">
        <f t="shared" si="15"/>
        <v>0</v>
      </c>
      <c r="AD17">
        <f t="shared" si="16"/>
        <v>0</v>
      </c>
      <c r="AE17" s="386">
        <f t="shared" si="17"/>
        <v>0.3002954526051283</v>
      </c>
      <c r="AF17" s="386">
        <f t="shared" si="18"/>
        <v>0</v>
      </c>
      <c r="AG17" s="386">
        <f t="shared" si="19"/>
        <v>0</v>
      </c>
      <c r="AH17" s="386">
        <f t="shared" si="20"/>
        <v>0</v>
      </c>
      <c r="AI17" s="386">
        <f t="shared" si="21"/>
        <v>0</v>
      </c>
      <c r="AJ17" s="386">
        <f t="shared" si="22"/>
        <v>2.1933494079877072</v>
      </c>
      <c r="AK17" s="386">
        <f t="shared" si="23"/>
        <v>4.8107816255200254E-2</v>
      </c>
      <c r="AL17" s="386">
        <f t="shared" si="24"/>
        <v>0.28075803109471004</v>
      </c>
      <c r="AM17">
        <f t="shared" si="25"/>
        <v>0</v>
      </c>
      <c r="AN17" s="386">
        <f t="shared" si="26"/>
        <v>0.3325777520879295</v>
      </c>
      <c r="AO17" s="386">
        <f t="shared" si="27"/>
        <v>4.8231639368121337</v>
      </c>
      <c r="AP17" s="386">
        <f t="shared" si="28"/>
        <v>0.23262910361365119</v>
      </c>
      <c r="AQ17" s="386">
        <f t="shared" si="29"/>
        <v>0.25449735449735444</v>
      </c>
      <c r="AR17" s="386">
        <f t="shared" si="30"/>
        <v>0.51491647560306819</v>
      </c>
      <c r="AS17" s="386">
        <f t="shared" si="31"/>
        <v>0.28073691986885146</v>
      </c>
      <c r="AT17" s="386">
        <f t="shared" si="32"/>
        <v>0</v>
      </c>
      <c r="AU17" s="386">
        <f t="shared" si="33"/>
        <v>4.4400000000000002E-2</v>
      </c>
      <c r="AV17" s="386">
        <f t="shared" si="34"/>
        <v>7.2161724382800385E-2</v>
      </c>
      <c r="AW17" s="386">
        <f t="shared" si="35"/>
        <v>6.5920000000000006E-2</v>
      </c>
      <c r="AX17" s="386">
        <f t="shared" si="36"/>
        <v>3.6000000000000004E-2</v>
      </c>
      <c r="AY17" s="386">
        <f t="shared" si="37"/>
        <v>0.40226399999999995</v>
      </c>
      <c r="AZ17" s="386">
        <f t="shared" si="38"/>
        <v>0.30415082926829268</v>
      </c>
      <c r="BA17" s="386">
        <f t="shared" si="56"/>
        <v>0.43826399999999999</v>
      </c>
      <c r="BB17" s="386">
        <f t="shared" si="57"/>
        <v>2.2618570083077998</v>
      </c>
      <c r="BC17">
        <f t="shared" si="39"/>
        <v>48</v>
      </c>
      <c r="BD17" s="604">
        <f t="shared" si="50"/>
        <v>0.95499853879386243</v>
      </c>
      <c r="BE17" s="614">
        <f t="shared" si="40"/>
        <v>21.864709621099912</v>
      </c>
      <c r="BF17" s="614">
        <f t="shared" si="41"/>
        <v>29.865155584977956</v>
      </c>
      <c r="BG17" s="9"/>
      <c r="BH17" s="4">
        <f t="shared" si="51"/>
        <v>95.499853879386237</v>
      </c>
      <c r="BI17" s="386">
        <f t="shared" si="52"/>
        <v>0.40101637107026444</v>
      </c>
      <c r="BJ17" s="386">
        <f t="shared" si="53"/>
        <v>1.192189680296126</v>
      </c>
      <c r="BK17" s="386">
        <f t="shared" si="54"/>
        <v>1.4652000000000002E-2</v>
      </c>
      <c r="BL17" s="386">
        <f t="shared" si="55"/>
        <v>7.2161724382800385E-2</v>
      </c>
      <c r="BP17" t="s">
        <v>144</v>
      </c>
      <c r="BQ17" s="18">
        <v>50</v>
      </c>
      <c r="BR17" s="18">
        <v>50</v>
      </c>
      <c r="BS17" s="18">
        <v>50</v>
      </c>
      <c r="BT17" s="19">
        <f>500000*(18-Vdd)*BS17/1000000000+((500000*BS15/1000000000*Vdd)*2.5/(2*4))</f>
        <v>0.28593750000000001</v>
      </c>
      <c r="BU17">
        <f t="shared" si="42"/>
        <v>22.875</v>
      </c>
      <c r="BV17">
        <f t="shared" si="42"/>
        <v>28.59375</v>
      </c>
      <c r="BW17">
        <f t="shared" si="42"/>
        <v>34.3125</v>
      </c>
      <c r="BX17">
        <f t="shared" si="42"/>
        <v>40.03125</v>
      </c>
      <c r="BY17">
        <f t="shared" si="42"/>
        <v>45.75</v>
      </c>
      <c r="BZ17">
        <f t="shared" si="42"/>
        <v>51.46875</v>
      </c>
      <c r="CA17">
        <f t="shared" si="42"/>
        <v>5.71875</v>
      </c>
      <c r="CB17">
        <f t="shared" si="42"/>
        <v>8.578125</v>
      </c>
      <c r="CC17">
        <f t="shared" si="42"/>
        <v>11.4375</v>
      </c>
      <c r="CD17">
        <f t="shared" si="42"/>
        <v>14.296875</v>
      </c>
    </row>
    <row r="18" spans="1:82" x14ac:dyDescent="0.2">
      <c r="A18" s="35" t="s">
        <v>60</v>
      </c>
      <c r="B18" s="38">
        <f>Lf*1000000</f>
        <v>4.7</v>
      </c>
      <c r="C18" s="483" t="s">
        <v>11</v>
      </c>
      <c r="D18" s="482" t="s">
        <v>676</v>
      </c>
      <c r="G18">
        <v>9</v>
      </c>
      <c r="H18" s="610">
        <f t="shared" si="0"/>
        <v>10.215</v>
      </c>
      <c r="I18" s="4" t="str">
        <f t="shared" si="1"/>
        <v>BOOST</v>
      </c>
      <c r="J18">
        <f t="shared" si="43"/>
        <v>2</v>
      </c>
      <c r="K18">
        <f t="shared" si="2"/>
        <v>4</v>
      </c>
      <c r="L18" s="4">
        <f t="shared" si="3"/>
        <v>5.2210801109479519</v>
      </c>
      <c r="M18" s="4">
        <f t="shared" si="4"/>
        <v>4.7612674916574127</v>
      </c>
      <c r="N18" s="386">
        <f t="shared" si="5"/>
        <v>1</v>
      </c>
      <c r="O18" s="386">
        <f t="shared" si="44"/>
        <v>0.15988757048229041</v>
      </c>
      <c r="P18" s="4">
        <f t="shared" si="6"/>
        <v>0.92085262471127127</v>
      </c>
      <c r="Q18" s="386">
        <f t="shared" si="7"/>
        <v>5.2278429255898091</v>
      </c>
      <c r="R18" s="386">
        <f t="shared" si="8"/>
        <v>0.37148178653789188</v>
      </c>
      <c r="S18" s="386">
        <f t="shared" si="45"/>
        <v>1.6827933459695452E-2</v>
      </c>
      <c r="T18" s="386">
        <f t="shared" si="46"/>
        <v>0.38830971999758734</v>
      </c>
      <c r="U18" s="4">
        <f t="shared" si="9"/>
        <v>1.7488620708397691</v>
      </c>
      <c r="V18" s="386">
        <f t="shared" si="10"/>
        <v>8.2580000656193073E-2</v>
      </c>
      <c r="W18" s="386">
        <f t="shared" si="47"/>
        <v>8.2580000656193073E-2</v>
      </c>
      <c r="X18" s="386">
        <f t="shared" si="11"/>
        <v>0.26582725538051294</v>
      </c>
      <c r="Y18" s="386">
        <f t="shared" si="12"/>
        <v>2.2612521505003661E-3</v>
      </c>
      <c r="Z18" s="603">
        <f t="shared" si="48"/>
        <v>2.2612521505003661E-3</v>
      </c>
      <c r="AA18" s="386">
        <f t="shared" si="13"/>
        <v>5.2278429255898091</v>
      </c>
      <c r="AB18" s="386">
        <f t="shared" si="14"/>
        <v>0.27330341654639417</v>
      </c>
      <c r="AC18" s="386">
        <f t="shared" si="15"/>
        <v>0</v>
      </c>
      <c r="AD18">
        <f t="shared" si="16"/>
        <v>0</v>
      </c>
      <c r="AE18" s="386">
        <f t="shared" si="17"/>
        <v>0.29180576762252369</v>
      </c>
      <c r="AF18" s="386">
        <f t="shared" si="18"/>
        <v>0</v>
      </c>
      <c r="AG18" s="386">
        <f t="shared" si="19"/>
        <v>0</v>
      </c>
      <c r="AH18" s="386">
        <f t="shared" si="20"/>
        <v>0</v>
      </c>
      <c r="AI18" s="386">
        <f t="shared" si="21"/>
        <v>0</v>
      </c>
      <c r="AJ18" s="386">
        <f t="shared" si="22"/>
        <v>2.090402336300655</v>
      </c>
      <c r="AK18" s="386">
        <f t="shared" si="23"/>
        <v>4.3697819276112368E-2</v>
      </c>
      <c r="AL18" s="386">
        <f t="shared" si="24"/>
        <v>0.27704757253398699</v>
      </c>
      <c r="AM18">
        <f t="shared" si="25"/>
        <v>0</v>
      </c>
      <c r="AN18" s="386">
        <f t="shared" si="26"/>
        <v>0.3240303774528453</v>
      </c>
      <c r="AO18" s="386">
        <f t="shared" si="27"/>
        <v>4.7917178263153373</v>
      </c>
      <c r="AP18" s="386">
        <f t="shared" si="28"/>
        <v>0.22960559727028179</v>
      </c>
      <c r="AQ18" s="386">
        <f t="shared" si="29"/>
        <v>0.25113395333659649</v>
      </c>
      <c r="AR18" s="386">
        <f t="shared" si="30"/>
        <v>0.50778869180867803</v>
      </c>
      <c r="AS18" s="386">
        <f t="shared" si="31"/>
        <v>0.27330341654639417</v>
      </c>
      <c r="AT18" s="386">
        <f t="shared" si="32"/>
        <v>0</v>
      </c>
      <c r="AU18" s="386">
        <f t="shared" si="33"/>
        <v>4.4400000000000002E-2</v>
      </c>
      <c r="AV18" s="386">
        <f t="shared" si="34"/>
        <v>6.5546728914168545E-2</v>
      </c>
      <c r="AW18" s="386">
        <f t="shared" si="35"/>
        <v>6.5920000000000006E-2</v>
      </c>
      <c r="AX18" s="386">
        <f t="shared" si="36"/>
        <v>3.6000000000000004E-2</v>
      </c>
      <c r="AY18" s="386">
        <f t="shared" si="37"/>
        <v>0.40226399999999995</v>
      </c>
      <c r="AZ18" s="386">
        <f t="shared" si="38"/>
        <v>0.30415082926829268</v>
      </c>
      <c r="BA18" s="386">
        <f t="shared" si="56"/>
        <v>0.43826399999999999</v>
      </c>
      <c r="BB18" s="386">
        <f t="shared" si="57"/>
        <v>2.2109065386024964</v>
      </c>
      <c r="BC18">
        <f t="shared" si="39"/>
        <v>48</v>
      </c>
      <c r="BD18" s="604">
        <f t="shared" si="50"/>
        <v>0.95596760363402855</v>
      </c>
      <c r="BE18" s="614">
        <f t="shared" si="40"/>
        <v>21.368961892265027</v>
      </c>
      <c r="BF18" s="614">
        <f t="shared" si="41"/>
        <v>29.451744124903325</v>
      </c>
      <c r="BG18" s="9"/>
      <c r="BH18" s="4">
        <f t="shared" si="51"/>
        <v>95.596760363402851</v>
      </c>
      <c r="BI18" s="386">
        <f t="shared" si="52"/>
        <v>0.38830971999758734</v>
      </c>
      <c r="BJ18" s="386">
        <f t="shared" si="53"/>
        <v>1.1680248368840469</v>
      </c>
      <c r="BK18" s="386">
        <f t="shared" si="54"/>
        <v>1.4652000000000002E-2</v>
      </c>
      <c r="BL18" s="386">
        <f t="shared" si="55"/>
        <v>6.5546728914168545E-2</v>
      </c>
      <c r="BP18" t="s">
        <v>145</v>
      </c>
      <c r="BR18" s="18"/>
      <c r="BS18" s="19"/>
    </row>
    <row r="19" spans="1:82" x14ac:dyDescent="0.2">
      <c r="A19" s="35" t="s">
        <v>12</v>
      </c>
      <c r="B19" s="39">
        <f>Rdcr*1000</f>
        <v>13.2</v>
      </c>
      <c r="C19" s="484" t="s">
        <v>674</v>
      </c>
      <c r="D19" s="482" t="s">
        <v>677</v>
      </c>
      <c r="G19">
        <v>10</v>
      </c>
      <c r="H19" s="610">
        <f t="shared" si="0"/>
        <v>10.35</v>
      </c>
      <c r="I19" s="4" t="str">
        <f t="shared" si="1"/>
        <v>BOOST</v>
      </c>
      <c r="J19">
        <f t="shared" si="43"/>
        <v>2</v>
      </c>
      <c r="K19">
        <f t="shared" si="2"/>
        <v>4</v>
      </c>
      <c r="L19" s="4">
        <f t="shared" si="3"/>
        <v>5.152979066022545</v>
      </c>
      <c r="M19" s="4">
        <f t="shared" si="4"/>
        <v>4.6971424764992209</v>
      </c>
      <c r="N19" s="386">
        <f t="shared" si="5"/>
        <v>1</v>
      </c>
      <c r="O19" s="386">
        <f t="shared" si="44"/>
        <v>0.14841842247433829</v>
      </c>
      <c r="P19" s="4">
        <f t="shared" si="6"/>
        <v>0.8665413607198087</v>
      </c>
      <c r="Q19" s="386">
        <f t="shared" si="7"/>
        <v>5.1590471745293973</v>
      </c>
      <c r="R19" s="386">
        <f t="shared" si="8"/>
        <v>0.36148821263191971</v>
      </c>
      <c r="S19" s="386">
        <f t="shared" si="45"/>
        <v>1.4628616867111047E-2</v>
      </c>
      <c r="T19" s="386">
        <f t="shared" si="46"/>
        <v>0.37611682949903075</v>
      </c>
      <c r="U19" s="4">
        <f t="shared" si="9"/>
        <v>1.6731633932320513</v>
      </c>
      <c r="V19" s="386">
        <f t="shared" si="10"/>
        <v>7.5585844992198378E-2</v>
      </c>
      <c r="W19" s="386">
        <f t="shared" si="47"/>
        <v>7.5585844992198378E-2</v>
      </c>
      <c r="X19" s="386">
        <f t="shared" si="11"/>
        <v>0.2501489439377631</v>
      </c>
      <c r="Y19" s="386">
        <f t="shared" si="12"/>
        <v>2.0023838129017008E-3</v>
      </c>
      <c r="Z19" s="603">
        <f t="shared" si="48"/>
        <v>2.0023838129017008E-3</v>
      </c>
      <c r="AA19" s="386">
        <f t="shared" si="13"/>
        <v>5.1590471745293973</v>
      </c>
      <c r="AB19" s="386">
        <f t="shared" si="14"/>
        <v>0.26615767749019759</v>
      </c>
      <c r="AC19" s="386">
        <f t="shared" si="15"/>
        <v>0</v>
      </c>
      <c r="AD19">
        <f t="shared" si="16"/>
        <v>0</v>
      </c>
      <c r="AE19" s="386">
        <f t="shared" si="17"/>
        <v>0.28367415401757451</v>
      </c>
      <c r="AF19" s="386">
        <f t="shared" si="18"/>
        <v>0</v>
      </c>
      <c r="AG19" s="386">
        <f t="shared" si="19"/>
        <v>0</v>
      </c>
      <c r="AH19" s="386">
        <f t="shared" si="20"/>
        <v>0</v>
      </c>
      <c r="AI19" s="386">
        <f t="shared" si="21"/>
        <v>0</v>
      </c>
      <c r="AJ19" s="386">
        <f t="shared" si="22"/>
        <v>1.9875286821208096</v>
      </c>
      <c r="AK19" s="386">
        <f t="shared" si="23"/>
        <v>3.9502702622528821E-2</v>
      </c>
      <c r="AL19" s="386">
        <f t="shared" si="24"/>
        <v>0.2734339085444133</v>
      </c>
      <c r="AM19">
        <f t="shared" si="25"/>
        <v>0</v>
      </c>
      <c r="AN19" s="386">
        <f t="shared" si="26"/>
        <v>0.31583108526102599</v>
      </c>
      <c r="AO19" s="386">
        <f t="shared" si="27"/>
        <v>4.7608294956621666</v>
      </c>
      <c r="AP19" s="386">
        <f t="shared" si="28"/>
        <v>0.22665497486766881</v>
      </c>
      <c r="AQ19" s="386">
        <f t="shared" si="29"/>
        <v>0.24785829307568441</v>
      </c>
      <c r="AR19" s="386">
        <f t="shared" si="30"/>
        <v>0.50084993813599266</v>
      </c>
      <c r="AS19" s="386">
        <f t="shared" si="31"/>
        <v>0.26615767749019759</v>
      </c>
      <c r="AT19" s="386">
        <f t="shared" si="32"/>
        <v>0</v>
      </c>
      <c r="AU19" s="386">
        <f t="shared" si="33"/>
        <v>4.4400000000000002E-2</v>
      </c>
      <c r="AV19" s="386">
        <f t="shared" si="34"/>
        <v>5.9254053933793231E-2</v>
      </c>
      <c r="AW19" s="386">
        <f t="shared" si="35"/>
        <v>6.5920000000000006E-2</v>
      </c>
      <c r="AX19" s="386">
        <f t="shared" si="36"/>
        <v>3.6000000000000004E-2</v>
      </c>
      <c r="AY19" s="386">
        <f t="shared" si="37"/>
        <v>0.40226399999999995</v>
      </c>
      <c r="AZ19" s="386">
        <f t="shared" si="38"/>
        <v>0.30415082926829268</v>
      </c>
      <c r="BA19" s="386">
        <f t="shared" si="56"/>
        <v>0.43826399999999999</v>
      </c>
      <c r="BB19" s="386">
        <f t="shared" si="57"/>
        <v>2.1618982896525174</v>
      </c>
      <c r="BC19">
        <f t="shared" si="39"/>
        <v>48</v>
      </c>
      <c r="BD19" s="604">
        <f t="shared" si="50"/>
        <v>0.95690158539916181</v>
      </c>
      <c r="BE19" s="614">
        <f t="shared" si="40"/>
        <v>20.893402945139506</v>
      </c>
      <c r="BF19" s="614">
        <f t="shared" si="41"/>
        <v>29.049296411887575</v>
      </c>
      <c r="BG19" s="9"/>
      <c r="BH19" s="4">
        <f t="shared" si="51"/>
        <v>95.690158539916183</v>
      </c>
      <c r="BI19" s="386">
        <f t="shared" si="52"/>
        <v>0.37611682949903075</v>
      </c>
      <c r="BJ19" s="386">
        <f t="shared" si="53"/>
        <v>1.1447551774145932</v>
      </c>
      <c r="BK19" s="386">
        <f t="shared" si="54"/>
        <v>1.4652000000000002E-2</v>
      </c>
      <c r="BL19" s="386">
        <f t="shared" si="55"/>
        <v>5.9254053933793231E-2</v>
      </c>
      <c r="BP19" t="s">
        <v>146</v>
      </c>
      <c r="BR19" s="18"/>
      <c r="BS19" s="19"/>
    </row>
    <row r="20" spans="1:82" x14ac:dyDescent="0.2">
      <c r="A20" s="35" t="s">
        <v>86</v>
      </c>
      <c r="B20" s="39">
        <f>Ltc*1000000</f>
        <v>4000</v>
      </c>
      <c r="C20" s="483" t="s">
        <v>85</v>
      </c>
      <c r="D20" s="21" t="s">
        <v>101</v>
      </c>
      <c r="G20">
        <v>11</v>
      </c>
      <c r="H20" s="610">
        <f t="shared" si="0"/>
        <v>10.484999999999999</v>
      </c>
      <c r="I20" s="4" t="str">
        <f t="shared" si="1"/>
        <v>BOOST</v>
      </c>
      <c r="J20">
        <f t="shared" si="43"/>
        <v>2</v>
      </c>
      <c r="K20">
        <f t="shared" si="2"/>
        <v>4</v>
      </c>
      <c r="L20" s="4">
        <f t="shared" si="3"/>
        <v>5.0866316960737556</v>
      </c>
      <c r="M20" s="4">
        <f t="shared" si="4"/>
        <v>4.63475228547484</v>
      </c>
      <c r="N20" s="386">
        <f t="shared" si="5"/>
        <v>1</v>
      </c>
      <c r="O20" s="386">
        <f t="shared" si="44"/>
        <v>0.13695495387404683</v>
      </c>
      <c r="P20" s="4">
        <f t="shared" si="6"/>
        <v>0.81044339616661132</v>
      </c>
      <c r="Q20" s="386">
        <f t="shared" si="7"/>
        <v>5.0920091208056579</v>
      </c>
      <c r="R20" s="386">
        <f t="shared" si="8"/>
        <v>0.3518919481167555</v>
      </c>
      <c r="S20" s="386">
        <f t="shared" si="45"/>
        <v>1.2538159738363983E-2</v>
      </c>
      <c r="T20" s="386">
        <f t="shared" si="46"/>
        <v>0.36443010785511948</v>
      </c>
      <c r="U20" s="4">
        <f t="shared" si="9"/>
        <v>1.5961500285463228</v>
      </c>
      <c r="V20" s="386">
        <f t="shared" si="10"/>
        <v>6.8787762667967531E-2</v>
      </c>
      <c r="W20" s="386">
        <f t="shared" si="47"/>
        <v>6.8787762667967531E-2</v>
      </c>
      <c r="X20" s="386">
        <f t="shared" si="11"/>
        <v>0.2339548564698738</v>
      </c>
      <c r="Y20" s="386">
        <f t="shared" si="12"/>
        <v>1.7515159957068561E-3</v>
      </c>
      <c r="Z20" s="603">
        <f t="shared" si="48"/>
        <v>1.7515159957068561E-3</v>
      </c>
      <c r="AA20" s="386">
        <f t="shared" si="13"/>
        <v>5.0920091208056579</v>
      </c>
      <c r="AB20" s="386">
        <f t="shared" si="14"/>
        <v>0.25928556886368009</v>
      </c>
      <c r="AC20" s="386">
        <f t="shared" si="15"/>
        <v>0</v>
      </c>
      <c r="AD20">
        <f t="shared" si="16"/>
        <v>0</v>
      </c>
      <c r="AE20" s="386">
        <f t="shared" si="17"/>
        <v>0.27588098303250724</v>
      </c>
      <c r="AF20" s="386">
        <f t="shared" si="18"/>
        <v>0</v>
      </c>
      <c r="AG20" s="386">
        <f t="shared" si="19"/>
        <v>0</v>
      </c>
      <c r="AH20" s="386">
        <f t="shared" si="20"/>
        <v>0</v>
      </c>
      <c r="AI20" s="386">
        <f t="shared" si="21"/>
        <v>0</v>
      </c>
      <c r="AJ20" s="386">
        <f t="shared" si="22"/>
        <v>1.8844214794979202</v>
      </c>
      <c r="AK20" s="386">
        <f t="shared" si="23"/>
        <v>3.5510443123931305E-2</v>
      </c>
      <c r="AL20" s="386">
        <f t="shared" si="24"/>
        <v>0.26991330027989291</v>
      </c>
      <c r="AM20">
        <f t="shared" si="25"/>
        <v>0</v>
      </c>
      <c r="AN20" s="386">
        <f t="shared" si="26"/>
        <v>0.3079608551357455</v>
      </c>
      <c r="AO20" s="386">
        <f t="shared" si="27"/>
        <v>4.7304875619723257</v>
      </c>
      <c r="AP20" s="386">
        <f t="shared" si="28"/>
        <v>0.22377512573974881</v>
      </c>
      <c r="AQ20" s="386">
        <f t="shared" si="29"/>
        <v>0.24466698458114763</v>
      </c>
      <c r="AR20" s="386">
        <f t="shared" si="30"/>
        <v>0.49409337771307821</v>
      </c>
      <c r="AS20" s="386">
        <f t="shared" si="31"/>
        <v>0.25928556886368009</v>
      </c>
      <c r="AT20" s="386">
        <f t="shared" si="32"/>
        <v>0</v>
      </c>
      <c r="AU20" s="386">
        <f t="shared" si="33"/>
        <v>4.4400000000000002E-2</v>
      </c>
      <c r="AV20" s="386">
        <f t="shared" si="34"/>
        <v>5.3265664685896948E-2</v>
      </c>
      <c r="AW20" s="386">
        <f t="shared" si="35"/>
        <v>6.5920000000000006E-2</v>
      </c>
      <c r="AX20" s="386">
        <f t="shared" si="36"/>
        <v>3.6000000000000004E-2</v>
      </c>
      <c r="AY20" s="386">
        <f t="shared" si="37"/>
        <v>0.40226399999999995</v>
      </c>
      <c r="AZ20" s="386">
        <f t="shared" si="38"/>
        <v>0.30415082926829268</v>
      </c>
      <c r="BA20" s="386">
        <f t="shared" si="56"/>
        <v>0.43826399999999999</v>
      </c>
      <c r="BB20" s="386">
        <f t="shared" si="57"/>
        <v>2.1147542670860222</v>
      </c>
      <c r="BC20">
        <f t="shared" si="39"/>
        <v>48</v>
      </c>
      <c r="BD20" s="604">
        <f t="shared" si="50"/>
        <v>0.95780176321297594</v>
      </c>
      <c r="BE20" s="614">
        <f t="shared" si="40"/>
        <v>20.436929597873238</v>
      </c>
      <c r="BF20" s="614">
        <f t="shared" si="41"/>
        <v>28.657415907358537</v>
      </c>
      <c r="BG20" s="9"/>
      <c r="BH20" s="4">
        <f t="shared" si="51"/>
        <v>95.780176321297589</v>
      </c>
      <c r="BI20" s="386">
        <f t="shared" si="52"/>
        <v>0.36443010785511948</v>
      </c>
      <c r="BJ20" s="386">
        <f t="shared" si="53"/>
        <v>1.1223352158813309</v>
      </c>
      <c r="BK20" s="386">
        <f t="shared" si="54"/>
        <v>1.4652000000000002E-2</v>
      </c>
      <c r="BL20" s="386">
        <f t="shared" si="55"/>
        <v>5.3265664685896948E-2</v>
      </c>
      <c r="BR20" s="18"/>
      <c r="BS20" s="19"/>
    </row>
    <row r="21" spans="1:82" x14ac:dyDescent="0.2">
      <c r="A21" s="25" t="s">
        <v>159</v>
      </c>
      <c r="B21" s="39">
        <f>ThetaCa</f>
        <v>20</v>
      </c>
      <c r="C21" s="483" t="s">
        <v>241</v>
      </c>
      <c r="D21" s="26" t="s">
        <v>160</v>
      </c>
      <c r="G21">
        <v>12</v>
      </c>
      <c r="H21" s="610">
        <f t="shared" si="0"/>
        <v>10.62</v>
      </c>
      <c r="I21" s="4" t="str">
        <f t="shared" si="1"/>
        <v>BOOST</v>
      </c>
      <c r="J21">
        <f t="shared" si="43"/>
        <v>2</v>
      </c>
      <c r="K21">
        <f t="shared" si="2"/>
        <v>4</v>
      </c>
      <c r="L21" s="4">
        <f t="shared" si="3"/>
        <v>5.0219711236660389</v>
      </c>
      <c r="M21" s="4">
        <f t="shared" si="4"/>
        <v>4.5740263399000494</v>
      </c>
      <c r="N21" s="386">
        <f t="shared" si="5"/>
        <v>1</v>
      </c>
      <c r="O21" s="386">
        <f t="shared" si="44"/>
        <v>0.12549694672562658</v>
      </c>
      <c r="P21" s="4">
        <f t="shared" si="6"/>
        <v>0.75256028073616799</v>
      </c>
      <c r="Q21" s="386">
        <f t="shared" si="7"/>
        <v>5.0266678374725222</v>
      </c>
      <c r="R21" s="386">
        <f t="shared" si="8"/>
        <v>0.34267286390669799</v>
      </c>
      <c r="S21" s="386">
        <f t="shared" si="45"/>
        <v>1.0570313425609074E-2</v>
      </c>
      <c r="T21" s="386">
        <f t="shared" si="46"/>
        <v>0.35324317733230703</v>
      </c>
      <c r="U21" s="4">
        <f t="shared" si="9"/>
        <v>1.517523718531262</v>
      </c>
      <c r="V21" s="386">
        <f t="shared" si="10"/>
        <v>6.2177712380233612E-2</v>
      </c>
      <c r="W21" s="386">
        <f t="shared" si="47"/>
        <v>6.2177712380233612E-2</v>
      </c>
      <c r="X21" s="386">
        <f t="shared" si="11"/>
        <v>0.21724544033222348</v>
      </c>
      <c r="Y21" s="386">
        <f t="shared" si="12"/>
        <v>1.5102586030445336E-3</v>
      </c>
      <c r="Z21" s="603">
        <f t="shared" si="48"/>
        <v>1.5102586030445336E-3</v>
      </c>
      <c r="AA21" s="386">
        <f t="shared" si="13"/>
        <v>5.0266678374725222</v>
      </c>
      <c r="AB21" s="386">
        <f t="shared" si="14"/>
        <v>0.25267389548280683</v>
      </c>
      <c r="AC21" s="386">
        <f t="shared" si="15"/>
        <v>0</v>
      </c>
      <c r="AD21">
        <f t="shared" si="16"/>
        <v>0</v>
      </c>
      <c r="AE21" s="386">
        <f t="shared" si="17"/>
        <v>0.26840806873804446</v>
      </c>
      <c r="AF21" s="386">
        <f t="shared" si="18"/>
        <v>0</v>
      </c>
      <c r="AG21" s="386">
        <f t="shared" si="19"/>
        <v>0</v>
      </c>
      <c r="AH21" s="386">
        <f t="shared" si="20"/>
        <v>0</v>
      </c>
      <c r="AI21" s="386">
        <f t="shared" si="21"/>
        <v>0</v>
      </c>
      <c r="AJ21" s="386">
        <f t="shared" si="22"/>
        <v>1.7807246390265496</v>
      </c>
      <c r="AK21" s="386">
        <f t="shared" si="23"/>
        <v>3.1709802400362357E-2</v>
      </c>
      <c r="AL21" s="386">
        <f t="shared" si="24"/>
        <v>0.26648219900514858</v>
      </c>
      <c r="AM21">
        <f t="shared" si="25"/>
        <v>0</v>
      </c>
      <c r="AN21" s="386">
        <f t="shared" si="26"/>
        <v>0.3004019607468143</v>
      </c>
      <c r="AO21" s="386">
        <f t="shared" si="27"/>
        <v>4.7006817918515234</v>
      </c>
      <c r="AP21" s="386">
        <f t="shared" si="28"/>
        <v>0.2209640930824445</v>
      </c>
      <c r="AQ21" s="386">
        <f t="shared" si="29"/>
        <v>0.24155681104833646</v>
      </c>
      <c r="AR21" s="386">
        <f t="shared" si="30"/>
        <v>0.48751258838522643</v>
      </c>
      <c r="AS21" s="386">
        <f t="shared" si="31"/>
        <v>0.25267389548280683</v>
      </c>
      <c r="AT21" s="386">
        <f t="shared" si="32"/>
        <v>0</v>
      </c>
      <c r="AU21" s="386">
        <f t="shared" si="33"/>
        <v>4.4400000000000002E-2</v>
      </c>
      <c r="AV21" s="386">
        <f t="shared" si="34"/>
        <v>4.7564703600543531E-2</v>
      </c>
      <c r="AW21" s="386">
        <f t="shared" si="35"/>
        <v>6.5920000000000006E-2</v>
      </c>
      <c r="AX21" s="386">
        <f t="shared" si="36"/>
        <v>3.6000000000000004E-2</v>
      </c>
      <c r="AY21" s="386">
        <f t="shared" si="37"/>
        <v>0.40226399999999995</v>
      </c>
      <c r="AZ21" s="386">
        <f t="shared" si="38"/>
        <v>0.30415082926829268</v>
      </c>
      <c r="BA21" s="386">
        <f t="shared" si="56"/>
        <v>0.43826399999999999</v>
      </c>
      <c r="BB21" s="386">
        <f t="shared" si="57"/>
        <v>2.0694024697862141</v>
      </c>
      <c r="BC21">
        <f t="shared" si="39"/>
        <v>48</v>
      </c>
      <c r="BD21" s="604">
        <f t="shared" si="50"/>
        <v>0.95866931963018798</v>
      </c>
      <c r="BE21" s="614">
        <f t="shared" si="40"/>
        <v>19.998513723315231</v>
      </c>
      <c r="BF21" s="614">
        <f t="shared" si="41"/>
        <v>28.275730126343134</v>
      </c>
      <c r="BG21" s="9"/>
      <c r="BH21" s="4">
        <f t="shared" si="51"/>
        <v>95.8669319630188</v>
      </c>
      <c r="BI21" s="386">
        <f t="shared" si="52"/>
        <v>0.35324317733230703</v>
      </c>
      <c r="BJ21" s="386">
        <f t="shared" si="53"/>
        <v>1.1007226178700853</v>
      </c>
      <c r="BK21" s="386">
        <f t="shared" si="54"/>
        <v>1.4652000000000002E-2</v>
      </c>
      <c r="BL21" s="386">
        <f t="shared" si="55"/>
        <v>4.7564703600543531E-2</v>
      </c>
      <c r="BR21" s="18"/>
      <c r="BS21" s="19"/>
    </row>
    <row r="22" spans="1:82" x14ac:dyDescent="0.2">
      <c r="A22" s="36" t="s">
        <v>61</v>
      </c>
      <c r="B22" s="39">
        <f>Cin*1000000</f>
        <v>120</v>
      </c>
      <c r="C22" s="485" t="s">
        <v>675</v>
      </c>
      <c r="D22" s="482" t="s">
        <v>693</v>
      </c>
      <c r="G22">
        <v>13</v>
      </c>
      <c r="H22" s="610">
        <f t="shared" si="0"/>
        <v>10.755000000000001</v>
      </c>
      <c r="I22" s="445" t="str">
        <f t="shared" si="1"/>
        <v>BUCK-BST</v>
      </c>
      <c r="J22">
        <f t="shared" si="43"/>
        <v>3</v>
      </c>
      <c r="K22">
        <f t="shared" si="2"/>
        <v>4</v>
      </c>
      <c r="L22" s="4">
        <f t="shared" si="3"/>
        <v>4.9589338292267158</v>
      </c>
      <c r="M22" s="4">
        <f t="shared" si="4"/>
        <v>4.7252942787761185</v>
      </c>
      <c r="N22" s="386">
        <f t="shared" si="5"/>
        <v>0.94450000000000001</v>
      </c>
      <c r="O22" s="386">
        <f t="shared" si="44"/>
        <v>0.15349187499999997</v>
      </c>
      <c r="P22" s="4">
        <f t="shared" si="6"/>
        <v>1.8651281822422663</v>
      </c>
      <c r="Q22" s="386">
        <f t="shared" si="7"/>
        <v>4.7558698414749028</v>
      </c>
      <c r="R22" s="386">
        <f t="shared" si="8"/>
        <v>0.30586714604714565</v>
      </c>
      <c r="S22" s="386">
        <f t="shared" si="45"/>
        <v>8.55558153750271E-2</v>
      </c>
      <c r="T22" s="386">
        <f t="shared" si="46"/>
        <v>0.39142296142217275</v>
      </c>
      <c r="U22" s="4">
        <f t="shared" si="9"/>
        <v>1.7186452089706759</v>
      </c>
      <c r="V22" s="386">
        <f t="shared" si="10"/>
        <v>7.9751016566582164E-2</v>
      </c>
      <c r="W22" s="386">
        <f t="shared" si="47"/>
        <v>7.9751016566582164E-2</v>
      </c>
      <c r="X22" s="386">
        <f t="shared" si="11"/>
        <v>0.53841612904536496</v>
      </c>
      <c r="Y22" s="386">
        <f t="shared" si="12"/>
        <v>9.2765416965182416E-3</v>
      </c>
      <c r="Z22" s="603">
        <f t="shared" si="48"/>
        <v>9.2765416965182416E-3</v>
      </c>
      <c r="AA22" s="386">
        <f t="shared" si="13"/>
        <v>4.6220106461234183</v>
      </c>
      <c r="AB22" s="386">
        <f t="shared" si="14"/>
        <v>0.21362982412878218</v>
      </c>
      <c r="AC22" s="386">
        <f t="shared" si="15"/>
        <v>0.1021197583909733</v>
      </c>
      <c r="AD22">
        <f t="shared" si="16"/>
        <v>0</v>
      </c>
      <c r="AE22" s="386">
        <f t="shared" si="17"/>
        <v>0.33221485475018997</v>
      </c>
      <c r="AF22" s="386">
        <f t="shared" si="18"/>
        <v>1.1204086469553436</v>
      </c>
      <c r="AG22" s="386">
        <f t="shared" si="19"/>
        <v>1.2553155361723039E-2</v>
      </c>
      <c r="AH22" s="386">
        <f t="shared" si="20"/>
        <v>9.6199999999999994E-2</v>
      </c>
      <c r="AI22" s="386">
        <f t="shared" si="21"/>
        <v>0.10907080576440685</v>
      </c>
      <c r="AJ22" s="386">
        <f t="shared" si="22"/>
        <v>1.8632565474213201</v>
      </c>
      <c r="AK22" s="386">
        <f t="shared" si="23"/>
        <v>3.4717249615084177E-2</v>
      </c>
      <c r="AL22" s="386">
        <f t="shared" si="24"/>
        <v>0.10612653575380041</v>
      </c>
      <c r="AM22">
        <f t="shared" si="25"/>
        <v>0</v>
      </c>
      <c r="AN22" s="386">
        <f t="shared" si="26"/>
        <v>0.14198740902745055</v>
      </c>
      <c r="AO22" s="386">
        <f t="shared" si="27"/>
        <v>4.3756797172030426</v>
      </c>
      <c r="AP22" s="386">
        <f t="shared" si="28"/>
        <v>0.19146572987542101</v>
      </c>
      <c r="AQ22" s="386">
        <f t="shared" si="29"/>
        <v>0.1192623585929025</v>
      </c>
      <c r="AR22" s="386">
        <f t="shared" si="30"/>
        <v>0.32517225612657008</v>
      </c>
      <c r="AS22" s="386">
        <f t="shared" si="31"/>
        <v>0</v>
      </c>
      <c r="AT22" s="386">
        <f t="shared" si="32"/>
        <v>0</v>
      </c>
      <c r="AU22" s="386">
        <f t="shared" si="33"/>
        <v>4.2022750000000005E-2</v>
      </c>
      <c r="AV22" s="386">
        <f t="shared" si="34"/>
        <v>7.0905607465210824E-2</v>
      </c>
      <c r="AW22" s="386">
        <f t="shared" si="35"/>
        <v>6.5920000000000006E-2</v>
      </c>
      <c r="AX22" s="386">
        <f t="shared" si="36"/>
        <v>3.6000000000000004E-2</v>
      </c>
      <c r="AY22" s="386">
        <f t="shared" si="37"/>
        <v>0.40226399999999995</v>
      </c>
      <c r="AZ22" s="386">
        <f t="shared" si="38"/>
        <v>0.30415082926829268</v>
      </c>
      <c r="BA22" s="386">
        <f t="shared" si="56"/>
        <v>0.43826399999999999</v>
      </c>
      <c r="BB22" s="386">
        <f t="shared" si="57"/>
        <v>2.0060082028191015</v>
      </c>
      <c r="BC22">
        <f t="shared" si="39"/>
        <v>48</v>
      </c>
      <c r="BD22" s="604">
        <f t="shared" si="50"/>
        <v>0.95988465636603215</v>
      </c>
      <c r="BE22" s="614">
        <f t="shared" si="40"/>
        <v>10.672589223592132</v>
      </c>
      <c r="BF22" s="614">
        <f t="shared" si="41"/>
        <v>18.859990855341064</v>
      </c>
      <c r="BG22" s="9"/>
      <c r="BH22" s="4">
        <f t="shared" si="51"/>
        <v>95.988465636603209</v>
      </c>
      <c r="BI22" s="386">
        <f t="shared" si="52"/>
        <v>0.39142296142217275</v>
      </c>
      <c r="BJ22" s="386">
        <f t="shared" si="53"/>
        <v>0.95046807566861746</v>
      </c>
      <c r="BK22" s="386">
        <f t="shared" si="54"/>
        <v>0.12293831326440685</v>
      </c>
      <c r="BL22" s="386">
        <f t="shared" si="55"/>
        <v>7.0905607465210824E-2</v>
      </c>
      <c r="BR22" s="18"/>
      <c r="BS22" s="19"/>
    </row>
    <row r="23" spans="1:82" x14ac:dyDescent="0.2">
      <c r="A23" s="36" t="s">
        <v>90</v>
      </c>
      <c r="B23" s="39">
        <f>RCinEsr*1000</f>
        <v>32</v>
      </c>
      <c r="C23" s="484" t="s">
        <v>674</v>
      </c>
      <c r="D23" s="482" t="s">
        <v>689</v>
      </c>
      <c r="G23">
        <v>14</v>
      </c>
      <c r="H23" s="610">
        <f t="shared" si="0"/>
        <v>10.89</v>
      </c>
      <c r="I23" s="445" t="str">
        <f t="shared" si="1"/>
        <v>BUCK-BST</v>
      </c>
      <c r="J23">
        <f t="shared" si="43"/>
        <v>3</v>
      </c>
      <c r="K23">
        <f t="shared" si="2"/>
        <v>4</v>
      </c>
      <c r="L23" s="4">
        <f t="shared" si="3"/>
        <v>4.8974594429139886</v>
      </c>
      <c r="M23" s="4">
        <f t="shared" si="4"/>
        <v>4.6667162505268287</v>
      </c>
      <c r="N23" s="386">
        <f t="shared" si="5"/>
        <v>0.94450000000000001</v>
      </c>
      <c r="O23" s="386">
        <f t="shared" si="44"/>
        <v>0.14286624999999997</v>
      </c>
      <c r="P23" s="4">
        <f t="shared" si="6"/>
        <v>1.7585803598525549</v>
      </c>
      <c r="Q23" s="386">
        <f t="shared" si="7"/>
        <v>4.6942472917855644</v>
      </c>
      <c r="R23" s="386">
        <f t="shared" si="8"/>
        <v>0.29780454398172268</v>
      </c>
      <c r="S23" s="386">
        <f t="shared" si="45"/>
        <v>7.4712019789471798E-2</v>
      </c>
      <c r="T23" s="386">
        <f t="shared" si="46"/>
        <v>0.37251656377119446</v>
      </c>
      <c r="U23" s="4">
        <f t="shared" si="9"/>
        <v>1.6461534079007647</v>
      </c>
      <c r="V23" s="386">
        <f t="shared" si="10"/>
        <v>7.3165168143269135E-2</v>
      </c>
      <c r="W23" s="386">
        <f t="shared" si="47"/>
        <v>7.3165168143269135E-2</v>
      </c>
      <c r="X23" s="386">
        <f t="shared" si="11"/>
        <v>0.5076584220762308</v>
      </c>
      <c r="Y23" s="386">
        <f t="shared" si="12"/>
        <v>8.2469463521577125E-3</v>
      </c>
      <c r="Z23" s="603">
        <f t="shared" si="48"/>
        <v>8.2469463521577125E-3</v>
      </c>
      <c r="AA23" s="386">
        <f t="shared" si="13"/>
        <v>4.562122530973264</v>
      </c>
      <c r="AB23" s="386">
        <f t="shared" si="14"/>
        <v>0.20812961987613901</v>
      </c>
      <c r="AC23" s="386">
        <f t="shared" si="15"/>
        <v>0.10211975839097331</v>
      </c>
      <c r="AD23">
        <f t="shared" si="16"/>
        <v>0</v>
      </c>
      <c r="AE23" s="386">
        <f t="shared" si="17"/>
        <v>0.32599016267164083</v>
      </c>
      <c r="AF23" s="386">
        <f t="shared" si="18"/>
        <v>1.1058913368058383</v>
      </c>
      <c r="AG23" s="386">
        <f t="shared" si="19"/>
        <v>1.2229956488222041E-2</v>
      </c>
      <c r="AH23" s="386">
        <f t="shared" si="20"/>
        <v>9.6199999999999994E-2</v>
      </c>
      <c r="AI23" s="386">
        <f t="shared" si="21"/>
        <v>0.10873848562009515</v>
      </c>
      <c r="AJ23" s="386">
        <f t="shared" si="22"/>
        <v>1.7743152574095984</v>
      </c>
      <c r="AK23" s="386">
        <f t="shared" si="23"/>
        <v>3.1481946326764897E-2</v>
      </c>
      <c r="AL23" s="386">
        <f t="shared" si="24"/>
        <v>0.10612653575380041</v>
      </c>
      <c r="AM23">
        <f t="shared" si="25"/>
        <v>0</v>
      </c>
      <c r="AN23" s="386">
        <f t="shared" si="26"/>
        <v>0.13862094332720681</v>
      </c>
      <c r="AO23" s="386">
        <f t="shared" si="27"/>
        <v>4.3460054077002273</v>
      </c>
      <c r="AP23" s="386">
        <f t="shared" si="28"/>
        <v>0.18887763003759619</v>
      </c>
      <c r="AQ23" s="386">
        <f t="shared" si="29"/>
        <v>0.11778389960208142</v>
      </c>
      <c r="AR23" s="386">
        <f t="shared" si="30"/>
        <v>0.32071514214361729</v>
      </c>
      <c r="AS23" s="386">
        <f t="shared" si="31"/>
        <v>0</v>
      </c>
      <c r="AT23" s="386">
        <f t="shared" si="32"/>
        <v>0</v>
      </c>
      <c r="AU23" s="386">
        <f t="shared" si="33"/>
        <v>4.2272500000000005E-2</v>
      </c>
      <c r="AV23" s="386">
        <f t="shared" si="34"/>
        <v>6.556785422248039E-2</v>
      </c>
      <c r="AW23" s="386">
        <f t="shared" si="35"/>
        <v>6.5920000000000006E-2</v>
      </c>
      <c r="AX23" s="386">
        <f t="shared" si="36"/>
        <v>3.6000000000000004E-2</v>
      </c>
      <c r="AY23" s="386">
        <f t="shared" si="37"/>
        <v>0.40226399999999995</v>
      </c>
      <c r="AZ23" s="386">
        <f t="shared" si="38"/>
        <v>0.30415082926829268</v>
      </c>
      <c r="BA23" s="386">
        <f t="shared" si="56"/>
        <v>0.43826399999999999</v>
      </c>
      <c r="BB23" s="386">
        <f t="shared" si="57"/>
        <v>1.9600177662516616</v>
      </c>
      <c r="BC23">
        <f t="shared" si="39"/>
        <v>48</v>
      </c>
      <c r="BD23" s="604">
        <f t="shared" si="50"/>
        <v>0.96076827323356828</v>
      </c>
      <c r="BE23" s="614">
        <f t="shared" si="40"/>
        <v>10.491819712977994</v>
      </c>
      <c r="BF23" s="614">
        <f t="shared" si="41"/>
        <v>18.601478244329805</v>
      </c>
      <c r="BG23" s="9"/>
      <c r="BH23" s="4">
        <f t="shared" si="51"/>
        <v>96.076827323356824</v>
      </c>
      <c r="BI23" s="386">
        <f t="shared" si="52"/>
        <v>0.37251656377119446</v>
      </c>
      <c r="BJ23" s="386">
        <f t="shared" si="53"/>
        <v>0.93633723376256017</v>
      </c>
      <c r="BK23" s="386">
        <f t="shared" si="54"/>
        <v>0.12268841062009515</v>
      </c>
      <c r="BL23" s="386">
        <f t="shared" si="55"/>
        <v>6.556785422248039E-2</v>
      </c>
      <c r="BR23" s="18"/>
      <c r="BS23" s="19"/>
    </row>
    <row r="24" spans="1:82" x14ac:dyDescent="0.2">
      <c r="A24" s="35" t="s">
        <v>27</v>
      </c>
      <c r="B24" s="39">
        <f>Cout*1000000</f>
        <v>220</v>
      </c>
      <c r="C24" s="483" t="s">
        <v>675</v>
      </c>
      <c r="D24" s="482" t="s">
        <v>692</v>
      </c>
      <c r="G24">
        <v>15</v>
      </c>
      <c r="H24" s="610">
        <f t="shared" si="0"/>
        <v>11.025</v>
      </c>
      <c r="I24" s="445" t="str">
        <f t="shared" si="1"/>
        <v>BUCK-BST</v>
      </c>
      <c r="J24">
        <f t="shared" si="43"/>
        <v>3</v>
      </c>
      <c r="K24">
        <f t="shared" si="2"/>
        <v>4</v>
      </c>
      <c r="L24" s="4">
        <f t="shared" si="3"/>
        <v>4.8374905517762654</v>
      </c>
      <c r="M24" s="4">
        <f t="shared" si="4"/>
        <v>4.6095727862346632</v>
      </c>
      <c r="N24" s="386">
        <f t="shared" si="5"/>
        <v>0.94450000000000001</v>
      </c>
      <c r="O24" s="386">
        <f t="shared" si="44"/>
        <v>0.13224062499999997</v>
      </c>
      <c r="P24" s="4">
        <f t="shared" si="6"/>
        <v>1.6486668920739018</v>
      </c>
      <c r="Q24" s="386">
        <f t="shared" si="7"/>
        <v>4.6340770186751943</v>
      </c>
      <c r="R24" s="386">
        <f t="shared" si="8"/>
        <v>0.29004302001809124</v>
      </c>
      <c r="S24" s="386">
        <f t="shared" si="45"/>
        <v>6.4388894081388148E-2</v>
      </c>
      <c r="T24" s="386">
        <f t="shared" si="46"/>
        <v>0.35443191409947938</v>
      </c>
      <c r="U24" s="4">
        <f t="shared" si="9"/>
        <v>1.572516933428072</v>
      </c>
      <c r="V24" s="386">
        <f t="shared" si="10"/>
        <v>6.6765856659786738E-2</v>
      </c>
      <c r="W24" s="386">
        <f t="shared" si="47"/>
        <v>6.6765856659786738E-2</v>
      </c>
      <c r="X24" s="386">
        <f t="shared" si="11"/>
        <v>0.47592913697144545</v>
      </c>
      <c r="Y24" s="386">
        <f t="shared" si="12"/>
        <v>7.2482733893883163E-3</v>
      </c>
      <c r="Z24" s="603">
        <f t="shared" si="48"/>
        <v>7.2482733893883163E-3</v>
      </c>
      <c r="AA24" s="386">
        <f t="shared" si="13"/>
        <v>4.5036458164780591</v>
      </c>
      <c r="AB24" s="386">
        <f t="shared" si="14"/>
        <v>0.20282825640280322</v>
      </c>
      <c r="AC24" s="386">
        <f t="shared" si="15"/>
        <v>0.1021197583909733</v>
      </c>
      <c r="AD24">
        <f t="shared" si="16"/>
        <v>0</v>
      </c>
      <c r="AE24" s="386">
        <f t="shared" si="17"/>
        <v>0.32000628006482768</v>
      </c>
      <c r="AF24" s="386">
        <f t="shared" si="18"/>
        <v>1.0917161603334693</v>
      </c>
      <c r="AG24" s="386">
        <f t="shared" si="19"/>
        <v>1.1918441747332533E-2</v>
      </c>
      <c r="AH24" s="386">
        <f t="shared" si="20"/>
        <v>9.6199999999999994E-2</v>
      </c>
      <c r="AI24" s="386">
        <f t="shared" si="21"/>
        <v>0.10841822665327466</v>
      </c>
      <c r="AJ24" s="386">
        <f t="shared" si="22"/>
        <v>1.6851776636325408</v>
      </c>
      <c r="AK24" s="386">
        <f t="shared" si="23"/>
        <v>2.8398237580060291E-2</v>
      </c>
      <c r="AL24" s="386">
        <f t="shared" si="24"/>
        <v>0.10612653575380041</v>
      </c>
      <c r="AM24">
        <f t="shared" si="25"/>
        <v>0</v>
      </c>
      <c r="AN24" s="386">
        <f t="shared" si="26"/>
        <v>0.13541695318553262</v>
      </c>
      <c r="AO24" s="386">
        <f t="shared" si="27"/>
        <v>4.316809708222908</v>
      </c>
      <c r="AP24" s="386">
        <f t="shared" si="28"/>
        <v>0.18634846057007548</v>
      </c>
      <c r="AQ24" s="386">
        <f t="shared" si="29"/>
        <v>0.11634164777021917</v>
      </c>
      <c r="AR24" s="386">
        <f t="shared" si="30"/>
        <v>0.31636757812909927</v>
      </c>
      <c r="AS24" s="386">
        <f t="shared" si="31"/>
        <v>0</v>
      </c>
      <c r="AT24" s="386">
        <f t="shared" si="32"/>
        <v>0</v>
      </c>
      <c r="AU24" s="386">
        <f t="shared" si="33"/>
        <v>4.2522250000000004E-2</v>
      </c>
      <c r="AV24" s="386">
        <f t="shared" si="34"/>
        <v>6.047501899108923E-2</v>
      </c>
      <c r="AW24" s="386">
        <f t="shared" si="35"/>
        <v>6.5920000000000006E-2</v>
      </c>
      <c r="AX24" s="386">
        <f t="shared" si="36"/>
        <v>3.6000000000000004E-2</v>
      </c>
      <c r="AY24" s="386">
        <f t="shared" si="37"/>
        <v>0.40226399999999995</v>
      </c>
      <c r="AZ24" s="386">
        <f t="shared" si="38"/>
        <v>0.30415082926829268</v>
      </c>
      <c r="BA24" s="386">
        <f t="shared" si="56"/>
        <v>0.43826399999999999</v>
      </c>
      <c r="BB24" s="386">
        <f t="shared" si="57"/>
        <v>1.9158363511724779</v>
      </c>
      <c r="BC24">
        <f t="shared" si="39"/>
        <v>48</v>
      </c>
      <c r="BD24" s="604">
        <f t="shared" si="50"/>
        <v>0.96161866671542851</v>
      </c>
      <c r="BE24" s="614">
        <f t="shared" si="40"/>
        <v>10.320473784760892</v>
      </c>
      <c r="BF24" s="614">
        <f t="shared" si="41"/>
        <v>18.349319531487758</v>
      </c>
      <c r="BG24" s="9"/>
      <c r="BH24" s="4">
        <f t="shared" si="51"/>
        <v>96.161866671542853</v>
      </c>
      <c r="BI24" s="386">
        <f t="shared" si="52"/>
        <v>0.35443191409947938</v>
      </c>
      <c r="BJ24" s="386">
        <f t="shared" si="53"/>
        <v>0.9227312880327343</v>
      </c>
      <c r="BK24" s="386">
        <f t="shared" si="54"/>
        <v>0.12245056915327467</v>
      </c>
      <c r="BL24" s="386">
        <f t="shared" si="55"/>
        <v>6.047501899108923E-2</v>
      </c>
      <c r="BR24" s="18"/>
      <c r="BS24" s="19"/>
    </row>
    <row r="25" spans="1:82" x14ac:dyDescent="0.2">
      <c r="A25" s="35" t="s">
        <v>89</v>
      </c>
      <c r="B25" s="40">
        <f>CoutEsr*1000</f>
        <v>27</v>
      </c>
      <c r="C25" s="484" t="s">
        <v>674</v>
      </c>
      <c r="D25" s="482" t="s">
        <v>691</v>
      </c>
      <c r="G25">
        <v>16</v>
      </c>
      <c r="H25" s="610">
        <f t="shared" si="0"/>
        <v>11.16</v>
      </c>
      <c r="I25" s="445" t="str">
        <f t="shared" si="1"/>
        <v>BUCK-BST</v>
      </c>
      <c r="J25">
        <f t="shared" si="43"/>
        <v>3</v>
      </c>
      <c r="K25">
        <f t="shared" si="2"/>
        <v>4</v>
      </c>
      <c r="L25" s="4">
        <f t="shared" si="3"/>
        <v>4.7789725209080043</v>
      </c>
      <c r="M25" s="4">
        <f t="shared" si="4"/>
        <v>4.5538118251108566</v>
      </c>
      <c r="N25" s="386">
        <f t="shared" si="5"/>
        <v>0.94450000000000001</v>
      </c>
      <c r="O25" s="386">
        <f t="shared" si="44"/>
        <v>0.12161499999999996</v>
      </c>
      <c r="P25" s="4">
        <f t="shared" si="6"/>
        <v>1.5353901791977285</v>
      </c>
      <c r="Q25" s="386">
        <f t="shared" si="7"/>
        <v>4.5753310323280658</v>
      </c>
      <c r="R25" s="386">
        <f t="shared" si="8"/>
        <v>0.28257072464350641</v>
      </c>
      <c r="S25" s="386">
        <f t="shared" si="45"/>
        <v>5.4649317836662277E-2</v>
      </c>
      <c r="T25" s="386">
        <f t="shared" si="46"/>
        <v>0.33722004248016868</v>
      </c>
      <c r="U25" s="4">
        <f t="shared" si="9"/>
        <v>1.4974800997341409</v>
      </c>
      <c r="V25" s="386">
        <f t="shared" si="10"/>
        <v>6.0546059525693849E-2</v>
      </c>
      <c r="W25" s="386">
        <f t="shared" si="47"/>
        <v>6.0546059525693849E-2</v>
      </c>
      <c r="X25" s="386">
        <f t="shared" si="11"/>
        <v>0.44322896663545819</v>
      </c>
      <c r="Y25" s="386">
        <f t="shared" si="12"/>
        <v>6.2864613396715558E-3</v>
      </c>
      <c r="Z25" s="603">
        <f t="shared" si="48"/>
        <v>6.2864613396715558E-3</v>
      </c>
      <c r="AA25" s="386">
        <f t="shared" si="13"/>
        <v>4.4465533006262712</v>
      </c>
      <c r="AB25" s="386">
        <f t="shared" si="14"/>
        <v>0.19771836255310388</v>
      </c>
      <c r="AC25" s="386">
        <f t="shared" si="15"/>
        <v>0.1021197583909733</v>
      </c>
      <c r="AD25">
        <f t="shared" si="16"/>
        <v>0</v>
      </c>
      <c r="AE25" s="386">
        <f t="shared" si="17"/>
        <v>0.31425311895279745</v>
      </c>
      <c r="AF25" s="386">
        <f t="shared" si="18"/>
        <v>1.0778765235748589</v>
      </c>
      <c r="AG25" s="386">
        <f t="shared" si="19"/>
        <v>1.1618178000738234E-2</v>
      </c>
      <c r="AH25" s="386">
        <f t="shared" si="20"/>
        <v>9.6199999999999994E-2</v>
      </c>
      <c r="AI25" s="386">
        <f t="shared" si="21"/>
        <v>0.1081095784283157</v>
      </c>
      <c r="AJ25" s="386">
        <f t="shared" si="22"/>
        <v>1.5955708501804453</v>
      </c>
      <c r="AK25" s="386">
        <f t="shared" si="23"/>
        <v>2.5458463379455488E-2</v>
      </c>
      <c r="AL25" s="386">
        <f t="shared" si="24"/>
        <v>0.10612653575380041</v>
      </c>
      <c r="AM25">
        <f t="shared" si="25"/>
        <v>0</v>
      </c>
      <c r="AN25" s="386">
        <f t="shared" si="26"/>
        <v>0.13236680560301506</v>
      </c>
      <c r="AO25" s="386">
        <f t="shared" si="27"/>
        <v>4.2881007121380277</v>
      </c>
      <c r="AP25" s="386">
        <f t="shared" si="28"/>
        <v>0.18387807717438662</v>
      </c>
      <c r="AQ25" s="386">
        <f t="shared" si="29"/>
        <v>0.1149342891278375</v>
      </c>
      <c r="AR25" s="386">
        <f t="shared" si="30"/>
        <v>0.31212764222104689</v>
      </c>
      <c r="AS25" s="386">
        <f t="shared" si="31"/>
        <v>0</v>
      </c>
      <c r="AT25" s="386">
        <f t="shared" si="32"/>
        <v>0</v>
      </c>
      <c r="AU25" s="386">
        <f t="shared" si="33"/>
        <v>4.2772000000000004E-2</v>
      </c>
      <c r="AV25" s="386">
        <f t="shared" si="34"/>
        <v>5.5614962070290583E-2</v>
      </c>
      <c r="AW25" s="386">
        <f t="shared" si="35"/>
        <v>6.5920000000000006E-2</v>
      </c>
      <c r="AX25" s="386">
        <f t="shared" si="36"/>
        <v>3.6000000000000004E-2</v>
      </c>
      <c r="AY25" s="386">
        <f t="shared" si="37"/>
        <v>0.40226399999999995</v>
      </c>
      <c r="AZ25" s="386">
        <f t="shared" si="38"/>
        <v>0.30415082926829268</v>
      </c>
      <c r="BA25" s="386">
        <f t="shared" si="56"/>
        <v>0.43826399999999999</v>
      </c>
      <c r="BB25" s="386">
        <f t="shared" si="57"/>
        <v>1.8734806706209999</v>
      </c>
      <c r="BC25">
        <f t="shared" si="39"/>
        <v>48</v>
      </c>
      <c r="BD25" s="604">
        <f t="shared" si="50"/>
        <v>0.96243533345919829</v>
      </c>
      <c r="BE25" s="614">
        <f t="shared" si="40"/>
        <v>10.158050724974874</v>
      </c>
      <c r="BF25" s="614">
        <f t="shared" si="41"/>
        <v>18.103403248820719</v>
      </c>
      <c r="BG25" s="9"/>
      <c r="BH25" s="4">
        <f t="shared" si="51"/>
        <v>96.243533345919829</v>
      </c>
      <c r="BI25" s="386">
        <f t="shared" si="52"/>
        <v>0.33722004248016868</v>
      </c>
      <c r="BJ25" s="386">
        <f t="shared" si="53"/>
        <v>0.90962914520517502</v>
      </c>
      <c r="BK25" s="386">
        <f t="shared" si="54"/>
        <v>0.1222243384283157</v>
      </c>
      <c r="BL25" s="386">
        <f t="shared" si="55"/>
        <v>5.5614962070290583E-2</v>
      </c>
      <c r="BP25" t="s">
        <v>151</v>
      </c>
      <c r="BQ25" t="s">
        <v>4</v>
      </c>
      <c r="BR25" t="s">
        <v>6</v>
      </c>
      <c r="BS25" t="s">
        <v>5</v>
      </c>
      <c r="BT25" t="s">
        <v>152</v>
      </c>
      <c r="BU25" t="s">
        <v>153</v>
      </c>
    </row>
    <row r="26" spans="1:82" x14ac:dyDescent="0.2">
      <c r="A26" s="24" t="s">
        <v>116</v>
      </c>
      <c r="B26" s="37" t="s">
        <v>115</v>
      </c>
      <c r="C26" s="24" t="s">
        <v>80</v>
      </c>
      <c r="D26" s="17" t="s">
        <v>111</v>
      </c>
      <c r="G26">
        <v>17</v>
      </c>
      <c r="H26" s="610">
        <f t="shared" si="0"/>
        <v>11.295</v>
      </c>
      <c r="I26" s="445" t="str">
        <f t="shared" si="1"/>
        <v>BUCK-BST</v>
      </c>
      <c r="J26">
        <f t="shared" si="43"/>
        <v>3</v>
      </c>
      <c r="K26">
        <f t="shared" si="2"/>
        <v>4</v>
      </c>
      <c r="L26" s="4">
        <f t="shared" si="3"/>
        <v>4.7218533274310168</v>
      </c>
      <c r="M26" s="4">
        <f t="shared" si="4"/>
        <v>4.4993837953286553</v>
      </c>
      <c r="N26" s="386">
        <f t="shared" si="5"/>
        <v>0.94450000000000001</v>
      </c>
      <c r="O26" s="386">
        <f t="shared" si="44"/>
        <v>0.11098937499999995</v>
      </c>
      <c r="P26" s="4">
        <f t="shared" si="6"/>
        <v>1.4187525067604896</v>
      </c>
      <c r="Q26" s="386">
        <f t="shared" si="7"/>
        <v>4.5179854759194784</v>
      </c>
      <c r="R26" s="386">
        <f t="shared" si="8"/>
        <v>0.27537676652410642</v>
      </c>
      <c r="S26" s="386">
        <f t="shared" si="45"/>
        <v>4.5554326349839351E-2</v>
      </c>
      <c r="T26" s="386">
        <f t="shared" si="46"/>
        <v>0.32093109287394578</v>
      </c>
      <c r="U26" s="4">
        <f t="shared" si="9"/>
        <v>1.4207310156798301</v>
      </c>
      <c r="V26" s="386">
        <f t="shared" si="10"/>
        <v>5.4498868710695321E-2</v>
      </c>
      <c r="W26" s="386">
        <f t="shared" si="47"/>
        <v>5.4498868710695321E-2</v>
      </c>
      <c r="X26" s="386">
        <f t="shared" si="11"/>
        <v>0.40955857084581254</v>
      </c>
      <c r="Y26" s="386">
        <f t="shared" si="12"/>
        <v>5.3676231345044624E-3</v>
      </c>
      <c r="Z26" s="603">
        <f t="shared" si="48"/>
        <v>5.3676231345044624E-3</v>
      </c>
      <c r="AA26" s="386">
        <f t="shared" si="13"/>
        <v>4.3908217980698083</v>
      </c>
      <c r="AB26" s="386">
        <f t="shared" si="14"/>
        <v>0.19279316062404983</v>
      </c>
      <c r="AC26" s="386">
        <f t="shared" si="15"/>
        <v>0.1021197583909733</v>
      </c>
      <c r="AD26">
        <f t="shared" si="16"/>
        <v>0</v>
      </c>
      <c r="AE26" s="386">
        <f t="shared" si="17"/>
        <v>0.30872141453967528</v>
      </c>
      <c r="AF26" s="386">
        <f t="shared" si="18"/>
        <v>1.0643668062347558</v>
      </c>
      <c r="AG26" s="386">
        <f t="shared" si="19"/>
        <v>1.1328766982143742E-2</v>
      </c>
      <c r="AH26" s="386">
        <f t="shared" si="20"/>
        <v>9.6199999999999994E-2</v>
      </c>
      <c r="AI26" s="386">
        <f t="shared" si="21"/>
        <v>0.10781212678537433</v>
      </c>
      <c r="AJ26" s="386">
        <f t="shared" si="22"/>
        <v>1.5051699295696368</v>
      </c>
      <c r="AK26" s="386">
        <f t="shared" si="23"/>
        <v>2.2655365168806653E-2</v>
      </c>
      <c r="AL26" s="386">
        <f t="shared" si="24"/>
        <v>0.10612653575380041</v>
      </c>
      <c r="AM26">
        <f t="shared" si="25"/>
        <v>0</v>
      </c>
      <c r="AN26" s="386">
        <f t="shared" si="26"/>
        <v>0.12946236088084523</v>
      </c>
      <c r="AO26" s="386">
        <f t="shared" si="27"/>
        <v>4.259889229045597</v>
      </c>
      <c r="AP26" s="386">
        <f t="shared" si="28"/>
        <v>0.1814665624373869</v>
      </c>
      <c r="AQ26" s="386">
        <f t="shared" si="29"/>
        <v>0.11356057252471595</v>
      </c>
      <c r="AR26" s="386">
        <f t="shared" si="30"/>
        <v>0.30799374636821419</v>
      </c>
      <c r="AS26" s="386">
        <f t="shared" si="31"/>
        <v>0</v>
      </c>
      <c r="AT26" s="386">
        <f t="shared" si="32"/>
        <v>0</v>
      </c>
      <c r="AU26" s="386">
        <f t="shared" si="33"/>
        <v>4.3021750000000004E-2</v>
      </c>
      <c r="AV26" s="386">
        <f t="shared" si="34"/>
        <v>5.0976198226425587E-2</v>
      </c>
      <c r="AW26" s="386">
        <f t="shared" si="35"/>
        <v>6.5920000000000006E-2</v>
      </c>
      <c r="AX26" s="386">
        <f t="shared" si="36"/>
        <v>3.6000000000000004E-2</v>
      </c>
      <c r="AY26" s="386">
        <f t="shared" si="37"/>
        <v>0.40226399999999995</v>
      </c>
      <c r="AZ26" s="386">
        <f t="shared" si="38"/>
        <v>0.30415082926829268</v>
      </c>
      <c r="BA26" s="386">
        <f t="shared" si="56"/>
        <v>0.43826399999999999</v>
      </c>
      <c r="BB26" s="386">
        <f t="shared" si="57"/>
        <v>1.8329691815196805</v>
      </c>
      <c r="BC26">
        <f t="shared" si="39"/>
        <v>48</v>
      </c>
      <c r="BD26" s="604">
        <f t="shared" si="50"/>
        <v>0.96321774095292267</v>
      </c>
      <c r="BE26" s="614">
        <f t="shared" si="40"/>
        <v>10.004078431089024</v>
      </c>
      <c r="BF26" s="614">
        <f t="shared" si="41"/>
        <v>17.863637289356422</v>
      </c>
      <c r="BG26" s="9"/>
      <c r="BH26" s="4">
        <f t="shared" si="51"/>
        <v>96.32177409529227</v>
      </c>
      <c r="BI26" s="386">
        <f t="shared" si="52"/>
        <v>0.32093109287394578</v>
      </c>
      <c r="BJ26" s="386">
        <f t="shared" si="53"/>
        <v>0.89701139857410905</v>
      </c>
      <c r="BK26" s="386">
        <f t="shared" si="54"/>
        <v>0.12200930428537433</v>
      </c>
      <c r="BL26" s="386">
        <f t="shared" si="55"/>
        <v>5.0976198226425587E-2</v>
      </c>
      <c r="BP26" t="s">
        <v>154</v>
      </c>
      <c r="BQ26">
        <v>9.9989640000000009</v>
      </c>
      <c r="BR26">
        <v>0.1027</v>
      </c>
      <c r="BS26">
        <v>5.1211359999999999</v>
      </c>
      <c r="BT26">
        <v>61.870683235325004</v>
      </c>
      <c r="BU26">
        <v>324.12365701136014</v>
      </c>
    </row>
    <row r="27" spans="1:82" x14ac:dyDescent="0.2">
      <c r="A27" s="22" t="s">
        <v>65</v>
      </c>
      <c r="B27" s="5">
        <f>RdsonDRT</f>
        <v>1.5</v>
      </c>
      <c r="C27" s="486" t="s">
        <v>120</v>
      </c>
      <c r="D27" s="482" t="s">
        <v>718</v>
      </c>
      <c r="G27">
        <v>18</v>
      </c>
      <c r="H27" s="610">
        <f t="shared" si="0"/>
        <v>11.43</v>
      </c>
      <c r="I27" s="445" t="str">
        <f t="shared" si="1"/>
        <v>BUCK-BST</v>
      </c>
      <c r="J27">
        <f t="shared" si="43"/>
        <v>3</v>
      </c>
      <c r="K27">
        <f t="shared" si="2"/>
        <v>4</v>
      </c>
      <c r="L27" s="4">
        <f t="shared" si="3"/>
        <v>4.6660834062408858</v>
      </c>
      <c r="M27" s="4">
        <f t="shared" si="4"/>
        <v>4.4462414670373729</v>
      </c>
      <c r="N27" s="386">
        <f t="shared" si="5"/>
        <v>0.94450000000000001</v>
      </c>
      <c r="O27" s="386">
        <f t="shared" si="44"/>
        <v>0.10036375000000008</v>
      </c>
      <c r="P27" s="4">
        <f t="shared" si="6"/>
        <v>1.2987560523205408</v>
      </c>
      <c r="Q27" s="386">
        <f t="shared" si="7"/>
        <v>4.4620205202900234</v>
      </c>
      <c r="R27" s="386">
        <f t="shared" si="8"/>
        <v>0.26845114695199995</v>
      </c>
      <c r="S27" s="386">
        <f t="shared" si="45"/>
        <v>3.7162445076197911E-2</v>
      </c>
      <c r="T27" s="386">
        <f t="shared" si="46"/>
        <v>0.30561359202819788</v>
      </c>
      <c r="U27" s="4">
        <f t="shared" si="9"/>
        <v>1.3418819742738188</v>
      </c>
      <c r="V27" s="386">
        <f t="shared" si="10"/>
        <v>4.8617475287787044E-2</v>
      </c>
      <c r="W27" s="386">
        <f t="shared" si="47"/>
        <v>4.8617475287787044E-2</v>
      </c>
      <c r="X27" s="386">
        <f t="shared" si="11"/>
        <v>0.37491857820946001</v>
      </c>
      <c r="Y27" s="386">
        <f t="shared" si="12"/>
        <v>4.4980460891712957E-3</v>
      </c>
      <c r="Z27" s="603">
        <f t="shared" si="48"/>
        <v>4.4980460891712957E-3</v>
      </c>
      <c r="AA27" s="386">
        <f t="shared" si="13"/>
        <v>4.3364320377627967</v>
      </c>
      <c r="AB27" s="386">
        <f t="shared" si="14"/>
        <v>0.18804642818135603</v>
      </c>
      <c r="AC27" s="386">
        <f t="shared" si="15"/>
        <v>0.10211975839097331</v>
      </c>
      <c r="AD27">
        <f t="shared" si="16"/>
        <v>0</v>
      </c>
      <c r="AE27" s="386">
        <f t="shared" si="17"/>
        <v>0.30340266527358228</v>
      </c>
      <c r="AF27" s="386">
        <f t="shared" si="18"/>
        <v>1.0511823368729392</v>
      </c>
      <c r="AG27" s="386">
        <f t="shared" si="19"/>
        <v>1.1049843053536535E-2</v>
      </c>
      <c r="AH27" s="386">
        <f t="shared" si="20"/>
        <v>9.6199999999999994E-2</v>
      </c>
      <c r="AI27" s="386">
        <f t="shared" si="21"/>
        <v>0.10752549148834306</v>
      </c>
      <c r="AJ27" s="386">
        <f t="shared" si="22"/>
        <v>1.4135787347067357</v>
      </c>
      <c r="AK27" s="386">
        <f t="shared" si="23"/>
        <v>1.9982048392150956E-2</v>
      </c>
      <c r="AL27" s="386">
        <f t="shared" si="24"/>
        <v>0.10612653575380041</v>
      </c>
      <c r="AM27">
        <f t="shared" si="25"/>
        <v>0</v>
      </c>
      <c r="AN27" s="386">
        <f t="shared" si="26"/>
        <v>0.12669592558087389</v>
      </c>
      <c r="AO27" s="386">
        <f t="shared" si="27"/>
        <v>4.2321888289954828</v>
      </c>
      <c r="AP27" s="386">
        <f t="shared" si="28"/>
        <v>0.17911422284274156</v>
      </c>
      <c r="AQ27" s="386">
        <f t="shared" si="29"/>
        <v>0.1122193059200933</v>
      </c>
      <c r="AR27" s="386">
        <f t="shared" si="30"/>
        <v>0.3039646267539452</v>
      </c>
      <c r="AS27" s="386">
        <f t="shared" si="31"/>
        <v>0</v>
      </c>
      <c r="AT27" s="386">
        <f t="shared" si="32"/>
        <v>0</v>
      </c>
      <c r="AU27" s="386">
        <f t="shared" si="33"/>
        <v>4.3271500000000004E-2</v>
      </c>
      <c r="AV27" s="386">
        <f t="shared" si="34"/>
        <v>4.6547837168531239E-2</v>
      </c>
      <c r="AW27" s="386">
        <f t="shared" si="35"/>
        <v>6.5920000000000006E-2</v>
      </c>
      <c r="AX27" s="386">
        <f t="shared" si="36"/>
        <v>3.6000000000000004E-2</v>
      </c>
      <c r="AY27" s="386">
        <f t="shared" si="37"/>
        <v>0.40226399999999995</v>
      </c>
      <c r="AZ27" s="386">
        <f t="shared" si="38"/>
        <v>0.30415082926829268</v>
      </c>
      <c r="BA27" s="386">
        <f t="shared" si="56"/>
        <v>0.43826399999999999</v>
      </c>
      <c r="BB27" s="386">
        <f t="shared" si="57"/>
        <v>1.794321159670432</v>
      </c>
      <c r="BC27">
        <f t="shared" si="39"/>
        <v>48</v>
      </c>
      <c r="BD27" s="604">
        <f t="shared" si="50"/>
        <v>0.96396534548755541</v>
      </c>
      <c r="BE27" s="614">
        <f t="shared" si="40"/>
        <v>9.8581106836906862</v>
      </c>
      <c r="BF27" s="614">
        <f t="shared" si="41"/>
        <v>17.629948351728821</v>
      </c>
      <c r="BG27" s="9"/>
      <c r="BH27" s="4">
        <f t="shared" si="51"/>
        <v>96.39653454875554</v>
      </c>
      <c r="BI27" s="386">
        <f t="shared" si="52"/>
        <v>0.30561359202819788</v>
      </c>
      <c r="BJ27" s="386">
        <f t="shared" si="53"/>
        <v>0.88486020909674445</v>
      </c>
      <c r="BK27" s="386">
        <f t="shared" si="54"/>
        <v>0.12180508648834307</v>
      </c>
      <c r="BL27" s="386">
        <f t="shared" si="55"/>
        <v>4.6547837168531239E-2</v>
      </c>
      <c r="BP27" t="s">
        <v>155</v>
      </c>
      <c r="BQ27">
        <v>9.9986669999999993</v>
      </c>
      <c r="BR27">
        <v>0.1166</v>
      </c>
      <c r="BS27">
        <v>5.1212980000000003</v>
      </c>
      <c r="BT27">
        <v>64.729420570558148</v>
      </c>
      <c r="BU27">
        <v>325.37886459483997</v>
      </c>
    </row>
    <row r="28" spans="1:82" x14ac:dyDescent="0.2">
      <c r="A28" s="22" t="s">
        <v>150</v>
      </c>
      <c r="B28" s="5">
        <f>RdsonDRT2</f>
        <v>1</v>
      </c>
      <c r="C28" s="486" t="s">
        <v>120</v>
      </c>
      <c r="D28" s="482" t="s">
        <v>717</v>
      </c>
      <c r="G28">
        <v>19</v>
      </c>
      <c r="H28" s="610">
        <f t="shared" si="0"/>
        <v>11.565</v>
      </c>
      <c r="I28" s="445" t="str">
        <f t="shared" si="1"/>
        <v>BUCK-BST</v>
      </c>
      <c r="J28">
        <f t="shared" si="43"/>
        <v>3</v>
      </c>
      <c r="K28">
        <f t="shared" si="2"/>
        <v>4</v>
      </c>
      <c r="L28" s="4">
        <f t="shared" si="3"/>
        <v>4.6116155065571407</v>
      </c>
      <c r="M28" s="4">
        <f t="shared" si="4"/>
        <v>4.3943398156711773</v>
      </c>
      <c r="N28" s="386">
        <f t="shared" si="5"/>
        <v>0.94450000000000001</v>
      </c>
      <c r="O28" s="386">
        <f t="shared" si="44"/>
        <v>8.9738125000000071E-2</v>
      </c>
      <c r="P28" s="4">
        <f t="shared" si="6"/>
        <v>1.1754028917603556</v>
      </c>
      <c r="Q28" s="386">
        <f t="shared" si="7"/>
        <v>4.4074202672413199</v>
      </c>
      <c r="R28" s="386">
        <f t="shared" si="8"/>
        <v>0.2617846999312099</v>
      </c>
      <c r="S28" s="386">
        <f t="shared" si="45"/>
        <v>2.9528882316544099E-2</v>
      </c>
      <c r="T28" s="386">
        <f t="shared" si="46"/>
        <v>0.291313582247754</v>
      </c>
      <c r="U28" s="4">
        <f t="shared" si="9"/>
        <v>1.2604401797264444</v>
      </c>
      <c r="V28" s="386">
        <f t="shared" si="10"/>
        <v>4.2895155060058449E-2</v>
      </c>
      <c r="W28" s="386">
        <f t="shared" si="47"/>
        <v>4.2895155060058449E-2</v>
      </c>
      <c r="X28" s="386">
        <f t="shared" si="11"/>
        <v>0.33930958798205296</v>
      </c>
      <c r="Y28" s="386">
        <f t="shared" si="12"/>
        <v>3.6841918878896172E-3</v>
      </c>
      <c r="Z28" s="603">
        <f t="shared" si="48"/>
        <v>3.6841918878896172E-3</v>
      </c>
      <c r="AA28" s="386">
        <f t="shared" si="13"/>
        <v>4.2833685689791601</v>
      </c>
      <c r="AB28" s="386">
        <f t="shared" si="14"/>
        <v>0.18347246297718578</v>
      </c>
      <c r="AC28" s="386">
        <f t="shared" si="15"/>
        <v>0.1021197583909733</v>
      </c>
      <c r="AD28">
        <f t="shared" si="16"/>
        <v>0</v>
      </c>
      <c r="AE28" s="386">
        <f t="shared" si="17"/>
        <v>0.29828907836594176</v>
      </c>
      <c r="AF28" s="386">
        <f t="shared" si="18"/>
        <v>1.0383193701222038</v>
      </c>
      <c r="AG28" s="386">
        <f t="shared" si="19"/>
        <v>1.07810711437097E-2</v>
      </c>
      <c r="AH28" s="386">
        <f t="shared" si="20"/>
        <v>9.6199999999999994E-2</v>
      </c>
      <c r="AI28" s="386">
        <f t="shared" si="21"/>
        <v>0.10724932406525374</v>
      </c>
      <c r="AJ28" s="386">
        <f t="shared" si="22"/>
        <v>1.3203010235030759</v>
      </c>
      <c r="AK28" s="386">
        <f t="shared" si="23"/>
        <v>1.7431947926632697E-2</v>
      </c>
      <c r="AL28" s="386">
        <f t="shared" si="24"/>
        <v>0.10612653575380041</v>
      </c>
      <c r="AM28">
        <f t="shared" si="25"/>
        <v>0</v>
      </c>
      <c r="AN28" s="386">
        <f t="shared" si="26"/>
        <v>0.12406020945819493</v>
      </c>
      <c r="AO28" s="386">
        <f t="shared" si="27"/>
        <v>4.205015888130065</v>
      </c>
      <c r="AP28" s="386">
        <f t="shared" si="28"/>
        <v>0.17682158619426278</v>
      </c>
      <c r="AQ28" s="386">
        <f t="shared" si="29"/>
        <v>0.11090935293269923</v>
      </c>
      <c r="AR28" s="386">
        <f t="shared" si="30"/>
        <v>0.30003933515680065</v>
      </c>
      <c r="AS28" s="386">
        <f t="shared" si="31"/>
        <v>0</v>
      </c>
      <c r="AT28" s="386">
        <f t="shared" si="32"/>
        <v>0</v>
      </c>
      <c r="AU28" s="386">
        <f t="shared" si="33"/>
        <v>4.3521249999999997E-2</v>
      </c>
      <c r="AV28" s="386">
        <f t="shared" si="34"/>
        <v>4.2319528605513593E-2</v>
      </c>
      <c r="AW28" s="386">
        <f t="shared" si="35"/>
        <v>6.5920000000000006E-2</v>
      </c>
      <c r="AX28" s="386">
        <f t="shared" si="36"/>
        <v>3.6000000000000004E-2</v>
      </c>
      <c r="AY28" s="386">
        <f t="shared" si="37"/>
        <v>0.40226399999999995</v>
      </c>
      <c r="AZ28" s="386">
        <f t="shared" si="38"/>
        <v>0.30415082926829268</v>
      </c>
      <c r="BA28" s="386">
        <f t="shared" si="56"/>
        <v>0.43826399999999999</v>
      </c>
      <c r="BB28" s="386">
        <f t="shared" si="57"/>
        <v>1.7575556548474067</v>
      </c>
      <c r="BC28">
        <f t="shared" si="39"/>
        <v>48</v>
      </c>
      <c r="BD28" s="604">
        <f t="shared" si="50"/>
        <v>0.96467761264160523</v>
      </c>
      <c r="BE28" s="614">
        <f t="shared" si="40"/>
        <v>9.7197246485753048</v>
      </c>
      <c r="BF28" s="614">
        <f t="shared" si="41"/>
        <v>17.402281439094438</v>
      </c>
      <c r="BG28" s="9"/>
      <c r="BH28" s="4">
        <f t="shared" si="51"/>
        <v>96.467761264160529</v>
      </c>
      <c r="BI28" s="386">
        <f t="shared" si="52"/>
        <v>0.291313582247754</v>
      </c>
      <c r="BJ28" s="386">
        <f t="shared" si="53"/>
        <v>0.87315919704619094</v>
      </c>
      <c r="BK28" s="386">
        <f t="shared" si="54"/>
        <v>0.12161133656525375</v>
      </c>
      <c r="BL28" s="386">
        <f t="shared" si="55"/>
        <v>4.2319528605513593E-2</v>
      </c>
      <c r="BP28" t="s">
        <v>156</v>
      </c>
      <c r="BQ28">
        <v>9.9987659999999998</v>
      </c>
      <c r="BR28">
        <v>0.14660000000000001</v>
      </c>
      <c r="BS28">
        <v>5.1213230000000003</v>
      </c>
      <c r="BT28">
        <v>69.885376918691776</v>
      </c>
      <c r="BU28">
        <v>323.52446193379996</v>
      </c>
    </row>
    <row r="29" spans="1:82" x14ac:dyDescent="0.2">
      <c r="A29" s="24" t="s">
        <v>117</v>
      </c>
      <c r="B29" s="15" t="s">
        <v>115</v>
      </c>
      <c r="C29" s="24" t="s">
        <v>80</v>
      </c>
      <c r="D29" s="17" t="s">
        <v>111</v>
      </c>
      <c r="G29">
        <v>20</v>
      </c>
      <c r="H29" s="610">
        <f t="shared" si="0"/>
        <v>11.7</v>
      </c>
      <c r="I29" s="445" t="str">
        <f t="shared" si="1"/>
        <v>BUCK-BST</v>
      </c>
      <c r="J29">
        <f t="shared" si="43"/>
        <v>3</v>
      </c>
      <c r="K29">
        <f t="shared" si="2"/>
        <v>4</v>
      </c>
      <c r="L29" s="4">
        <f t="shared" si="3"/>
        <v>4.5584045584045585</v>
      </c>
      <c r="M29" s="4">
        <f t="shared" si="4"/>
        <v>4.3436358947211255</v>
      </c>
      <c r="N29" s="386">
        <f t="shared" si="5"/>
        <v>0.94450000000000001</v>
      </c>
      <c r="O29" s="386">
        <f t="shared" si="44"/>
        <v>7.9112500000000072E-2</v>
      </c>
      <c r="P29" s="4">
        <f t="shared" si="6"/>
        <v>1.0486950051524528</v>
      </c>
      <c r="Q29" s="386">
        <f t="shared" si="7"/>
        <v>4.3541726600732202</v>
      </c>
      <c r="R29" s="386">
        <f t="shared" si="8"/>
        <v>0.25536903735600125</v>
      </c>
      <c r="S29" s="386">
        <f t="shared" si="45"/>
        <v>2.2704528189649881E-2</v>
      </c>
      <c r="T29" s="386">
        <f t="shared" si="46"/>
        <v>0.2780735655456511</v>
      </c>
      <c r="U29" s="4">
        <f t="shared" si="9"/>
        <v>1.1757622458001333</v>
      </c>
      <c r="V29" s="386">
        <f t="shared" si="10"/>
        <v>3.7325255183522275E-2</v>
      </c>
      <c r="W29" s="386">
        <f t="shared" si="47"/>
        <v>3.7325255183522275E-2</v>
      </c>
      <c r="X29" s="386">
        <f t="shared" si="11"/>
        <v>0.30273217176129236</v>
      </c>
      <c r="Y29" s="386">
        <f t="shared" si="12"/>
        <v>2.9326965702178758E-3</v>
      </c>
      <c r="Z29" s="603">
        <f t="shared" si="48"/>
        <v>2.9326965702178758E-3</v>
      </c>
      <c r="AA29" s="386">
        <f t="shared" si="13"/>
        <v>4.2316196743678587</v>
      </c>
      <c r="AB29" s="386">
        <f t="shared" si="14"/>
        <v>0.17906605068497145</v>
      </c>
      <c r="AC29" s="386">
        <f t="shared" si="15"/>
        <v>0.1021197583909733</v>
      </c>
      <c r="AD29">
        <f t="shared" si="16"/>
        <v>0</v>
      </c>
      <c r="AE29" s="386">
        <f t="shared" si="17"/>
        <v>0.29337352020824814</v>
      </c>
      <c r="AF29" s="386">
        <f t="shared" si="18"/>
        <v>1.0257750656123228</v>
      </c>
      <c r="AG29" s="386">
        <f t="shared" si="19"/>
        <v>1.0522144852319651E-2</v>
      </c>
      <c r="AH29" s="386">
        <f t="shared" si="20"/>
        <v>9.6199999999999994E-2</v>
      </c>
      <c r="AI29" s="386">
        <f t="shared" si="21"/>
        <v>0.10698330582335122</v>
      </c>
      <c r="AJ29" s="386">
        <f t="shared" si="22"/>
        <v>1.2246957221875134</v>
      </c>
      <c r="AK29" s="386">
        <f t="shared" si="23"/>
        <v>1.4998796119443951E-2</v>
      </c>
      <c r="AL29" s="386">
        <f t="shared" si="24"/>
        <v>0.10612653575380041</v>
      </c>
      <c r="AM29">
        <f t="shared" si="25"/>
        <v>0</v>
      </c>
      <c r="AN29" s="386">
        <f t="shared" si="26"/>
        <v>0.12154828595991346</v>
      </c>
      <c r="AO29" s="386">
        <f t="shared" si="27"/>
        <v>4.1783896349891441</v>
      </c>
      <c r="AP29" s="386">
        <f t="shared" si="28"/>
        <v>0.17458939941784712</v>
      </c>
      <c r="AQ29" s="386">
        <f t="shared" si="29"/>
        <v>0.10962962962962962</v>
      </c>
      <c r="AR29" s="386">
        <f t="shared" si="30"/>
        <v>0.29621723117677895</v>
      </c>
      <c r="AS29" s="386">
        <f t="shared" si="31"/>
        <v>0</v>
      </c>
      <c r="AT29" s="386">
        <f t="shared" si="32"/>
        <v>0</v>
      </c>
      <c r="AU29" s="386">
        <f t="shared" si="33"/>
        <v>4.3771000000000004E-2</v>
      </c>
      <c r="AV29" s="386">
        <f t="shared" si="34"/>
        <v>3.8281411457645402E-2</v>
      </c>
      <c r="AW29" s="386">
        <f t="shared" si="35"/>
        <v>6.5920000000000006E-2</v>
      </c>
      <c r="AX29" s="386">
        <f t="shared" si="36"/>
        <v>3.6000000000000004E-2</v>
      </c>
      <c r="AY29" s="386">
        <f t="shared" si="37"/>
        <v>0.40226399999999995</v>
      </c>
      <c r="AZ29" s="386">
        <f t="shared" si="38"/>
        <v>0.30415082926829268</v>
      </c>
      <c r="BA29" s="386">
        <f t="shared" si="56"/>
        <v>0.43826399999999999</v>
      </c>
      <c r="BB29" s="386">
        <f t="shared" si="57"/>
        <v>1.7226902719253283</v>
      </c>
      <c r="BC29">
        <f t="shared" si="39"/>
        <v>48</v>
      </c>
      <c r="BD29" s="604">
        <f t="shared" si="50"/>
        <v>0.96535404133396208</v>
      </c>
      <c r="BE29" s="614">
        <f t="shared" si="40"/>
        <v>9.5885185856749811</v>
      </c>
      <c r="BF29" s="614">
        <f t="shared" si="41"/>
        <v>17.18059940825318</v>
      </c>
      <c r="BG29" s="9"/>
      <c r="BH29" s="4">
        <f t="shared" si="51"/>
        <v>96.535404133396213</v>
      </c>
      <c r="BI29" s="386">
        <f t="shared" si="52"/>
        <v>0.2780735655456511</v>
      </c>
      <c r="BJ29" s="386">
        <f t="shared" si="53"/>
        <v>0.8618933431682918</v>
      </c>
      <c r="BK29" s="386">
        <f t="shared" si="54"/>
        <v>0.12142773582335123</v>
      </c>
      <c r="BL29" s="386">
        <f t="shared" si="55"/>
        <v>3.8281411457645402E-2</v>
      </c>
      <c r="BP29" t="s">
        <v>157</v>
      </c>
      <c r="BQ29">
        <v>9.9987899999999996</v>
      </c>
      <c r="BR29">
        <v>0.1958</v>
      </c>
      <c r="BS29">
        <v>5.1217600000000001</v>
      </c>
      <c r="BT29">
        <v>75.662516566515876</v>
      </c>
      <c r="BU29">
        <v>322.57199766699983</v>
      </c>
    </row>
    <row r="30" spans="1:82" x14ac:dyDescent="0.2">
      <c r="A30" s="22" t="s">
        <v>64</v>
      </c>
      <c r="B30" s="27">
        <f>RdsonDRB</f>
        <v>1.5</v>
      </c>
      <c r="C30" s="486" t="s">
        <v>120</v>
      </c>
      <c r="D30" s="482" t="s">
        <v>716</v>
      </c>
      <c r="G30">
        <v>21</v>
      </c>
      <c r="H30" s="610">
        <f t="shared" si="0"/>
        <v>11.835000000000001</v>
      </c>
      <c r="I30" s="445" t="str">
        <f t="shared" si="1"/>
        <v>BUCK-BST</v>
      </c>
      <c r="J30">
        <f t="shared" si="43"/>
        <v>3</v>
      </c>
      <c r="K30">
        <f t="shared" si="2"/>
        <v>4</v>
      </c>
      <c r="L30" s="4">
        <f t="shared" si="3"/>
        <v>4.5064075482326436</v>
      </c>
      <c r="M30" s="4">
        <f t="shared" si="4"/>
        <v>4.2940887172147999</v>
      </c>
      <c r="N30" s="386">
        <f t="shared" si="5"/>
        <v>0.94450000000000001</v>
      </c>
      <c r="O30" s="386">
        <f t="shared" si="44"/>
        <v>6.8486874999999905E-2</v>
      </c>
      <c r="P30" s="4">
        <f t="shared" si="6"/>
        <v>0.91863428222383325</v>
      </c>
      <c r="Q30" s="386">
        <f t="shared" si="7"/>
        <v>4.3022693999815793</v>
      </c>
      <c r="R30" s="386">
        <f t="shared" si="8"/>
        <v>0.24919649879467057</v>
      </c>
      <c r="S30" s="386">
        <f t="shared" si="45"/>
        <v>1.6734679083079854E-2</v>
      </c>
      <c r="T30" s="386">
        <f t="shared" si="46"/>
        <v>0.26593117787775045</v>
      </c>
      <c r="U30" s="4">
        <f t="shared" si="9"/>
        <v>1.0869798748749766</v>
      </c>
      <c r="V30" s="386">
        <f t="shared" si="10"/>
        <v>3.1901181706346933E-2</v>
      </c>
      <c r="W30" s="386">
        <f t="shared" si="47"/>
        <v>3.1901181706346933E-2</v>
      </c>
      <c r="X30" s="386">
        <f t="shared" si="11"/>
        <v>0.26518687506437438</v>
      </c>
      <c r="Y30" s="386">
        <f t="shared" si="12"/>
        <v>2.2503705186050597E-3</v>
      </c>
      <c r="Z30" s="603">
        <f t="shared" si="48"/>
        <v>2.2503705186050597E-3</v>
      </c>
      <c r="AA30" s="386">
        <f t="shared" si="13"/>
        <v>4.1811772887037293</v>
      </c>
      <c r="AB30" s="386">
        <f t="shared" si="14"/>
        <v>0.17482243519571872</v>
      </c>
      <c r="AC30" s="386">
        <f t="shared" si="15"/>
        <v>0.1021197583909733</v>
      </c>
      <c r="AD30">
        <f t="shared" si="16"/>
        <v>0</v>
      </c>
      <c r="AE30" s="386">
        <f t="shared" si="17"/>
        <v>0.2886494711921419</v>
      </c>
      <c r="AF30" s="386">
        <f t="shared" si="18"/>
        <v>1.013547468274669</v>
      </c>
      <c r="AG30" s="386">
        <f t="shared" si="19"/>
        <v>1.0272784704459912E-2</v>
      </c>
      <c r="AH30" s="386">
        <f t="shared" si="20"/>
        <v>9.6199999999999994E-2</v>
      </c>
      <c r="AI30" s="386">
        <f t="shared" si="21"/>
        <v>0.10672714602288569</v>
      </c>
      <c r="AJ30" s="386">
        <f t="shared" si="22"/>
        <v>1.1259037786774244</v>
      </c>
      <c r="AK30" s="386">
        <f t="shared" si="23"/>
        <v>1.2676593188401027E-2</v>
      </c>
      <c r="AL30" s="386">
        <f t="shared" si="24"/>
        <v>0.10612653575380041</v>
      </c>
      <c r="AM30">
        <f t="shared" si="25"/>
        <v>0</v>
      </c>
      <c r="AN30" s="386">
        <f t="shared" si="26"/>
        <v>0.11915355593027267</v>
      </c>
      <c r="AO30" s="386">
        <f t="shared" si="27"/>
        <v>4.152332196630919</v>
      </c>
      <c r="AP30" s="386">
        <f t="shared" si="28"/>
        <v>0.17241862671177752</v>
      </c>
      <c r="AQ30" s="386">
        <f t="shared" si="29"/>
        <v>0.10837910153499507</v>
      </c>
      <c r="AR30" s="386">
        <f t="shared" si="30"/>
        <v>0.29249797526371174</v>
      </c>
      <c r="AS30" s="386">
        <f t="shared" si="31"/>
        <v>0</v>
      </c>
      <c r="AT30" s="386">
        <f t="shared" si="32"/>
        <v>0</v>
      </c>
      <c r="AU30" s="386">
        <f t="shared" si="33"/>
        <v>4.4020750000000004E-2</v>
      </c>
      <c r="AV30" s="386">
        <f t="shared" si="34"/>
        <v>3.4424066839291403E-2</v>
      </c>
      <c r="AW30" s="386">
        <f t="shared" si="35"/>
        <v>6.5920000000000006E-2</v>
      </c>
      <c r="AX30" s="386">
        <f t="shared" si="36"/>
        <v>3.6000000000000004E-2</v>
      </c>
      <c r="AY30" s="386">
        <f t="shared" si="37"/>
        <v>0.40226399999999995</v>
      </c>
      <c r="AZ30" s="386">
        <f t="shared" si="38"/>
        <v>0.30415082926829268</v>
      </c>
      <c r="BA30" s="386">
        <f t="shared" si="56"/>
        <v>0.43826399999999999</v>
      </c>
      <c r="BB30" s="386">
        <f t="shared" si="57"/>
        <v>1.689739695351006</v>
      </c>
      <c r="BC30">
        <f t="shared" si="39"/>
        <v>48</v>
      </c>
      <c r="BD30" s="604">
        <f t="shared" si="50"/>
        <v>0.96599419305251255</v>
      </c>
      <c r="BE30" s="614">
        <f t="shared" si="40"/>
        <v>9.4641097439558148</v>
      </c>
      <c r="BF30" s="614">
        <f t="shared" si="41"/>
        <v>16.96488256529528</v>
      </c>
      <c r="BG30" s="9"/>
      <c r="BH30" s="4">
        <f t="shared" si="51"/>
        <v>96.59941930525126</v>
      </c>
      <c r="BI30" s="386">
        <f t="shared" si="52"/>
        <v>0.26593117787775045</v>
      </c>
      <c r="BJ30" s="386">
        <f t="shared" si="53"/>
        <v>0.8510488984090121</v>
      </c>
      <c r="BK30" s="386">
        <f t="shared" si="54"/>
        <v>0.12125399352288568</v>
      </c>
      <c r="BL30" s="386">
        <f t="shared" si="55"/>
        <v>3.4424066839291403E-2</v>
      </c>
      <c r="BQ30">
        <v>9.9987659999999998</v>
      </c>
      <c r="BR30">
        <v>0.2681</v>
      </c>
      <c r="BS30">
        <v>5.1224080000000001</v>
      </c>
      <c r="BT30">
        <v>80.957553445887683</v>
      </c>
      <c r="BU30">
        <v>323.02506068319997</v>
      </c>
    </row>
    <row r="31" spans="1:82" x14ac:dyDescent="0.2">
      <c r="A31" s="22" t="s">
        <v>149</v>
      </c>
      <c r="B31" s="27">
        <v>1</v>
      </c>
      <c r="C31" s="486" t="s">
        <v>120</v>
      </c>
      <c r="D31" s="482" t="s">
        <v>715</v>
      </c>
      <c r="G31">
        <v>22</v>
      </c>
      <c r="H31" s="610">
        <f t="shared" si="0"/>
        <v>11.97</v>
      </c>
      <c r="I31" s="445" t="str">
        <f t="shared" si="1"/>
        <v>BUCK-BST</v>
      </c>
      <c r="J31">
        <f t="shared" si="43"/>
        <v>3</v>
      </c>
      <c r="K31">
        <f t="shared" si="2"/>
        <v>4</v>
      </c>
      <c r="L31" s="4">
        <f t="shared" si="3"/>
        <v>4.4555834029518238</v>
      </c>
      <c r="M31" s="4">
        <f t="shared" si="4"/>
        <v>4.2456591452161367</v>
      </c>
      <c r="N31" s="386">
        <f t="shared" si="5"/>
        <v>0.94450000000000001</v>
      </c>
      <c r="O31" s="386">
        <f t="shared" si="44"/>
        <v>5.7861249999999899E-2</v>
      </c>
      <c r="P31" s="4">
        <f t="shared" si="6"/>
        <v>0.78522252745066168</v>
      </c>
      <c r="Q31" s="386">
        <f t="shared" si="7"/>
        <v>4.2517058669227596</v>
      </c>
      <c r="R31" s="386">
        <f t="shared" si="8"/>
        <v>0.24326010544430687</v>
      </c>
      <c r="S31" s="386">
        <f t="shared" si="45"/>
        <v>1.1657355033634235E-2</v>
      </c>
      <c r="T31" s="386">
        <f t="shared" si="46"/>
        <v>0.25491746047794112</v>
      </c>
      <c r="U31" s="4">
        <f t="shared" si="9"/>
        <v>0.99287065943794939</v>
      </c>
      <c r="V31" s="386">
        <f t="shared" si="10"/>
        <v>2.6616387952064207E-2</v>
      </c>
      <c r="W31" s="386">
        <f t="shared" si="47"/>
        <v>2.6616387952064207E-2</v>
      </c>
      <c r="X31" s="386">
        <f t="shared" si="11"/>
        <v>0.22667421879869892</v>
      </c>
      <c r="Y31" s="386">
        <f t="shared" si="12"/>
        <v>1.6441984469760139E-3</v>
      </c>
      <c r="Z31" s="603">
        <f t="shared" si="48"/>
        <v>1.6441984469760139E-3</v>
      </c>
      <c r="AA31" s="386">
        <f t="shared" si="13"/>
        <v>4.1320369219793527</v>
      </c>
      <c r="AB31" s="386">
        <f t="shared" si="14"/>
        <v>0.17073729124600603</v>
      </c>
      <c r="AC31" s="386">
        <f t="shared" si="15"/>
        <v>0.1021197583909733</v>
      </c>
      <c r="AD31">
        <f t="shared" si="16"/>
        <v>0</v>
      </c>
      <c r="AE31" s="386">
        <f t="shared" si="17"/>
        <v>0.2841109844951572</v>
      </c>
      <c r="AF31" s="386">
        <f t="shared" si="18"/>
        <v>1.0016354896991273</v>
      </c>
      <c r="AG31" s="386">
        <f t="shared" si="19"/>
        <v>1.0032736542248106E-2</v>
      </c>
      <c r="AH31" s="386">
        <f t="shared" si="20"/>
        <v>9.6199999999999994E-2</v>
      </c>
      <c r="AI31" s="386">
        <f t="shared" si="21"/>
        <v>0.10648058019529601</v>
      </c>
      <c r="AJ31" s="386">
        <f t="shared" si="22"/>
        <v>1.0227208695613432</v>
      </c>
      <c r="AK31" s="386">
        <f t="shared" si="23"/>
        <v>1.0459579770363102E-2</v>
      </c>
      <c r="AL31" s="386">
        <f t="shared" si="24"/>
        <v>0.10612653575380041</v>
      </c>
      <c r="AM31">
        <f t="shared" si="25"/>
        <v>0</v>
      </c>
      <c r="AN31" s="386">
        <f t="shared" si="26"/>
        <v>0.11686971420300295</v>
      </c>
      <c r="AO31" s="386">
        <f t="shared" si="27"/>
        <v>4.1268686436315249</v>
      </c>
      <c r="AP31" s="386">
        <f t="shared" si="28"/>
        <v>0.17031044801789105</v>
      </c>
      <c r="AQ31" s="386">
        <f t="shared" si="29"/>
        <v>0.10715678084099135</v>
      </c>
      <c r="AR31" s="386">
        <f t="shared" si="30"/>
        <v>0.28888152249143106</v>
      </c>
      <c r="AS31" s="386">
        <f t="shared" si="31"/>
        <v>0</v>
      </c>
      <c r="AT31" s="386">
        <f t="shared" si="32"/>
        <v>0</v>
      </c>
      <c r="AU31" s="386">
        <f t="shared" si="33"/>
        <v>4.4270500000000004E-2</v>
      </c>
      <c r="AV31" s="386">
        <f t="shared" si="34"/>
        <v>3.0738474468916806E-2</v>
      </c>
      <c r="AW31" s="386">
        <f t="shared" si="35"/>
        <v>6.5920000000000006E-2</v>
      </c>
      <c r="AX31" s="386">
        <f t="shared" si="36"/>
        <v>3.6000000000000004E-2</v>
      </c>
      <c r="AY31" s="386">
        <f t="shared" si="37"/>
        <v>0.40226399999999995</v>
      </c>
      <c r="AZ31" s="386">
        <f t="shared" si="38"/>
        <v>0.30415082926829268</v>
      </c>
      <c r="BA31" s="386">
        <f t="shared" si="56"/>
        <v>0.43826399999999999</v>
      </c>
      <c r="BB31" s="386">
        <f t="shared" si="57"/>
        <v>1.6587138227307856</v>
      </c>
      <c r="BC31">
        <f t="shared" si="39"/>
        <v>48</v>
      </c>
      <c r="BD31" s="604">
        <f t="shared" si="50"/>
        <v>0.96659772887691009</v>
      </c>
      <c r="BE31" s="614">
        <f t="shared" si="40"/>
        <v>9.3461324237741721</v>
      </c>
      <c r="BF31" s="614">
        <f t="shared" si="41"/>
        <v>16.755128304503003</v>
      </c>
      <c r="BG31" s="9"/>
      <c r="BH31" s="4">
        <f t="shared" si="51"/>
        <v>96.659772887691005</v>
      </c>
      <c r="BI31" s="386">
        <f t="shared" si="52"/>
        <v>0.25491746047794112</v>
      </c>
      <c r="BJ31" s="386">
        <f t="shared" si="53"/>
        <v>0.84061330138488721</v>
      </c>
      <c r="BK31" s="386">
        <f t="shared" si="54"/>
        <v>0.121089845195296</v>
      </c>
      <c r="BL31" s="386">
        <f t="shared" si="55"/>
        <v>3.0738474468916806E-2</v>
      </c>
      <c r="BQ31">
        <v>9.998704</v>
      </c>
      <c r="BR31">
        <v>0.36549999999999999</v>
      </c>
      <c r="BS31">
        <v>5.123094</v>
      </c>
      <c r="BT31">
        <v>85.419022273213088</v>
      </c>
      <c r="BU31">
        <v>319.63300692320018</v>
      </c>
    </row>
    <row r="32" spans="1:82" x14ac:dyDescent="0.2">
      <c r="A32" s="24" t="s">
        <v>66</v>
      </c>
      <c r="B32" s="15" t="s">
        <v>115</v>
      </c>
      <c r="C32" s="24" t="s">
        <v>80</v>
      </c>
      <c r="D32" s="17" t="s">
        <v>111</v>
      </c>
      <c r="G32">
        <v>23</v>
      </c>
      <c r="H32" s="610">
        <f t="shared" si="0"/>
        <v>12.105</v>
      </c>
      <c r="I32" s="445" t="str">
        <f t="shared" si="1"/>
        <v>BUCK-BST</v>
      </c>
      <c r="J32">
        <f t="shared" si="43"/>
        <v>3</v>
      </c>
      <c r="K32">
        <f t="shared" si="2"/>
        <v>4</v>
      </c>
      <c r="L32" s="4">
        <f t="shared" si="3"/>
        <v>4.4058928817293124</v>
      </c>
      <c r="M32" s="4">
        <f t="shared" si="4"/>
        <v>4.2350449973530973</v>
      </c>
      <c r="N32" s="386">
        <f t="shared" si="5"/>
        <v>0.93630731102850051</v>
      </c>
      <c r="O32" s="386">
        <f t="shared" si="44"/>
        <v>5.5500000000000001E-2</v>
      </c>
      <c r="P32" s="4">
        <f t="shared" si="6"/>
        <v>1.3137376876995626E-2</v>
      </c>
      <c r="Q32" s="386">
        <f t="shared" si="7"/>
        <v>4.2350466953932671</v>
      </c>
      <c r="R32" s="386">
        <f t="shared" si="8"/>
        <v>0.24132081059597757</v>
      </c>
      <c r="S32" s="386">
        <f t="shared" si="45"/>
        <v>9.4098061323161655E-7</v>
      </c>
      <c r="T32" s="386">
        <f t="shared" si="46"/>
        <v>0.2413217515765908</v>
      </c>
      <c r="U32" s="4">
        <f t="shared" si="9"/>
        <v>3.7924340381894953E-3</v>
      </c>
      <c r="V32" s="386">
        <f t="shared" si="10"/>
        <v>3.8832901021849362E-7</v>
      </c>
      <c r="W32" s="386">
        <f t="shared" si="47"/>
        <v>3.8832901021849362E-7</v>
      </c>
      <c r="X32" s="386">
        <f t="shared" si="11"/>
        <v>0.97681919678432472</v>
      </c>
      <c r="Y32" s="386">
        <f t="shared" si="12"/>
        <v>3.0533623782603946E-2</v>
      </c>
      <c r="Z32" s="603">
        <f t="shared" si="48"/>
        <v>3.0533623782603946E-2</v>
      </c>
      <c r="AA32" s="386">
        <f t="shared" si="13"/>
        <v>4.0979571268339896</v>
      </c>
      <c r="AB32" s="386">
        <f t="shared" si="14"/>
        <v>0.16793252613369486</v>
      </c>
      <c r="AC32" s="386">
        <f t="shared" si="15"/>
        <v>0.10301330627689433</v>
      </c>
      <c r="AD32">
        <f t="shared" si="16"/>
        <v>0</v>
      </c>
      <c r="AE32" s="386">
        <f t="shared" si="17"/>
        <v>0.28192991964549635</v>
      </c>
      <c r="AF32" s="386">
        <f t="shared" si="18"/>
        <v>1.0688161201965212</v>
      </c>
      <c r="AG32" s="386">
        <f t="shared" si="19"/>
        <v>1.1423678987919444E-2</v>
      </c>
      <c r="AH32" s="386">
        <f t="shared" si="20"/>
        <v>9.6199999999999994E-2</v>
      </c>
      <c r="AI32" s="386">
        <f t="shared" si="21"/>
        <v>0.10790967129104828</v>
      </c>
      <c r="AJ32" s="386">
        <f t="shared" si="22"/>
        <v>0.99771084910657326</v>
      </c>
      <c r="AK32" s="386">
        <f t="shared" si="23"/>
        <v>9.9542693842495939E-3</v>
      </c>
      <c r="AL32" s="386">
        <f t="shared" si="24"/>
        <v>0.10612653575380041</v>
      </c>
      <c r="AM32">
        <f t="shared" si="25"/>
        <v>0</v>
      </c>
      <c r="AN32" s="386">
        <f t="shared" si="26"/>
        <v>0.11634950157132649</v>
      </c>
      <c r="AO32" s="386">
        <f t="shared" si="27"/>
        <v>4.1158466411828893</v>
      </c>
      <c r="AP32" s="386">
        <f t="shared" si="28"/>
        <v>0.16940193573736473</v>
      </c>
      <c r="AQ32" s="386">
        <f t="shared" si="29"/>
        <v>0.10596172380558995</v>
      </c>
      <c r="AR32" s="386">
        <f t="shared" si="30"/>
        <v>0.28662851833879144</v>
      </c>
      <c r="AS32" s="386">
        <f t="shared" si="31"/>
        <v>0</v>
      </c>
      <c r="AT32" s="386">
        <f t="shared" si="32"/>
        <v>0</v>
      </c>
      <c r="AU32" s="386">
        <f t="shared" si="33"/>
        <v>4.4520250000000004E-2</v>
      </c>
      <c r="AV32" s="386">
        <f t="shared" si="34"/>
        <v>3.2066922558253552E-2</v>
      </c>
      <c r="AW32" s="386">
        <f t="shared" si="35"/>
        <v>6.5920000000000006E-2</v>
      </c>
      <c r="AX32" s="386">
        <f t="shared" si="36"/>
        <v>3.6000000000000004E-2</v>
      </c>
      <c r="AY32" s="386">
        <f t="shared" si="37"/>
        <v>0.40226399999999995</v>
      </c>
      <c r="AZ32" s="386">
        <f t="shared" si="38"/>
        <v>0.30415082926829268</v>
      </c>
      <c r="BA32" s="386">
        <f t="shared" si="56"/>
        <v>0.43826399999999999</v>
      </c>
      <c r="BB32" s="386">
        <f t="shared" si="57"/>
        <v>1.6454445470931209</v>
      </c>
      <c r="BC32">
        <f t="shared" si="39"/>
        <v>48</v>
      </c>
      <c r="BD32" s="604">
        <f t="shared" si="50"/>
        <v>0.96685608192042127</v>
      </c>
      <c r="BE32" s="614">
        <f t="shared" si="40"/>
        <v>18.934109839438786</v>
      </c>
      <c r="BF32" s="614">
        <f t="shared" si="41"/>
        <v>6.2587609348808</v>
      </c>
      <c r="BG32" s="9"/>
      <c r="BH32" s="4">
        <f t="shared" si="51"/>
        <v>96.685608192042125</v>
      </c>
      <c r="BI32" s="386">
        <f t="shared" si="52"/>
        <v>0.2413217515765908</v>
      </c>
      <c r="BJ32" s="386">
        <f t="shared" si="53"/>
        <v>0.83733786084666262</v>
      </c>
      <c r="BK32" s="386">
        <f t="shared" si="54"/>
        <v>0.12260135379104828</v>
      </c>
      <c r="BL32" s="386">
        <f t="shared" si="55"/>
        <v>3.2066922558253552E-2</v>
      </c>
      <c r="BQ32">
        <v>9.9987290000000009</v>
      </c>
      <c r="BR32">
        <v>0.49059999999999998</v>
      </c>
      <c r="BS32">
        <v>5.1238169999999998</v>
      </c>
      <c r="BT32">
        <v>88.551850267052174</v>
      </c>
      <c r="BU32">
        <v>324.98153184230057</v>
      </c>
    </row>
    <row r="33" spans="1:73" x14ac:dyDescent="0.2">
      <c r="A33" s="22" t="s">
        <v>66</v>
      </c>
      <c r="B33" s="5">
        <f>Deadtime*1000000000</f>
        <v>50</v>
      </c>
      <c r="C33" s="482" t="s">
        <v>79</v>
      </c>
      <c r="D33" s="21" t="s">
        <v>102</v>
      </c>
      <c r="G33">
        <v>24</v>
      </c>
      <c r="H33" s="610">
        <f t="shared" si="0"/>
        <v>12.24</v>
      </c>
      <c r="I33" s="445" t="str">
        <f t="shared" si="1"/>
        <v>BUCK-BST</v>
      </c>
      <c r="J33">
        <f t="shared" si="43"/>
        <v>3</v>
      </c>
      <c r="K33">
        <f t="shared" si="2"/>
        <v>4</v>
      </c>
      <c r="L33" s="4">
        <f t="shared" si="3"/>
        <v>4.3572984749455337</v>
      </c>
      <c r="M33" s="4">
        <f t="shared" si="4"/>
        <v>4.2350449973530973</v>
      </c>
      <c r="N33" s="386">
        <f t="shared" si="5"/>
        <v>0.92598039215686268</v>
      </c>
      <c r="O33" s="386">
        <f t="shared" si="44"/>
        <v>5.5500000000000001E-2</v>
      </c>
      <c r="P33" s="4">
        <f t="shared" si="6"/>
        <v>0.15676171791315699</v>
      </c>
      <c r="Q33" s="386">
        <f t="shared" si="7"/>
        <v>4.2352867650989605</v>
      </c>
      <c r="R33" s="386">
        <f t="shared" si="8"/>
        <v>0.2413486988692593</v>
      </c>
      <c r="S33" s="386">
        <f t="shared" si="45"/>
        <v>2.8468836516237794E-4</v>
      </c>
      <c r="T33" s="386">
        <f t="shared" si="46"/>
        <v>0.24163338723442168</v>
      </c>
      <c r="U33" s="4">
        <f t="shared" si="9"/>
        <v>4.5253210017894688E-2</v>
      </c>
      <c r="V33" s="386">
        <f t="shared" si="10"/>
        <v>5.5292031456939476E-5</v>
      </c>
      <c r="W33" s="386">
        <f t="shared" si="47"/>
        <v>5.5292031456939476E-5</v>
      </c>
      <c r="X33" s="386">
        <f t="shared" si="11"/>
        <v>1.0472782100553335</v>
      </c>
      <c r="Y33" s="386">
        <f t="shared" si="12"/>
        <v>3.5097332776214504E-2</v>
      </c>
      <c r="Z33" s="603">
        <f t="shared" si="48"/>
        <v>3.5097332776214504E-2</v>
      </c>
      <c r="AA33" s="386">
        <f t="shared" si="13"/>
        <v>4.0755264530122748</v>
      </c>
      <c r="AB33" s="386">
        <f t="shared" si="14"/>
        <v>0.16609915869202813</v>
      </c>
      <c r="AC33" s="386">
        <f t="shared" si="15"/>
        <v>0.10416215355879278</v>
      </c>
      <c r="AD33">
        <f t="shared" si="16"/>
        <v>0</v>
      </c>
      <c r="AE33" s="386">
        <f t="shared" si="17"/>
        <v>0.28109324167257327</v>
      </c>
      <c r="AF33" s="386">
        <f t="shared" si="18"/>
        <v>1.1522751899696537</v>
      </c>
      <c r="AG33" s="386">
        <f t="shared" si="19"/>
        <v>1.3277381134196017E-2</v>
      </c>
      <c r="AH33" s="386">
        <f t="shared" si="20"/>
        <v>9.6199999999999994E-2</v>
      </c>
      <c r="AI33" s="386">
        <f t="shared" si="21"/>
        <v>0.10981565204406793</v>
      </c>
      <c r="AJ33" s="386">
        <f t="shared" si="22"/>
        <v>0.9977674057792949</v>
      </c>
      <c r="AK33" s="386">
        <f t="shared" si="23"/>
        <v>9.9553979603554405E-3</v>
      </c>
      <c r="AL33" s="386">
        <f t="shared" si="24"/>
        <v>0.10612653575380041</v>
      </c>
      <c r="AM33">
        <f t="shared" si="25"/>
        <v>0</v>
      </c>
      <c r="AN33" s="386">
        <f t="shared" si="26"/>
        <v>0.11635066329435867</v>
      </c>
      <c r="AO33" s="386">
        <f t="shared" si="27"/>
        <v>4.1160799538622754</v>
      </c>
      <c r="AP33" s="386">
        <f t="shared" si="28"/>
        <v>0.16942114186586871</v>
      </c>
      <c r="AQ33" s="386">
        <f t="shared" si="29"/>
        <v>0.10479302832244008</v>
      </c>
      <c r="AR33" s="386">
        <f t="shared" si="30"/>
        <v>0.28543332836533841</v>
      </c>
      <c r="AS33" s="386">
        <f t="shared" si="31"/>
        <v>0</v>
      </c>
      <c r="AT33" s="386">
        <f t="shared" si="32"/>
        <v>0</v>
      </c>
      <c r="AU33" s="386">
        <f t="shared" si="33"/>
        <v>4.4770000000000004E-2</v>
      </c>
      <c r="AV33" s="386">
        <f t="shared" si="34"/>
        <v>3.4849168641827188E-2</v>
      </c>
      <c r="AW33" s="386">
        <f t="shared" si="35"/>
        <v>6.5920000000000006E-2</v>
      </c>
      <c r="AX33" s="386">
        <f t="shared" si="36"/>
        <v>3.6000000000000004E-2</v>
      </c>
      <c r="AY33" s="386">
        <f t="shared" si="37"/>
        <v>0.40226399999999995</v>
      </c>
      <c r="AZ33" s="386">
        <f t="shared" si="38"/>
        <v>0.30415082926829268</v>
      </c>
      <c r="BA33" s="386">
        <f t="shared" si="56"/>
        <v>0.43826399999999999</v>
      </c>
      <c r="BB33" s="386">
        <f t="shared" si="57"/>
        <v>1.6532820660602583</v>
      </c>
      <c r="BC33">
        <f t="shared" si="39"/>
        <v>48</v>
      </c>
      <c r="BD33" s="604">
        <f t="shared" si="50"/>
        <v>0.96670346858721889</v>
      </c>
      <c r="BE33" s="614">
        <f t="shared" si="40"/>
        <v>18.90006801700925</v>
      </c>
      <c r="BF33" s="614">
        <f t="shared" si="41"/>
        <v>6.3693078185559395</v>
      </c>
      <c r="BG33" s="9"/>
      <c r="BH33" s="4">
        <f t="shared" si="51"/>
        <v>96.670346858721885</v>
      </c>
      <c r="BI33" s="386">
        <f t="shared" si="52"/>
        <v>0.24163338723442168</v>
      </c>
      <c r="BJ33" s="386">
        <f t="shared" si="53"/>
        <v>0.83746288537633828</v>
      </c>
      <c r="BK33" s="386">
        <f t="shared" si="54"/>
        <v>0.12458975204406793</v>
      </c>
      <c r="BL33" s="386">
        <f t="shared" si="55"/>
        <v>3.4849168641827188E-2</v>
      </c>
      <c r="BQ33">
        <v>9.9986420000000003</v>
      </c>
      <c r="BR33">
        <v>0.64549999999999996</v>
      </c>
      <c r="BS33">
        <v>5.1237300000000001</v>
      </c>
      <c r="BT33">
        <v>90.41893857119905</v>
      </c>
      <c r="BU33">
        <v>350.45848473660021</v>
      </c>
    </row>
    <row r="34" spans="1:73" x14ac:dyDescent="0.2">
      <c r="A34" s="24" t="s">
        <v>56</v>
      </c>
      <c r="B34" s="15" t="s">
        <v>115</v>
      </c>
      <c r="C34" s="24" t="s">
        <v>80</v>
      </c>
      <c r="D34" s="17" t="s">
        <v>111</v>
      </c>
      <c r="G34">
        <v>25</v>
      </c>
      <c r="H34" s="610">
        <f t="shared" si="0"/>
        <v>12.375</v>
      </c>
      <c r="I34" s="4" t="str">
        <f t="shared" si="1"/>
        <v>BUCK-BST</v>
      </c>
      <c r="J34">
        <f t="shared" si="43"/>
        <v>3</v>
      </c>
      <c r="K34">
        <f t="shared" si="2"/>
        <v>4</v>
      </c>
      <c r="L34" s="4">
        <f t="shared" si="3"/>
        <v>4.3097643097643097</v>
      </c>
      <c r="M34" s="4">
        <f t="shared" si="4"/>
        <v>4.2350449973530973</v>
      </c>
      <c r="N34" s="386">
        <f t="shared" si="5"/>
        <v>0.91587878787878796</v>
      </c>
      <c r="O34" s="386">
        <f t="shared" si="44"/>
        <v>5.5500000000000001E-2</v>
      </c>
      <c r="P34" s="4">
        <f t="shared" si="6"/>
        <v>0.2972524369630748</v>
      </c>
      <c r="Q34" s="386">
        <f t="shared" si="7"/>
        <v>4.2359142319628633</v>
      </c>
      <c r="R34" s="386">
        <f t="shared" si="8"/>
        <v>0.24142159810498678</v>
      </c>
      <c r="S34" s="386">
        <f t="shared" si="45"/>
        <v>1.2434195810232395E-3</v>
      </c>
      <c r="T34" s="386">
        <f t="shared" si="46"/>
        <v>0.24266501768601004</v>
      </c>
      <c r="U34" s="4">
        <f t="shared" si="9"/>
        <v>8.5809387248951749E-2</v>
      </c>
      <c r="V34" s="386">
        <f t="shared" si="10"/>
        <v>1.988077753810952E-4</v>
      </c>
      <c r="W34" s="386">
        <f t="shared" si="47"/>
        <v>1.988077753810952E-4</v>
      </c>
      <c r="X34" s="386">
        <f t="shared" si="11"/>
        <v>1.1105334939227942</v>
      </c>
      <c r="Y34" s="386">
        <f t="shared" si="12"/>
        <v>3.9465108515979799E-2</v>
      </c>
      <c r="Z34" s="603">
        <f t="shared" si="48"/>
        <v>3.9465108515979799E-2</v>
      </c>
      <c r="AA34" s="386">
        <f t="shared" si="13"/>
        <v>4.0538358436424442</v>
      </c>
      <c r="AB34" s="386">
        <f t="shared" si="14"/>
        <v>0.16433585047200247</v>
      </c>
      <c r="AC34" s="386">
        <f t="shared" si="15"/>
        <v>0.10531100084069123</v>
      </c>
      <c r="AD34">
        <f t="shared" si="16"/>
        <v>0</v>
      </c>
      <c r="AE34" s="386">
        <f t="shared" si="17"/>
        <v>0.2803348755987416</v>
      </c>
      <c r="AF34" s="386">
        <f t="shared" si="18"/>
        <v>1.2285700359952147</v>
      </c>
      <c r="AG34" s="386">
        <f t="shared" si="19"/>
        <v>1.5093843333452832E-2</v>
      </c>
      <c r="AH34" s="386">
        <f t="shared" si="20"/>
        <v>9.6199999999999994E-2</v>
      </c>
      <c r="AI34" s="386">
        <f t="shared" si="21"/>
        <v>0.11168493848514749</v>
      </c>
      <c r="AJ34" s="386">
        <f t="shared" si="22"/>
        <v>0.9979152271712648</v>
      </c>
      <c r="AK34" s="386">
        <f t="shared" si="23"/>
        <v>9.9583480062027715E-3</v>
      </c>
      <c r="AL34" s="386">
        <f t="shared" si="24"/>
        <v>0.10612653575380041</v>
      </c>
      <c r="AM34">
        <f t="shared" si="25"/>
        <v>0</v>
      </c>
      <c r="AN34" s="386">
        <f t="shared" si="26"/>
        <v>0.11635369998762154</v>
      </c>
      <c r="AO34" s="386">
        <f t="shared" si="27"/>
        <v>4.1166897599801295</v>
      </c>
      <c r="AP34" s="386">
        <f t="shared" si="28"/>
        <v>0.16947134579925258</v>
      </c>
      <c r="AQ34" s="386">
        <f t="shared" si="29"/>
        <v>0.10364983164983164</v>
      </c>
      <c r="AR34" s="386">
        <f t="shared" si="30"/>
        <v>0.28429906388105469</v>
      </c>
      <c r="AS34" s="386">
        <f t="shared" si="31"/>
        <v>0</v>
      </c>
      <c r="AT34" s="386">
        <f t="shared" si="32"/>
        <v>0</v>
      </c>
      <c r="AU34" s="386">
        <f t="shared" si="33"/>
        <v>4.5019750000000004E-2</v>
      </c>
      <c r="AV34" s="386">
        <f t="shared" si="34"/>
        <v>3.7578287009483402E-2</v>
      </c>
      <c r="AW34" s="386">
        <f t="shared" si="35"/>
        <v>6.5920000000000006E-2</v>
      </c>
      <c r="AX34" s="386">
        <f t="shared" si="36"/>
        <v>3.6000000000000004E-2</v>
      </c>
      <c r="AY34" s="386">
        <f t="shared" si="37"/>
        <v>0.40226399999999995</v>
      </c>
      <c r="AZ34" s="386">
        <f t="shared" si="38"/>
        <v>0.30415082926829268</v>
      </c>
      <c r="BA34" s="386">
        <f t="shared" si="56"/>
        <v>0.43826399999999999</v>
      </c>
      <c r="BB34" s="386">
        <f t="shared" si="57"/>
        <v>1.6617835489394197</v>
      </c>
      <c r="BC34">
        <f t="shared" si="39"/>
        <v>48</v>
      </c>
      <c r="BD34" s="604">
        <f t="shared" si="50"/>
        <v>0.96653798091440257</v>
      </c>
      <c r="BE34" s="614">
        <f t="shared" si="40"/>
        <v>18.870568284727014</v>
      </c>
      <c r="BF34" s="614">
        <f t="shared" si="41"/>
        <v>6.4777264321385548</v>
      </c>
      <c r="BG34" s="9"/>
      <c r="BH34" s="4">
        <f t="shared" si="51"/>
        <v>96.653798091440251</v>
      </c>
      <c r="BI34" s="386">
        <f t="shared" si="52"/>
        <v>0.24266501768601004</v>
      </c>
      <c r="BJ34" s="386">
        <f t="shared" si="53"/>
        <v>0.83769232795256543</v>
      </c>
      <c r="BK34" s="386">
        <f t="shared" si="54"/>
        <v>0.12654145598514749</v>
      </c>
      <c r="BL34" s="386">
        <f t="shared" si="55"/>
        <v>3.7578287009483402E-2</v>
      </c>
      <c r="BQ34">
        <v>9.9986049999999995</v>
      </c>
      <c r="BR34">
        <v>0.83240000000000003</v>
      </c>
      <c r="BS34">
        <v>5.1231559999999998</v>
      </c>
      <c r="BT34">
        <v>91.678946361105133</v>
      </c>
      <c r="BU34">
        <v>387.05996035199956</v>
      </c>
    </row>
    <row r="35" spans="1:73" x14ac:dyDescent="0.2">
      <c r="A35" s="22" t="s">
        <v>158</v>
      </c>
      <c r="B35" s="5">
        <f>Iq*1000</f>
        <v>3</v>
      </c>
      <c r="C35" s="482" t="s">
        <v>68</v>
      </c>
      <c r="D35" s="21" t="s">
        <v>161</v>
      </c>
      <c r="G35">
        <v>26</v>
      </c>
      <c r="H35" s="610">
        <f t="shared" si="0"/>
        <v>12.51</v>
      </c>
      <c r="I35" s="4" t="str">
        <f t="shared" si="1"/>
        <v>BUCK-BST</v>
      </c>
      <c r="J35">
        <f t="shared" si="43"/>
        <v>3</v>
      </c>
      <c r="K35">
        <f t="shared" si="2"/>
        <v>4</v>
      </c>
      <c r="L35" s="4">
        <f t="shared" si="3"/>
        <v>4.2632560618172128</v>
      </c>
      <c r="M35" s="4">
        <f t="shared" si="4"/>
        <v>4.2350449973530973</v>
      </c>
      <c r="N35" s="386">
        <f t="shared" si="5"/>
        <v>0.90599520383693044</v>
      </c>
      <c r="O35" s="386">
        <f t="shared" si="44"/>
        <v>5.5500000000000001E-2</v>
      </c>
      <c r="P35" s="4">
        <f t="shared" si="6"/>
        <v>0.43471098222054838</v>
      </c>
      <c r="Q35" s="386">
        <f t="shared" si="7"/>
        <v>4.2369038144354221</v>
      </c>
      <c r="R35" s="386">
        <f t="shared" si="8"/>
        <v>0.24153659165242169</v>
      </c>
      <c r="S35" s="386">
        <f t="shared" si="45"/>
        <v>2.9850453669596883E-3</v>
      </c>
      <c r="T35" s="386">
        <f t="shared" si="46"/>
        <v>0.24452163701938137</v>
      </c>
      <c r="U35" s="4">
        <f t="shared" si="9"/>
        <v>0.12549025130236013</v>
      </c>
      <c r="V35" s="386">
        <f t="shared" si="10"/>
        <v>4.2519068564209647E-4</v>
      </c>
      <c r="W35" s="386">
        <f t="shared" si="47"/>
        <v>4.2519068564209647E-4</v>
      </c>
      <c r="X35" s="386">
        <f t="shared" si="11"/>
        <v>1.1679158867919792</v>
      </c>
      <c r="Y35" s="386">
        <f t="shared" si="12"/>
        <v>4.3648880595875052E-2</v>
      </c>
      <c r="Z35" s="603">
        <f t="shared" si="48"/>
        <v>4.3648880595875052E-2</v>
      </c>
      <c r="AA35" s="386">
        <f t="shared" si="13"/>
        <v>4.0328452196278954</v>
      </c>
      <c r="AB35" s="386">
        <f t="shared" si="14"/>
        <v>0.16263840565475568</v>
      </c>
      <c r="AC35" s="386">
        <f t="shared" si="15"/>
        <v>0.10645984812258968</v>
      </c>
      <c r="AD35">
        <f t="shared" si="16"/>
        <v>0</v>
      </c>
      <c r="AE35" s="386">
        <f t="shared" si="17"/>
        <v>0.27965003987469556</v>
      </c>
      <c r="AF35" s="386">
        <f t="shared" si="18"/>
        <v>1.2990432507433536</v>
      </c>
      <c r="AG35" s="386">
        <f t="shared" si="19"/>
        <v>1.6875133673018596E-2</v>
      </c>
      <c r="AH35" s="386">
        <f t="shared" si="20"/>
        <v>9.6199999999999994E-2</v>
      </c>
      <c r="AI35" s="386">
        <f t="shared" si="21"/>
        <v>0.11351956629555039</v>
      </c>
      <c r="AJ35" s="386">
        <f t="shared" si="22"/>
        <v>0.99814835734431151</v>
      </c>
      <c r="AK35" s="386">
        <f t="shared" si="23"/>
        <v>9.9630014326914738E-3</v>
      </c>
      <c r="AL35" s="386">
        <f t="shared" si="24"/>
        <v>0.10612653575380041</v>
      </c>
      <c r="AM35">
        <f t="shared" si="25"/>
        <v>0</v>
      </c>
      <c r="AN35" s="386">
        <f t="shared" si="26"/>
        <v>0.11635849010092275</v>
      </c>
      <c r="AO35" s="386">
        <f t="shared" si="27"/>
        <v>4.1176514895639578</v>
      </c>
      <c r="AP35" s="386">
        <f t="shared" si="28"/>
        <v>0.16955053789508281</v>
      </c>
      <c r="AQ35" s="386">
        <f t="shared" si="29"/>
        <v>0.10253130828670397</v>
      </c>
      <c r="AR35" s="386">
        <f t="shared" si="30"/>
        <v>0.2832226129391352</v>
      </c>
      <c r="AS35" s="386">
        <f t="shared" si="31"/>
        <v>0</v>
      </c>
      <c r="AT35" s="386">
        <f t="shared" si="32"/>
        <v>0</v>
      </c>
      <c r="AU35" s="386">
        <f t="shared" si="33"/>
        <v>4.5269500000000004E-2</v>
      </c>
      <c r="AV35" s="386">
        <f t="shared" si="34"/>
        <v>4.0257202658565097E-2</v>
      </c>
      <c r="AW35" s="386">
        <f t="shared" si="35"/>
        <v>6.5920000000000006E-2</v>
      </c>
      <c r="AX35" s="386">
        <f t="shared" si="36"/>
        <v>3.6000000000000004E-2</v>
      </c>
      <c r="AY35" s="386">
        <f t="shared" si="37"/>
        <v>0.40226399999999995</v>
      </c>
      <c r="AZ35" s="386">
        <f t="shared" si="38"/>
        <v>0.30415082926829268</v>
      </c>
      <c r="BA35" s="386">
        <f t="shared" si="56"/>
        <v>0.43826399999999999</v>
      </c>
      <c r="BB35" s="386">
        <f t="shared" si="57"/>
        <v>1.6710571201697675</v>
      </c>
      <c r="BC35">
        <f t="shared" si="39"/>
        <v>48</v>
      </c>
      <c r="BD35" s="604">
        <f t="shared" si="50"/>
        <v>0.96635752856785462</v>
      </c>
      <c r="BE35" s="614">
        <f t="shared" si="40"/>
        <v>18.845333312732343</v>
      </c>
      <c r="BF35" s="614">
        <f t="shared" si="41"/>
        <v>6.5841348451419224</v>
      </c>
      <c r="BG35" s="9"/>
      <c r="BH35" s="4">
        <f t="shared" si="51"/>
        <v>96.635752856785459</v>
      </c>
      <c r="BI35" s="386">
        <f t="shared" si="52"/>
        <v>0.24452163701938137</v>
      </c>
      <c r="BJ35" s="386">
        <f t="shared" si="53"/>
        <v>0.83802020921030385</v>
      </c>
      <c r="BK35" s="386">
        <f t="shared" si="54"/>
        <v>0.12845850129555039</v>
      </c>
      <c r="BL35" s="386">
        <f t="shared" si="55"/>
        <v>4.0257202658565097E-2</v>
      </c>
      <c r="BQ35">
        <v>9.9986049999999995</v>
      </c>
      <c r="BR35">
        <v>1.0528999999999999</v>
      </c>
      <c r="BS35">
        <v>5.1218219999999999</v>
      </c>
      <c r="BT35">
        <v>92.889938966292178</v>
      </c>
      <c r="BU35">
        <v>412.77762981700039</v>
      </c>
    </row>
    <row r="36" spans="1:73" x14ac:dyDescent="0.2">
      <c r="A36" s="24" t="s">
        <v>766</v>
      </c>
      <c r="B36" s="15" t="s">
        <v>115</v>
      </c>
      <c r="C36" s="24" t="s">
        <v>80</v>
      </c>
      <c r="D36" s="17" t="s">
        <v>111</v>
      </c>
      <c r="G36">
        <v>27</v>
      </c>
      <c r="H36" s="610">
        <f t="shared" si="0"/>
        <v>12.645</v>
      </c>
      <c r="I36" s="4" t="str">
        <f t="shared" si="1"/>
        <v>BUCK-BST</v>
      </c>
      <c r="J36">
        <f t="shared" si="43"/>
        <v>3</v>
      </c>
      <c r="K36">
        <f t="shared" si="2"/>
        <v>4</v>
      </c>
      <c r="L36" s="4">
        <f t="shared" si="3"/>
        <v>4.2177408725451428</v>
      </c>
      <c r="M36" s="4">
        <f t="shared" si="4"/>
        <v>4.2350449973530973</v>
      </c>
      <c r="N36" s="386">
        <f t="shared" si="5"/>
        <v>0.89632265717674975</v>
      </c>
      <c r="O36" s="386">
        <f t="shared" si="44"/>
        <v>5.5500000000000001E-2</v>
      </c>
      <c r="P36" s="4">
        <f t="shared" si="6"/>
        <v>0.5692344695721685</v>
      </c>
      <c r="Q36" s="386">
        <f t="shared" si="7"/>
        <v>4.2382317601862285</v>
      </c>
      <c r="R36" s="386">
        <f t="shared" si="8"/>
        <v>0.24169094987386372</v>
      </c>
      <c r="S36" s="386">
        <f t="shared" si="45"/>
        <v>5.5555572705672665E-3</v>
      </c>
      <c r="T36" s="386">
        <f t="shared" si="46"/>
        <v>0.247246507144431</v>
      </c>
      <c r="U36" s="4">
        <f t="shared" si="9"/>
        <v>0.16432383711975268</v>
      </c>
      <c r="V36" s="386">
        <f t="shared" si="10"/>
        <v>7.2906273303549325E-4</v>
      </c>
      <c r="W36" s="386">
        <f t="shared" si="47"/>
        <v>7.2906273303549325E-4</v>
      </c>
      <c r="X36" s="386">
        <f t="shared" si="11"/>
        <v>1.2203945689553759</v>
      </c>
      <c r="Y36" s="386">
        <f t="shared" si="12"/>
        <v>4.7659612925944887E-2</v>
      </c>
      <c r="Z36" s="603">
        <f t="shared" si="48"/>
        <v>4.7659612925944887E-2</v>
      </c>
      <c r="AA36" s="386">
        <f t="shared" si="13"/>
        <v>4.0125170327943094</v>
      </c>
      <c r="AB36" s="386">
        <f t="shared" si="14"/>
        <v>0.1610029293846445</v>
      </c>
      <c r="AC36" s="386">
        <f t="shared" si="15"/>
        <v>0.10760869540448811</v>
      </c>
      <c r="AD36">
        <f t="shared" si="16"/>
        <v>0</v>
      </c>
      <c r="AE36" s="386">
        <f t="shared" si="17"/>
        <v>0.27903430373891108</v>
      </c>
      <c r="AF36" s="386">
        <f t="shared" si="18"/>
        <v>1.3646668144960543</v>
      </c>
      <c r="AG36" s="386">
        <f t="shared" si="19"/>
        <v>1.8623155145868084E-2</v>
      </c>
      <c r="AH36" s="386">
        <f t="shared" si="20"/>
        <v>9.6199999999999994E-2</v>
      </c>
      <c r="AI36" s="386">
        <f t="shared" si="21"/>
        <v>0.11532140959846954</v>
      </c>
      <c r="AJ36" s="386">
        <f t="shared" si="22"/>
        <v>0.998461200620407</v>
      </c>
      <c r="AK36" s="386">
        <f t="shared" si="23"/>
        <v>9.9692476914434464E-3</v>
      </c>
      <c r="AL36" s="386">
        <f t="shared" si="24"/>
        <v>0.10612653575380041</v>
      </c>
      <c r="AM36">
        <f t="shared" si="25"/>
        <v>0</v>
      </c>
      <c r="AN36" s="386">
        <f t="shared" si="26"/>
        <v>0.11636491984963347</v>
      </c>
      <c r="AO36" s="386">
        <f t="shared" si="27"/>
        <v>4.1189420588188561</v>
      </c>
      <c r="AP36" s="386">
        <f t="shared" si="28"/>
        <v>0.16965683683906918</v>
      </c>
      <c r="AQ36" s="386">
        <f t="shared" si="29"/>
        <v>0.10143666798471068</v>
      </c>
      <c r="AR36" s="386">
        <f t="shared" si="30"/>
        <v>0.28220104700488502</v>
      </c>
      <c r="AS36" s="386">
        <f t="shared" si="31"/>
        <v>0</v>
      </c>
      <c r="AT36" s="386">
        <f t="shared" si="32"/>
        <v>0</v>
      </c>
      <c r="AU36" s="386">
        <f t="shared" si="33"/>
        <v>4.5519250000000004E-2</v>
      </c>
      <c r="AV36" s="386">
        <f t="shared" si="34"/>
        <v>4.2888604255967293E-2</v>
      </c>
      <c r="AW36" s="386">
        <f t="shared" si="35"/>
        <v>6.5920000000000006E-2</v>
      </c>
      <c r="AX36" s="386">
        <f t="shared" si="36"/>
        <v>3.6000000000000004E-2</v>
      </c>
      <c r="AY36" s="386">
        <f t="shared" si="37"/>
        <v>0.40226399999999995</v>
      </c>
      <c r="AZ36" s="386">
        <f t="shared" si="38"/>
        <v>0.30415082926829268</v>
      </c>
      <c r="BA36" s="386">
        <f t="shared" si="56"/>
        <v>0.43826399999999999</v>
      </c>
      <c r="BB36" s="386">
        <f t="shared" si="57"/>
        <v>1.6811487172512778</v>
      </c>
      <c r="BC36">
        <f t="shared" si="39"/>
        <v>48</v>
      </c>
      <c r="BD36" s="604">
        <f t="shared" si="50"/>
        <v>0.96616123498232409</v>
      </c>
      <c r="BE36" s="614">
        <f t="shared" si="40"/>
        <v>18.824106116856843</v>
      </c>
      <c r="BF36" s="614">
        <f t="shared" si="41"/>
        <v>6.6886417567112328</v>
      </c>
      <c r="BG36" s="9"/>
      <c r="BH36" s="4">
        <f t="shared" si="51"/>
        <v>96.616123498232412</v>
      </c>
      <c r="BI36" s="386">
        <f t="shared" si="52"/>
        <v>0.247246507144431</v>
      </c>
      <c r="BJ36" s="386">
        <f t="shared" si="53"/>
        <v>0.83844093019189914</v>
      </c>
      <c r="BK36" s="386">
        <f t="shared" si="54"/>
        <v>0.13034276209846954</v>
      </c>
      <c r="BL36" s="386">
        <f t="shared" si="55"/>
        <v>4.2888604255967293E-2</v>
      </c>
      <c r="BQ36">
        <v>9.9986669999999993</v>
      </c>
      <c r="BR36">
        <v>1.3092999999999999</v>
      </c>
      <c r="BS36">
        <v>5.1195649999999997</v>
      </c>
      <c r="BT36">
        <v>93.690364214923264</v>
      </c>
      <c r="BU36">
        <v>451.42072788069993</v>
      </c>
    </row>
    <row r="37" spans="1:73" x14ac:dyDescent="0.2">
      <c r="A37" s="23" t="s">
        <v>75</v>
      </c>
      <c r="B37" s="5">
        <f>Rdson1*1000</f>
        <v>10</v>
      </c>
      <c r="C37" s="484" t="s">
        <v>674</v>
      </c>
      <c r="D37" s="482" t="s">
        <v>769</v>
      </c>
      <c r="G37">
        <v>28</v>
      </c>
      <c r="H37" s="610">
        <f t="shared" si="0"/>
        <v>12.780000000000001</v>
      </c>
      <c r="I37" s="4" t="str">
        <f t="shared" si="1"/>
        <v>BUCK-BST</v>
      </c>
      <c r="J37">
        <f t="shared" si="43"/>
        <v>3</v>
      </c>
      <c r="K37">
        <f t="shared" si="2"/>
        <v>4</v>
      </c>
      <c r="L37" s="4">
        <f t="shared" si="3"/>
        <v>4.1731872717788212</v>
      </c>
      <c r="M37" s="4">
        <f t="shared" si="4"/>
        <v>4.2350449973530973</v>
      </c>
      <c r="N37" s="386">
        <f t="shared" si="5"/>
        <v>0.88685446009389657</v>
      </c>
      <c r="O37" s="386">
        <f t="shared" si="44"/>
        <v>5.5500000000000001E-2</v>
      </c>
      <c r="P37" s="4">
        <f t="shared" si="6"/>
        <v>0.70091591141636156</v>
      </c>
      <c r="Q37" s="386">
        <f t="shared" si="7"/>
        <v>4.2398757516203878</v>
      </c>
      <c r="R37" s="386">
        <f t="shared" si="8"/>
        <v>0.24188211691799325</v>
      </c>
      <c r="S37" s="386">
        <f t="shared" si="45"/>
        <v>8.9732755281315742E-3</v>
      </c>
      <c r="T37" s="386">
        <f t="shared" si="46"/>
        <v>0.25085539244612481</v>
      </c>
      <c r="U37" s="4">
        <f t="shared" si="9"/>
        <v>0.20233699506776412</v>
      </c>
      <c r="V37" s="386">
        <f t="shared" si="10"/>
        <v>1.1053870084724148E-3</v>
      </c>
      <c r="W37" s="386">
        <f t="shared" si="47"/>
        <v>1.1053870084724148E-3</v>
      </c>
      <c r="X37" s="386">
        <f t="shared" si="11"/>
        <v>1.2687025346436334</v>
      </c>
      <c r="Y37" s="386">
        <f t="shared" si="12"/>
        <v>5.150739588515775E-2</v>
      </c>
      <c r="Z37" s="603">
        <f t="shared" si="48"/>
        <v>5.150739588515775E-2</v>
      </c>
      <c r="AA37" s="386">
        <f t="shared" si="13"/>
        <v>3.9928160917237134</v>
      </c>
      <c r="AB37" s="386">
        <f t="shared" si="14"/>
        <v>0.15942580342327831</v>
      </c>
      <c r="AC37" s="386">
        <f t="shared" si="15"/>
        <v>0.10875754268638657</v>
      </c>
      <c r="AD37">
        <f t="shared" si="16"/>
        <v>0</v>
      </c>
      <c r="AE37" s="386">
        <f t="shared" si="17"/>
        <v>0.27848355798308211</v>
      </c>
      <c r="AF37" s="386">
        <f t="shared" si="18"/>
        <v>1.4261718153331739</v>
      </c>
      <c r="AG37" s="386">
        <f t="shared" si="19"/>
        <v>2.0339660468507208E-2</v>
      </c>
      <c r="AH37" s="386">
        <f t="shared" si="20"/>
        <v>9.6199999999999994E-2</v>
      </c>
      <c r="AI37" s="386">
        <f t="shared" si="21"/>
        <v>0.1170921952633865</v>
      </c>
      <c r="AJ37" s="386">
        <f t="shared" si="22"/>
        <v>0.99884849932279984</v>
      </c>
      <c r="AK37" s="386">
        <f t="shared" si="23"/>
        <v>9.9769832459940932E-3</v>
      </c>
      <c r="AL37" s="386">
        <f t="shared" si="24"/>
        <v>0.10612653575380041</v>
      </c>
      <c r="AM37">
        <f t="shared" si="25"/>
        <v>0</v>
      </c>
      <c r="AN37" s="386">
        <f t="shared" si="26"/>
        <v>0.11637288266955276</v>
      </c>
      <c r="AO37" s="386">
        <f t="shared" si="27"/>
        <v>4.1205397783032192</v>
      </c>
      <c r="AP37" s="386">
        <f t="shared" si="28"/>
        <v>0.16978848064579144</v>
      </c>
      <c r="AQ37" s="386">
        <f t="shared" si="29"/>
        <v>0.10036515388628064</v>
      </c>
      <c r="AR37" s="386">
        <f t="shared" si="30"/>
        <v>0.28123160843334094</v>
      </c>
      <c r="AS37" s="386">
        <f t="shared" si="31"/>
        <v>0</v>
      </c>
      <c r="AT37" s="386">
        <f t="shared" si="32"/>
        <v>0</v>
      </c>
      <c r="AU37" s="386">
        <f t="shared" si="33"/>
        <v>4.5769000000000004E-2</v>
      </c>
      <c r="AV37" s="386">
        <f t="shared" si="34"/>
        <v>4.5474965571751944E-2</v>
      </c>
      <c r="AW37" s="386">
        <f t="shared" si="35"/>
        <v>6.5920000000000006E-2</v>
      </c>
      <c r="AX37" s="386">
        <f t="shared" si="36"/>
        <v>3.6000000000000004E-2</v>
      </c>
      <c r="AY37" s="386">
        <f t="shared" si="37"/>
        <v>0.40226399999999995</v>
      </c>
      <c r="AZ37" s="386">
        <f t="shared" si="38"/>
        <v>0.30415082926829268</v>
      </c>
      <c r="BA37" s="386">
        <f t="shared" si="56"/>
        <v>0.43826399999999999</v>
      </c>
      <c r="BB37" s="386">
        <f t="shared" si="57"/>
        <v>1.6920763852608691</v>
      </c>
      <c r="BC37">
        <f t="shared" si="39"/>
        <v>48</v>
      </c>
      <c r="BD37" s="604">
        <f t="shared" si="50"/>
        <v>0.96594876873040558</v>
      </c>
      <c r="BE37" s="614">
        <f t="shared" si="40"/>
        <v>18.806648363018763</v>
      </c>
      <c r="BF37" s="614">
        <f t="shared" si="41"/>
        <v>6.7913473252764174</v>
      </c>
      <c r="BG37" s="9"/>
      <c r="BH37" s="4">
        <f t="shared" si="51"/>
        <v>96.594876873040562</v>
      </c>
      <c r="BI37" s="386">
        <f t="shared" si="52"/>
        <v>0.25085539244612481</v>
      </c>
      <c r="BJ37" s="386">
        <f t="shared" si="53"/>
        <v>0.83894924434936224</v>
      </c>
      <c r="BK37" s="386">
        <f t="shared" si="54"/>
        <v>0.13219596526338651</v>
      </c>
      <c r="BL37" s="386">
        <f t="shared" si="55"/>
        <v>4.5474965571751944E-2</v>
      </c>
      <c r="BQ37">
        <v>9.9985429999999997</v>
      </c>
      <c r="BR37">
        <v>1.6020000000000001</v>
      </c>
      <c r="BS37">
        <v>5.1182809999999996</v>
      </c>
      <c r="BT37">
        <v>93.864473327748414</v>
      </c>
      <c r="BU37">
        <v>535.96589716749952</v>
      </c>
    </row>
    <row r="38" spans="1:73" x14ac:dyDescent="0.2">
      <c r="A38" s="22" t="s">
        <v>83</v>
      </c>
      <c r="B38" s="5">
        <f>RdsonTopTc*1000000</f>
        <v>4000</v>
      </c>
      <c r="C38" s="482" t="s">
        <v>85</v>
      </c>
      <c r="D38" s="21" t="s">
        <v>113</v>
      </c>
      <c r="G38">
        <v>29</v>
      </c>
      <c r="H38" s="610">
        <f t="shared" si="0"/>
        <v>12.914999999999999</v>
      </c>
      <c r="I38" s="4" t="str">
        <f t="shared" si="1"/>
        <v>BUCK-BST</v>
      </c>
      <c r="J38">
        <f t="shared" si="43"/>
        <v>3</v>
      </c>
      <c r="K38">
        <f t="shared" si="2"/>
        <v>4</v>
      </c>
      <c r="L38" s="4">
        <f t="shared" si="3"/>
        <v>4.1295651051748612</v>
      </c>
      <c r="M38" s="4">
        <f t="shared" si="4"/>
        <v>4.2350449973530973</v>
      </c>
      <c r="N38" s="386">
        <f t="shared" si="5"/>
        <v>0.87758420441347273</v>
      </c>
      <c r="O38" s="386">
        <f t="shared" si="44"/>
        <v>5.5500000000000001E-2</v>
      </c>
      <c r="P38" s="4">
        <f t="shared" si="6"/>
        <v>0.82984443113140449</v>
      </c>
      <c r="Q38" s="386">
        <f t="shared" si="7"/>
        <v>4.2418148173388568</v>
      </c>
      <c r="R38" s="386">
        <f t="shared" si="8"/>
        <v>0.2421076985385483</v>
      </c>
      <c r="S38" s="386">
        <f t="shared" si="45"/>
        <v>1.3240521338514839E-2</v>
      </c>
      <c r="T38" s="386">
        <f t="shared" si="46"/>
        <v>0.25534821987706313</v>
      </c>
      <c r="U38" s="4">
        <f t="shared" si="9"/>
        <v>0.23955545284961413</v>
      </c>
      <c r="V38" s="386">
        <f t="shared" si="10"/>
        <v>1.5494440047295599E-3</v>
      </c>
      <c r="W38" s="386">
        <f t="shared" si="47"/>
        <v>1.5494440047295599E-3</v>
      </c>
      <c r="X38" s="386">
        <f t="shared" si="11"/>
        <v>1.3134107401904453</v>
      </c>
      <c r="Y38" s="386">
        <f t="shared" si="12"/>
        <v>5.5201528718323629E-2</v>
      </c>
      <c r="Z38" s="603">
        <f t="shared" si="48"/>
        <v>5.5201528718323629E-2</v>
      </c>
      <c r="AA38" s="386">
        <f t="shared" si="13"/>
        <v>3.9737094003336542</v>
      </c>
      <c r="AB38" s="386">
        <f t="shared" si="14"/>
        <v>0.15790366398300049</v>
      </c>
      <c r="AC38" s="386">
        <f t="shared" si="15"/>
        <v>0.10990638996828503</v>
      </c>
      <c r="AD38">
        <f t="shared" si="16"/>
        <v>0</v>
      </c>
      <c r="AE38" s="386">
        <f t="shared" si="17"/>
        <v>0.27799398843807743</v>
      </c>
      <c r="AF38" s="386">
        <f t="shared" si="18"/>
        <v>1.4841248418834001</v>
      </c>
      <c r="AG38" s="386">
        <f t="shared" si="19"/>
        <v>2.2026265462954275E-2</v>
      </c>
      <c r="AH38" s="386">
        <f t="shared" si="20"/>
        <v>9.6199999999999994E-2</v>
      </c>
      <c r="AI38" s="386">
        <f t="shared" si="21"/>
        <v>0.11883351585026958</v>
      </c>
      <c r="AJ38" s="386">
        <f t="shared" si="22"/>
        <v>0.99930531291745317</v>
      </c>
      <c r="AK38" s="386">
        <f t="shared" si="23"/>
        <v>9.9861110842504892E-3</v>
      </c>
      <c r="AL38" s="386">
        <f t="shared" si="24"/>
        <v>0.10612653575380041</v>
      </c>
      <c r="AM38">
        <f t="shared" si="25"/>
        <v>0</v>
      </c>
      <c r="AN38" s="386">
        <f t="shared" si="26"/>
        <v>0.11638227871437826</v>
      </c>
      <c r="AO38" s="386">
        <f t="shared" si="27"/>
        <v>4.1224242668811311</v>
      </c>
      <c r="AP38" s="386">
        <f t="shared" si="28"/>
        <v>0.1699438183617043</v>
      </c>
      <c r="AQ38" s="386">
        <f t="shared" si="29"/>
        <v>9.9316040779455411E-2</v>
      </c>
      <c r="AR38" s="386">
        <f t="shared" si="30"/>
        <v>0.28031169892480273</v>
      </c>
      <c r="AS38" s="386">
        <f t="shared" si="31"/>
        <v>0</v>
      </c>
      <c r="AT38" s="386">
        <f t="shared" si="32"/>
        <v>0</v>
      </c>
      <c r="AU38" s="386">
        <f t="shared" si="33"/>
        <v>4.6018749999999997E-2</v>
      </c>
      <c r="AV38" s="386">
        <f t="shared" si="34"/>
        <v>4.8018564820807144E-2</v>
      </c>
      <c r="AW38" s="386">
        <f t="shared" si="35"/>
        <v>6.5920000000000006E-2</v>
      </c>
      <c r="AX38" s="386">
        <f t="shared" si="36"/>
        <v>3.6000000000000004E-2</v>
      </c>
      <c r="AY38" s="386">
        <f t="shared" si="37"/>
        <v>0.40226399999999995</v>
      </c>
      <c r="AZ38" s="386">
        <f t="shared" si="38"/>
        <v>0.30415082926829268</v>
      </c>
      <c r="BA38" s="386">
        <f t="shared" si="56"/>
        <v>0.43826399999999999</v>
      </c>
      <c r="BB38" s="386">
        <f t="shared" si="57"/>
        <v>1.7038419893484513</v>
      </c>
      <c r="BC38">
        <f t="shared" si="39"/>
        <v>48</v>
      </c>
      <c r="BD38" s="604">
        <f t="shared" si="50"/>
        <v>0.96572011496186572</v>
      </c>
      <c r="BE38" s="614">
        <f t="shared" si="40"/>
        <v>18.792738829408492</v>
      </c>
      <c r="BF38" s="614">
        <f t="shared" si="41"/>
        <v>6.8923439193156355</v>
      </c>
      <c r="BG38" s="9"/>
      <c r="BH38" s="4">
        <f t="shared" si="51"/>
        <v>96.572011496186576</v>
      </c>
      <c r="BI38" s="386">
        <f t="shared" si="52"/>
        <v>0.25534821987706313</v>
      </c>
      <c r="BJ38" s="386">
        <f t="shared" si="53"/>
        <v>0.83954023192752802</v>
      </c>
      <c r="BK38" s="386">
        <f t="shared" si="54"/>
        <v>0.13401970335026958</v>
      </c>
      <c r="BL38" s="386">
        <f t="shared" si="55"/>
        <v>4.8018564820807144E-2</v>
      </c>
      <c r="BQ38">
        <v>9.9985429999999997</v>
      </c>
      <c r="BR38">
        <v>1.9350000000000001</v>
      </c>
      <c r="BS38">
        <v>5.117146</v>
      </c>
      <c r="BT38">
        <v>94.224527198076927</v>
      </c>
      <c r="BU38">
        <v>606.92116405899924</v>
      </c>
    </row>
    <row r="39" spans="1:73" x14ac:dyDescent="0.2">
      <c r="A39" s="23" t="s">
        <v>74</v>
      </c>
      <c r="B39" s="5">
        <f>Qg_Q1*1000000000</f>
        <v>45.3</v>
      </c>
      <c r="C39" s="482" t="s">
        <v>69</v>
      </c>
      <c r="D39" s="21" t="s">
        <v>103</v>
      </c>
      <c r="G39">
        <v>30</v>
      </c>
      <c r="H39" s="610">
        <f t="shared" si="0"/>
        <v>13.05</v>
      </c>
      <c r="I39" s="4" t="str">
        <f t="shared" si="1"/>
        <v>BUCK-BST</v>
      </c>
      <c r="J39">
        <f t="shared" si="43"/>
        <v>3</v>
      </c>
      <c r="K39">
        <f t="shared" si="2"/>
        <v>4</v>
      </c>
      <c r="L39" s="4">
        <f t="shared" si="3"/>
        <v>4.0868454661558102</v>
      </c>
      <c r="M39" s="4">
        <f t="shared" si="4"/>
        <v>4.2350449973530973</v>
      </c>
      <c r="N39" s="386">
        <f t="shared" si="5"/>
        <v>0.8685057471264368</v>
      </c>
      <c r="O39" s="386">
        <f t="shared" si="44"/>
        <v>5.5500000000000001E-2</v>
      </c>
      <c r="P39" s="4">
        <f t="shared" si="6"/>
        <v>0.95610546423165677</v>
      </c>
      <c r="Q39" s="386">
        <f t="shared" si="7"/>
        <v>4.244029249172689</v>
      </c>
      <c r="R39" s="386">
        <f t="shared" si="8"/>
        <v>0.2423654508664207</v>
      </c>
      <c r="S39" s="386">
        <f t="shared" si="45"/>
        <v>1.8349409362553172E-2</v>
      </c>
      <c r="T39" s="386">
        <f t="shared" si="46"/>
        <v>0.26071486022897389</v>
      </c>
      <c r="U39" s="4">
        <f t="shared" si="9"/>
        <v>0.2760038735739096</v>
      </c>
      <c r="V39" s="386">
        <f t="shared" si="10"/>
        <v>2.0568097321506723E-3</v>
      </c>
      <c r="W39" s="386">
        <f t="shared" si="47"/>
        <v>2.0568097321506723E-3</v>
      </c>
      <c r="X39" s="386">
        <f t="shared" si="11"/>
        <v>1.3549745534354816</v>
      </c>
      <c r="Y39" s="386">
        <f t="shared" si="12"/>
        <v>5.8750593294645846E-2</v>
      </c>
      <c r="Z39" s="603">
        <f t="shared" si="48"/>
        <v>5.8750593294645846E-2</v>
      </c>
      <c r="AA39" s="386">
        <f t="shared" si="13"/>
        <v>3.9551660082245292</v>
      </c>
      <c r="AB39" s="386">
        <f t="shared" si="14"/>
        <v>0.15643338152614758</v>
      </c>
      <c r="AC39" s="386">
        <f t="shared" si="15"/>
        <v>0.11105523725018347</v>
      </c>
      <c r="AD39">
        <f t="shared" si="16"/>
        <v>0</v>
      </c>
      <c r="AE39" s="386">
        <f t="shared" si="17"/>
        <v>0.27756205190033972</v>
      </c>
      <c r="AF39" s="386">
        <f t="shared" si="18"/>
        <v>1.5389756707688849</v>
      </c>
      <c r="AG39" s="386">
        <f t="shared" si="19"/>
        <v>2.3684461152185393E-2</v>
      </c>
      <c r="AH39" s="386">
        <f t="shared" si="20"/>
        <v>9.6199999999999994E-2</v>
      </c>
      <c r="AI39" s="386">
        <f t="shared" si="21"/>
        <v>0.12054684133167035</v>
      </c>
      <c r="AJ39" s="386">
        <f t="shared" si="22"/>
        <v>0.99982699846760892</v>
      </c>
      <c r="AK39" s="386">
        <f t="shared" si="23"/>
        <v>9.9965402686474809E-3</v>
      </c>
      <c r="AL39" s="386">
        <f t="shared" si="24"/>
        <v>0.10612653575380041</v>
      </c>
      <c r="AM39">
        <f t="shared" si="25"/>
        <v>0</v>
      </c>
      <c r="AN39" s="386">
        <f t="shared" si="26"/>
        <v>0.11639301439209136</v>
      </c>
      <c r="AO39" s="386">
        <f t="shared" si="27"/>
        <v>4.12457637109177</v>
      </c>
      <c r="AP39" s="386">
        <f t="shared" si="28"/>
        <v>0.17012130240968554</v>
      </c>
      <c r="AQ39" s="386">
        <f t="shared" si="29"/>
        <v>9.8288633461047228E-2</v>
      </c>
      <c r="AR39" s="386">
        <f t="shared" si="30"/>
        <v>0.27943886887214175</v>
      </c>
      <c r="AS39" s="386">
        <f t="shared" si="31"/>
        <v>0</v>
      </c>
      <c r="AT39" s="386">
        <f t="shared" si="32"/>
        <v>0</v>
      </c>
      <c r="AU39" s="386">
        <f t="shared" si="33"/>
        <v>4.6268500000000004E-2</v>
      </c>
      <c r="AV39" s="386">
        <f t="shared" si="34"/>
        <v>5.0521502131249313E-2</v>
      </c>
      <c r="AW39" s="386">
        <f t="shared" si="35"/>
        <v>6.5920000000000006E-2</v>
      </c>
      <c r="AX39" s="386">
        <f t="shared" si="36"/>
        <v>3.6000000000000004E-2</v>
      </c>
      <c r="AY39" s="386">
        <f t="shared" si="37"/>
        <v>0.40226399999999995</v>
      </c>
      <c r="AZ39" s="386">
        <f t="shared" si="38"/>
        <v>0.30415082926829268</v>
      </c>
      <c r="BA39" s="386">
        <f t="shared" si="56"/>
        <v>0.43826399999999999</v>
      </c>
      <c r="BB39" s="386">
        <f t="shared" si="57"/>
        <v>1.7164370418832628</v>
      </c>
      <c r="BC39">
        <f t="shared" si="39"/>
        <v>48</v>
      </c>
      <c r="BD39" s="604">
        <f t="shared" si="50"/>
        <v>0.96547546155736663</v>
      </c>
      <c r="BE39" s="614">
        <f t="shared" si="40"/>
        <v>18.782172010219703</v>
      </c>
      <c r="BF39" s="614">
        <f t="shared" si="41"/>
        <v>6.9917167972368803</v>
      </c>
      <c r="BG39" s="9"/>
      <c r="BH39" s="4">
        <f t="shared" si="51"/>
        <v>96.547546155736669</v>
      </c>
      <c r="BI39" s="386">
        <f t="shared" si="52"/>
        <v>0.26071486022897389</v>
      </c>
      <c r="BJ39" s="386">
        <f t="shared" si="53"/>
        <v>0.84020927649624322</v>
      </c>
      <c r="BK39" s="386">
        <f t="shared" si="54"/>
        <v>0.13581544633167034</v>
      </c>
      <c r="BL39" s="386">
        <f t="shared" si="55"/>
        <v>5.0521502131249313E-2</v>
      </c>
      <c r="BQ39">
        <v>9.9985060000000008</v>
      </c>
      <c r="BR39">
        <v>2.31</v>
      </c>
      <c r="BS39">
        <v>5.1166349999999996</v>
      </c>
      <c r="BT39">
        <v>94.492663502717292</v>
      </c>
      <c r="BU39">
        <v>688.87413060200208</v>
      </c>
    </row>
    <row r="40" spans="1:73" x14ac:dyDescent="0.2">
      <c r="A40" s="23" t="s">
        <v>130</v>
      </c>
      <c r="B40" s="5">
        <f>Qgd_Q1*1000000000</f>
        <v>13.3</v>
      </c>
      <c r="C40" s="482" t="s">
        <v>69</v>
      </c>
      <c r="D40" s="21" t="s">
        <v>131</v>
      </c>
      <c r="G40">
        <v>31</v>
      </c>
      <c r="H40" s="610">
        <f t="shared" si="0"/>
        <v>13.184999999999999</v>
      </c>
      <c r="I40" s="4" t="str">
        <f t="shared" si="1"/>
        <v>BUCK-BST</v>
      </c>
      <c r="J40">
        <f t="shared" si="43"/>
        <v>3</v>
      </c>
      <c r="K40">
        <f t="shared" si="2"/>
        <v>4</v>
      </c>
      <c r="L40" s="4">
        <f t="shared" si="3"/>
        <v>4.045000632031349</v>
      </c>
      <c r="M40" s="4">
        <f t="shared" si="4"/>
        <v>4.2350449973530973</v>
      </c>
      <c r="N40" s="386">
        <f t="shared" si="5"/>
        <v>0.85961319681456205</v>
      </c>
      <c r="O40" s="386">
        <f t="shared" si="44"/>
        <v>5.5500000000000001E-2</v>
      </c>
      <c r="P40" s="4">
        <f t="shared" si="6"/>
        <v>1.0797809471660302</v>
      </c>
      <c r="Q40" s="386">
        <f t="shared" si="7"/>
        <v>4.2465005244429275</v>
      </c>
      <c r="R40" s="386">
        <f t="shared" si="8"/>
        <v>0.24265327005217274</v>
      </c>
      <c r="S40" s="386">
        <f t="shared" si="45"/>
        <v>2.4285222486526214E-2</v>
      </c>
      <c r="T40" s="386">
        <f t="shared" si="46"/>
        <v>0.26693849253869895</v>
      </c>
      <c r="U40" s="4">
        <f t="shared" si="9"/>
        <v>0.31170591025606831</v>
      </c>
      <c r="V40" s="386">
        <f t="shared" si="10"/>
        <v>2.6233355111912309E-3</v>
      </c>
      <c r="W40" s="386">
        <f t="shared" si="47"/>
        <v>2.6233355111912309E-3</v>
      </c>
      <c r="X40" s="386">
        <f t="shared" si="11"/>
        <v>1.3937642399325461</v>
      </c>
      <c r="Y40" s="386">
        <f t="shared" si="12"/>
        <v>6.2162520208471933E-2</v>
      </c>
      <c r="Z40" s="603">
        <f t="shared" si="48"/>
        <v>6.2162520208471933E-2</v>
      </c>
      <c r="AA40" s="386">
        <f t="shared" si="13"/>
        <v>3.9371568718959478</v>
      </c>
      <c r="AB40" s="386">
        <f t="shared" si="14"/>
        <v>0.15501204233917484</v>
      </c>
      <c r="AC40" s="386">
        <f t="shared" si="15"/>
        <v>0.11220408453208193</v>
      </c>
      <c r="AD40">
        <f t="shared" si="16"/>
        <v>0</v>
      </c>
      <c r="AE40" s="386">
        <f t="shared" si="17"/>
        <v>0.27718445425031529</v>
      </c>
      <c r="AF40" s="386">
        <f t="shared" si="18"/>
        <v>1.5910884545419124</v>
      </c>
      <c r="AG40" s="386">
        <f t="shared" si="19"/>
        <v>2.531562470176571E-2</v>
      </c>
      <c r="AH40" s="386">
        <f t="shared" si="20"/>
        <v>9.6199999999999994E-2</v>
      </c>
      <c r="AI40" s="386">
        <f t="shared" si="21"/>
        <v>0.12223352971587384</v>
      </c>
      <c r="AJ40" s="386">
        <f t="shared" si="22"/>
        <v>1.0004091923194329</v>
      </c>
      <c r="AK40" s="386">
        <f t="shared" si="23"/>
        <v>1.0008185520772202E-2</v>
      </c>
      <c r="AL40" s="386">
        <f t="shared" si="24"/>
        <v>0.10612653575380041</v>
      </c>
      <c r="AM40">
        <f t="shared" si="25"/>
        <v>0</v>
      </c>
      <c r="AN40" s="386">
        <f t="shared" si="26"/>
        <v>0.11640500193691648</v>
      </c>
      <c r="AO40" s="386">
        <f t="shared" si="27"/>
        <v>4.1269780895973796</v>
      </c>
      <c r="AP40" s="386">
        <f t="shared" si="28"/>
        <v>0.17031948152016838</v>
      </c>
      <c r="AQ40" s="386">
        <f t="shared" si="29"/>
        <v>9.7282265200353935E-2</v>
      </c>
      <c r="AR40" s="386">
        <f t="shared" si="30"/>
        <v>0.27861080752220069</v>
      </c>
      <c r="AS40" s="386">
        <f t="shared" si="31"/>
        <v>0</v>
      </c>
      <c r="AT40" s="386">
        <f t="shared" si="32"/>
        <v>0</v>
      </c>
      <c r="AU40" s="386">
        <f t="shared" si="33"/>
        <v>4.6518249999999997E-2</v>
      </c>
      <c r="AV40" s="386">
        <f t="shared" si="34"/>
        <v>5.2985715333806867E-2</v>
      </c>
      <c r="AW40" s="386">
        <f t="shared" si="35"/>
        <v>6.5920000000000006E-2</v>
      </c>
      <c r="AX40" s="386">
        <f t="shared" si="36"/>
        <v>3.6000000000000004E-2</v>
      </c>
      <c r="AY40" s="386">
        <f t="shared" si="37"/>
        <v>0.40226399999999995</v>
      </c>
      <c r="AZ40" s="386">
        <f t="shared" si="38"/>
        <v>0.30415082926829268</v>
      </c>
      <c r="BA40" s="386">
        <f t="shared" si="56"/>
        <v>0.43826399999999999</v>
      </c>
      <c r="BB40" s="386">
        <f t="shared" si="57"/>
        <v>1.7298461070174753</v>
      </c>
      <c r="BC40">
        <f t="shared" si="39"/>
        <v>48</v>
      </c>
      <c r="BD40" s="604">
        <f t="shared" si="50"/>
        <v>0.96521513251227675</v>
      </c>
      <c r="BE40" s="614">
        <f t="shared" si="40"/>
        <v>18.774756846518287</v>
      </c>
      <c r="BF40" s="614">
        <f t="shared" si="41"/>
        <v>7.0895447235206825</v>
      </c>
      <c r="BG40" s="9"/>
      <c r="BH40" s="4">
        <f t="shared" si="51"/>
        <v>96.521513251227674</v>
      </c>
      <c r="BI40" s="386">
        <f t="shared" si="52"/>
        <v>0.26693849253869895</v>
      </c>
      <c r="BJ40" s="386">
        <f t="shared" si="53"/>
        <v>0.84095204342530627</v>
      </c>
      <c r="BK40" s="386">
        <f t="shared" si="54"/>
        <v>0.13758455221587385</v>
      </c>
      <c r="BL40" s="386">
        <f t="shared" si="55"/>
        <v>5.2985715333806867E-2</v>
      </c>
      <c r="BQ40">
        <v>9.9984319999999993</v>
      </c>
      <c r="BR40">
        <v>2.7269999999999999</v>
      </c>
      <c r="BS40">
        <v>5.115812</v>
      </c>
      <c r="BT40">
        <v>94.558770424517263</v>
      </c>
      <c r="BU40">
        <v>802.77694931200062</v>
      </c>
    </row>
    <row r="41" spans="1:73" x14ac:dyDescent="0.2">
      <c r="A41" s="23" t="s">
        <v>148</v>
      </c>
      <c r="B41" s="5">
        <f>Qgs_Q1*1000000000</f>
        <v>5.3</v>
      </c>
      <c r="C41" s="482" t="s">
        <v>69</v>
      </c>
      <c r="D41" s="21"/>
      <c r="G41">
        <v>32</v>
      </c>
      <c r="H41" s="610">
        <f t="shared" si="0"/>
        <v>13.32</v>
      </c>
      <c r="I41" s="4" t="str">
        <f t="shared" si="1"/>
        <v>BUCK-BST</v>
      </c>
      <c r="J41">
        <f t="shared" si="43"/>
        <v>3</v>
      </c>
      <c r="K41">
        <f t="shared" si="2"/>
        <v>4</v>
      </c>
      <c r="L41" s="4">
        <f t="shared" si="3"/>
        <v>4.0040040040040035</v>
      </c>
      <c r="M41" s="4">
        <f t="shared" si="4"/>
        <v>4.2350449973530973</v>
      </c>
      <c r="N41" s="386">
        <f t="shared" si="5"/>
        <v>0.85090090090090087</v>
      </c>
      <c r="O41" s="386">
        <f t="shared" si="44"/>
        <v>5.5500000000000001E-2</v>
      </c>
      <c r="P41" s="4">
        <f t="shared" si="6"/>
        <v>1.2009494946355208</v>
      </c>
      <c r="Q41" s="386">
        <f t="shared" si="7"/>
        <v>4.2492112331185581</v>
      </c>
      <c r="R41" s="386">
        <f t="shared" si="8"/>
        <v>0.24296918270395315</v>
      </c>
      <c r="S41" s="386">
        <f t="shared" si="45"/>
        <v>3.1028568178802313E-2</v>
      </c>
      <c r="T41" s="386">
        <f t="shared" si="46"/>
        <v>0.27399775088275546</v>
      </c>
      <c r="U41" s="4">
        <f t="shared" si="9"/>
        <v>0.3466842570054815</v>
      </c>
      <c r="V41" s="386">
        <f t="shared" si="10"/>
        <v>3.2451292994969544E-3</v>
      </c>
      <c r="W41" s="386">
        <f t="shared" si="47"/>
        <v>3.2451292994969544E-3</v>
      </c>
      <c r="X41" s="386">
        <f t="shared" si="11"/>
        <v>1.4300857500915931</v>
      </c>
      <c r="Y41" s="386">
        <f t="shared" si="12"/>
        <v>6.5444648083681098E-2</v>
      </c>
      <c r="Z41" s="603">
        <f t="shared" si="48"/>
        <v>6.5444648083681098E-2</v>
      </c>
      <c r="AA41" s="386">
        <f t="shared" si="13"/>
        <v>3.9196547260043282</v>
      </c>
      <c r="AB41" s="386">
        <f t="shared" si="14"/>
        <v>0.15363693171088064</v>
      </c>
      <c r="AC41" s="386">
        <f t="shared" si="15"/>
        <v>0.11335293181398036</v>
      </c>
      <c r="AD41">
        <f t="shared" si="16"/>
        <v>0</v>
      </c>
      <c r="AE41" s="386">
        <f t="shared" si="17"/>
        <v>0.2768581305422691</v>
      </c>
      <c r="AF41" s="386">
        <f t="shared" si="18"/>
        <v>1.6407629117495526</v>
      </c>
      <c r="AG41" s="386">
        <f t="shared" si="19"/>
        <v>2.6921029325728704E-2</v>
      </c>
      <c r="AH41" s="386">
        <f t="shared" si="20"/>
        <v>9.6199999999999994E-2</v>
      </c>
      <c r="AI41" s="386">
        <f t="shared" si="21"/>
        <v>0.12389483668105924</v>
      </c>
      <c r="AJ41" s="386">
        <f t="shared" si="22"/>
        <v>1.0010477929415669</v>
      </c>
      <c r="AK41" s="386">
        <f t="shared" si="23"/>
        <v>1.0020966837531823E-2</v>
      </c>
      <c r="AL41" s="386">
        <f t="shared" si="24"/>
        <v>0.10612653575380041</v>
      </c>
      <c r="AM41">
        <f t="shared" si="25"/>
        <v>0</v>
      </c>
      <c r="AN41" s="386">
        <f t="shared" si="26"/>
        <v>0.1164181590138295</v>
      </c>
      <c r="AO41" s="386">
        <f t="shared" si="27"/>
        <v>4.1296125023914483</v>
      </c>
      <c r="AP41" s="386">
        <f t="shared" si="28"/>
        <v>0.17053699419907759</v>
      </c>
      <c r="AQ41" s="386">
        <f t="shared" si="29"/>
        <v>9.6296296296296283E-2</v>
      </c>
      <c r="AR41" s="386">
        <f t="shared" si="30"/>
        <v>0.27782533388114106</v>
      </c>
      <c r="AS41" s="386">
        <f t="shared" si="31"/>
        <v>0</v>
      </c>
      <c r="AT41" s="386">
        <f t="shared" si="32"/>
        <v>0</v>
      </c>
      <c r="AU41" s="386">
        <f t="shared" si="33"/>
        <v>4.6768000000000004E-2</v>
      </c>
      <c r="AV41" s="386">
        <f t="shared" si="34"/>
        <v>5.5412994244890788E-2</v>
      </c>
      <c r="AW41" s="386">
        <f t="shared" si="35"/>
        <v>6.5920000000000006E-2</v>
      </c>
      <c r="AX41" s="386">
        <f t="shared" si="36"/>
        <v>3.6000000000000004E-2</v>
      </c>
      <c r="AY41" s="386">
        <f t="shared" si="37"/>
        <v>0.40226399999999995</v>
      </c>
      <c r="AZ41" s="386">
        <f t="shared" si="38"/>
        <v>0.30415082926829268</v>
      </c>
      <c r="BA41" s="386">
        <f t="shared" si="56"/>
        <v>0.43826399999999999</v>
      </c>
      <c r="BB41" s="386">
        <f t="shared" si="57"/>
        <v>1.7440489826291232</v>
      </c>
      <c r="BC41">
        <f t="shared" si="39"/>
        <v>48</v>
      </c>
      <c r="BD41" s="604">
        <f t="shared" si="50"/>
        <v>0.96493954516573122</v>
      </c>
      <c r="BE41" s="614">
        <f t="shared" si="40"/>
        <v>18.770315571451608</v>
      </c>
      <c r="BF41" s="614">
        <f t="shared" si="41"/>
        <v>7.1859005275014365</v>
      </c>
      <c r="BG41" s="9"/>
      <c r="BH41" s="4">
        <f t="shared" si="51"/>
        <v>96.493954516573126</v>
      </c>
      <c r="BI41" s="386">
        <f t="shared" si="52"/>
        <v>0.27399775088275546</v>
      </c>
      <c r="BJ41" s="386">
        <f t="shared" si="53"/>
        <v>0.84176446011829886</v>
      </c>
      <c r="BK41" s="386">
        <f t="shared" si="54"/>
        <v>0.13932827668105924</v>
      </c>
      <c r="BL41" s="386">
        <f t="shared" si="55"/>
        <v>5.5412994244890788E-2</v>
      </c>
      <c r="BQ41">
        <v>9.9985180000000007</v>
      </c>
      <c r="BR41">
        <v>3.1859999999999999</v>
      </c>
      <c r="BS41">
        <v>5.1148889999999998</v>
      </c>
      <c r="BT41">
        <v>94.58411932633652</v>
      </c>
      <c r="BU41">
        <v>933.10990806000302</v>
      </c>
    </row>
    <row r="42" spans="1:73" x14ac:dyDescent="0.2">
      <c r="A42" s="23" t="s">
        <v>94</v>
      </c>
      <c r="B42" s="5">
        <f>Rgate1</f>
        <v>0.8</v>
      </c>
      <c r="C42" s="486" t="s">
        <v>120</v>
      </c>
      <c r="D42" s="21" t="s">
        <v>104</v>
      </c>
      <c r="G42">
        <v>33</v>
      </c>
      <c r="H42" s="610">
        <f t="shared" si="0"/>
        <v>13.455</v>
      </c>
      <c r="I42" s="4" t="str">
        <f t="shared" si="1"/>
        <v>BUCK-BST</v>
      </c>
      <c r="J42">
        <f t="shared" si="43"/>
        <v>3</v>
      </c>
      <c r="K42">
        <f t="shared" si="2"/>
        <v>4</v>
      </c>
      <c r="L42" s="4">
        <f t="shared" si="3"/>
        <v>3.9638300507865725</v>
      </c>
      <c r="M42" s="4">
        <f t="shared" si="4"/>
        <v>4.2350449973530973</v>
      </c>
      <c r="N42" s="386">
        <f t="shared" si="5"/>
        <v>0.84236343366778155</v>
      </c>
      <c r="O42" s="386">
        <f t="shared" ref="O42:O73" si="58">CHOOSE(J42,0,(Vout+(Rdson3+Rdcr)*L42-H42)/(Vout+(Rdson3-Rdson4-Rs)*L42),IF(H42&gt;Vout,D_min_boost_exitBB_to_buck, (Vout-H42*D_max_buck_BB)/Vout))</f>
        <v>5.5500000000000001E-2</v>
      </c>
      <c r="P42" s="4">
        <f t="shared" si="6"/>
        <v>1.3196865662360573</v>
      </c>
      <c r="Q42" s="386">
        <f t="shared" si="7"/>
        <v>4.2521450095644857</v>
      </c>
      <c r="R42" s="386">
        <f t="shared" si="8"/>
        <v>0.24331133705292002</v>
      </c>
      <c r="S42" s="386">
        <f t="shared" si="45"/>
        <v>3.8556840546078469E-2</v>
      </c>
      <c r="T42" s="386">
        <f t="shared" si="46"/>
        <v>0.28186817759899851</v>
      </c>
      <c r="U42" s="4">
        <f t="shared" si="9"/>
        <v>0.38096069713116032</v>
      </c>
      <c r="V42" s="386">
        <f t="shared" si="10"/>
        <v>3.918538424483811E-3</v>
      </c>
      <c r="W42" s="386">
        <f t="shared" si="47"/>
        <v>3.918538424483811E-3</v>
      </c>
      <c r="X42" s="386">
        <f t="shared" si="11"/>
        <v>1.4641953511165151</v>
      </c>
      <c r="Y42" s="386">
        <f t="shared" si="12"/>
        <v>6.8603776839398875E-2</v>
      </c>
      <c r="Z42" s="603">
        <f t="shared" si="48"/>
        <v>6.8603776839398875E-2</v>
      </c>
      <c r="AA42" s="386">
        <f t="shared" si="13"/>
        <v>3.9026339638993819</v>
      </c>
      <c r="AB42" s="386">
        <f t="shared" si="14"/>
        <v>0.15230551856181002</v>
      </c>
      <c r="AC42" s="386">
        <f t="shared" si="15"/>
        <v>0.11450177909587882</v>
      </c>
      <c r="AD42">
        <f t="shared" si="16"/>
        <v>0</v>
      </c>
      <c r="AE42" s="386">
        <f t="shared" si="17"/>
        <v>0.2765802268692128</v>
      </c>
      <c r="AF42" s="386">
        <f t="shared" si="18"/>
        <v>1.6882491895994372</v>
      </c>
      <c r="AG42" s="386">
        <f t="shared" si="19"/>
        <v>2.8501853261831564E-2</v>
      </c>
      <c r="AH42" s="386">
        <f t="shared" si="20"/>
        <v>9.6199999999999994E-2</v>
      </c>
      <c r="AI42" s="386">
        <f t="shared" si="21"/>
        <v>0.12553192431872454</v>
      </c>
      <c r="AJ42" s="386">
        <f t="shared" si="22"/>
        <v>1.0017389448460168</v>
      </c>
      <c r="AK42" s="386">
        <f t="shared" si="23"/>
        <v>1.0034809136212111E-2</v>
      </c>
      <c r="AL42" s="386">
        <f t="shared" si="24"/>
        <v>0.10612653575380041</v>
      </c>
      <c r="AM42">
        <f t="shared" si="25"/>
        <v>0</v>
      </c>
      <c r="AN42" s="386">
        <f t="shared" si="26"/>
        <v>0.11643240835287355</v>
      </c>
      <c r="AO42" s="386">
        <f t="shared" si="27"/>
        <v>4.1324637044677051</v>
      </c>
      <c r="AP42" s="386">
        <f t="shared" si="28"/>
        <v>0.17077256268742946</v>
      </c>
      <c r="AQ42" s="386">
        <f t="shared" si="29"/>
        <v>9.533011272141706E-2</v>
      </c>
      <c r="AR42" s="386">
        <f t="shared" si="30"/>
        <v>0.27708038830031628</v>
      </c>
      <c r="AS42" s="386">
        <f t="shared" si="31"/>
        <v>0</v>
      </c>
      <c r="AT42" s="386">
        <f t="shared" si="32"/>
        <v>0</v>
      </c>
      <c r="AU42" s="386">
        <f t="shared" si="33"/>
        <v>4.7017750000000004E-2</v>
      </c>
      <c r="AV42" s="386">
        <f t="shared" si="34"/>
        <v>5.7804993597065507E-2</v>
      </c>
      <c r="AW42" s="386">
        <f t="shared" si="35"/>
        <v>6.5920000000000006E-2</v>
      </c>
      <c r="AX42" s="386">
        <f t="shared" si="36"/>
        <v>3.6000000000000004E-2</v>
      </c>
      <c r="AY42" s="386">
        <f t="shared" si="37"/>
        <v>0.40226399999999995</v>
      </c>
      <c r="AZ42" s="386">
        <f t="shared" si="38"/>
        <v>0.30415082926829268</v>
      </c>
      <c r="BA42" s="386">
        <f t="shared" si="56"/>
        <v>0.43826399999999999</v>
      </c>
      <c r="BB42" s="386">
        <f t="shared" si="57"/>
        <v>1.7590221843010738</v>
      </c>
      <c r="BC42">
        <f t="shared" si="39"/>
        <v>48</v>
      </c>
      <c r="BD42" s="604">
        <f t="shared" si="50"/>
        <v>0.96464918105131003</v>
      </c>
      <c r="BE42" s="614">
        <f t="shared" si="40"/>
        <v>18.768682658414345</v>
      </c>
      <c r="BF42" s="614">
        <f t="shared" si="41"/>
        <v>7.2808516104860228</v>
      </c>
      <c r="BG42" s="9"/>
      <c r="BH42" s="4">
        <f t="shared" si="51"/>
        <v>96.464918105131005</v>
      </c>
      <c r="BI42" s="386">
        <f t="shared" si="52"/>
        <v>0.28186817759899851</v>
      </c>
      <c r="BJ42" s="386">
        <f t="shared" si="53"/>
        <v>0.84264269784112722</v>
      </c>
      <c r="BK42" s="386">
        <f t="shared" si="54"/>
        <v>0.14104778181872454</v>
      </c>
      <c r="BL42" s="386">
        <f t="shared" si="55"/>
        <v>5.7804993597065507E-2</v>
      </c>
      <c r="BQ42">
        <v>9.9984190000000002</v>
      </c>
      <c r="BR42">
        <v>3.6920000000000002</v>
      </c>
      <c r="BS42">
        <v>5.1137540000000001</v>
      </c>
      <c r="BT42">
        <v>94.441363374789603</v>
      </c>
      <c r="BU42">
        <v>1111.2391205219994</v>
      </c>
    </row>
    <row r="43" spans="1:73" x14ac:dyDescent="0.2">
      <c r="A43" s="23" t="s">
        <v>73</v>
      </c>
      <c r="B43" s="5">
        <f>Gfs_Q1</f>
        <v>44</v>
      </c>
      <c r="C43" s="482" t="s">
        <v>70</v>
      </c>
      <c r="D43" s="21" t="s">
        <v>105</v>
      </c>
      <c r="G43">
        <v>34</v>
      </c>
      <c r="H43" s="610">
        <f t="shared" si="0"/>
        <v>13.59</v>
      </c>
      <c r="I43" s="4" t="str">
        <f t="shared" si="1"/>
        <v>BUCK-BST</v>
      </c>
      <c r="J43">
        <f t="shared" si="43"/>
        <v>3</v>
      </c>
      <c r="K43">
        <f t="shared" si="2"/>
        <v>4</v>
      </c>
      <c r="L43" s="4">
        <f t="shared" si="3"/>
        <v>3.9244542555800837</v>
      </c>
      <c r="M43" s="4">
        <f t="shared" si="4"/>
        <v>4.2350449973530973</v>
      </c>
      <c r="N43" s="386">
        <f t="shared" si="5"/>
        <v>0.83399558498896242</v>
      </c>
      <c r="O43" s="386">
        <f t="shared" si="58"/>
        <v>5.5500000000000001E-2</v>
      </c>
      <c r="P43" s="4">
        <f t="shared" si="6"/>
        <v>1.4360646231690328</v>
      </c>
      <c r="Q43" s="386">
        <f t="shared" si="7"/>
        <v>4.2552864685900174</v>
      </c>
      <c r="R43" s="386">
        <f t="shared" si="8"/>
        <v>0.24367799478467739</v>
      </c>
      <c r="S43" s="386">
        <f t="shared" si="45"/>
        <v>4.6845252506423234E-2</v>
      </c>
      <c r="T43" s="386">
        <f t="shared" si="46"/>
        <v>0.29052324729110063</v>
      </c>
      <c r="U43" s="4">
        <f t="shared" si="9"/>
        <v>0.4145561483801698</v>
      </c>
      <c r="V43" s="386">
        <f t="shared" si="10"/>
        <v>4.6401336043146368E-3</v>
      </c>
      <c r="W43" s="386">
        <f t="shared" si="47"/>
        <v>4.6401336043146368E-3</v>
      </c>
      <c r="X43" s="386">
        <f t="shared" si="11"/>
        <v>1.4963102074800014</v>
      </c>
      <c r="Y43" s="386">
        <f t="shared" si="12"/>
        <v>7.1646215584283038E-2</v>
      </c>
      <c r="Z43" s="603">
        <f t="shared" si="48"/>
        <v>7.1646215584283038E-2</v>
      </c>
      <c r="AA43" s="386">
        <f t="shared" si="13"/>
        <v>3.8860705267372033</v>
      </c>
      <c r="AB43" s="386">
        <f t="shared" si="14"/>
        <v>0.15101544138775563</v>
      </c>
      <c r="AC43" s="386">
        <f t="shared" si="15"/>
        <v>0.11565062637777726</v>
      </c>
      <c r="AD43">
        <f t="shared" si="16"/>
        <v>0</v>
      </c>
      <c r="AE43" s="386">
        <f t="shared" si="17"/>
        <v>0.27634808382811643</v>
      </c>
      <c r="AF43" s="386">
        <f t="shared" si="18"/>
        <v>1.7337585734437586</v>
      </c>
      <c r="AG43" s="386">
        <f t="shared" si="19"/>
        <v>3.005918790989737E-2</v>
      </c>
      <c r="AH43" s="386">
        <f t="shared" si="20"/>
        <v>9.6199999999999994E-2</v>
      </c>
      <c r="AI43" s="386">
        <f t="shared" si="21"/>
        <v>0.12714586907424641</v>
      </c>
      <c r="AJ43" s="386">
        <f t="shared" si="22"/>
        <v>1.0024790235221752</v>
      </c>
      <c r="AK43" s="386">
        <f t="shared" si="23"/>
        <v>1.004964192601974E-2</v>
      </c>
      <c r="AL43" s="386">
        <f t="shared" si="24"/>
        <v>0.10612653575380041</v>
      </c>
      <c r="AM43">
        <f t="shared" si="25"/>
        <v>0</v>
      </c>
      <c r="AN43" s="386">
        <f t="shared" si="26"/>
        <v>0.11644767741079422</v>
      </c>
      <c r="AO43" s="386">
        <f t="shared" si="27"/>
        <v>4.1355167436685987</v>
      </c>
      <c r="AP43" s="386">
        <f t="shared" si="28"/>
        <v>0.1710249873716333</v>
      </c>
      <c r="AQ43" s="386">
        <f t="shared" si="29"/>
        <v>9.4383124846701E-2</v>
      </c>
      <c r="AR43" s="386">
        <f t="shared" si="30"/>
        <v>0.27637402468527633</v>
      </c>
      <c r="AS43" s="386">
        <f t="shared" si="31"/>
        <v>0</v>
      </c>
      <c r="AT43" s="386">
        <f t="shared" si="32"/>
        <v>0</v>
      </c>
      <c r="AU43" s="386">
        <f t="shared" si="33"/>
        <v>4.7267500000000004E-2</v>
      </c>
      <c r="AV43" s="386">
        <f t="shared" si="34"/>
        <v>6.0163244753875661E-2</v>
      </c>
      <c r="AW43" s="386">
        <f t="shared" si="35"/>
        <v>6.5920000000000006E-2</v>
      </c>
      <c r="AX43" s="386">
        <f t="shared" si="36"/>
        <v>3.6000000000000004E-2</v>
      </c>
      <c r="AY43" s="386">
        <f t="shared" si="37"/>
        <v>0.40226399999999995</v>
      </c>
      <c r="AZ43" s="386">
        <f t="shared" si="38"/>
        <v>0.30415082926829268</v>
      </c>
      <c r="BA43" s="386">
        <f t="shared" si="56"/>
        <v>0.43826399999999999</v>
      </c>
      <c r="BB43" s="386">
        <f t="shared" si="57"/>
        <v>1.7747399962320072</v>
      </c>
      <c r="BC43">
        <f t="shared" si="39"/>
        <v>48</v>
      </c>
      <c r="BD43" s="604">
        <f t="shared" si="50"/>
        <v>0.96434456520784728</v>
      </c>
      <c r="BE43" s="614">
        <f t="shared" si="40"/>
        <v>18.769703862030752</v>
      </c>
      <c r="BF43" s="614">
        <f t="shared" si="41"/>
        <v>7.3744604063062917</v>
      </c>
      <c r="BG43" s="9"/>
      <c r="BH43" s="4">
        <f t="shared" si="51"/>
        <v>96.434456520784721</v>
      </c>
      <c r="BI43" s="386">
        <f t="shared" si="52"/>
        <v>0.29052324729110063</v>
      </c>
      <c r="BJ43" s="386">
        <f t="shared" si="53"/>
        <v>0.84358315499843339</v>
      </c>
      <c r="BK43" s="386">
        <f t="shared" si="54"/>
        <v>0.1427441440742464</v>
      </c>
      <c r="BL43" s="386">
        <f t="shared" si="55"/>
        <v>6.0163244753875661E-2</v>
      </c>
      <c r="BQ43">
        <v>9.998246</v>
      </c>
      <c r="BR43">
        <v>4.2430000000000003</v>
      </c>
      <c r="BS43">
        <v>5.1120590000000004</v>
      </c>
      <c r="BT43">
        <v>94.267178615859891</v>
      </c>
      <c r="BU43">
        <v>1319.0970775599953</v>
      </c>
    </row>
    <row r="44" spans="1:73" x14ac:dyDescent="0.2">
      <c r="A44" s="23" t="s">
        <v>96</v>
      </c>
      <c r="B44" s="5">
        <f>Vth_Q1</f>
        <v>1.8</v>
      </c>
      <c r="C44" s="482" t="s">
        <v>0</v>
      </c>
      <c r="D44" s="21" t="s">
        <v>106</v>
      </c>
      <c r="G44">
        <v>35</v>
      </c>
      <c r="H44" s="610">
        <f t="shared" si="0"/>
        <v>13.725</v>
      </c>
      <c r="I44" s="4" t="str">
        <f t="shared" si="1"/>
        <v>BUCK-BST</v>
      </c>
      <c r="J44">
        <f t="shared" si="43"/>
        <v>3</v>
      </c>
      <c r="K44">
        <f t="shared" si="2"/>
        <v>4</v>
      </c>
      <c r="L44" s="4">
        <f t="shared" si="3"/>
        <v>3.8858530661809354</v>
      </c>
      <c r="M44" s="4">
        <f t="shared" si="4"/>
        <v>4.2350449973530973</v>
      </c>
      <c r="N44" s="386">
        <f t="shared" si="5"/>
        <v>0.82579234972677595</v>
      </c>
      <c r="O44" s="386">
        <f t="shared" si="58"/>
        <v>5.5500000000000001E-2</v>
      </c>
      <c r="P44" s="4">
        <f t="shared" si="6"/>
        <v>1.5501532757033272</v>
      </c>
      <c r="Q44" s="386">
        <f t="shared" si="7"/>
        <v>4.2586211455258587</v>
      </c>
      <c r="R44" s="386">
        <f t="shared" si="8"/>
        <v>0.24406752348096034</v>
      </c>
      <c r="S44" s="386">
        <f t="shared" si="45"/>
        <v>5.5867585440977245E-2</v>
      </c>
      <c r="T44" s="386">
        <f t="shared" si="46"/>
        <v>0.29993510892193759</v>
      </c>
      <c r="U44" s="4">
        <f t="shared" si="9"/>
        <v>0.44749070550624809</v>
      </c>
      <c r="V44" s="386">
        <f t="shared" si="10"/>
        <v>5.40669415089095E-3</v>
      </c>
      <c r="W44" s="386">
        <f t="shared" si="47"/>
        <v>5.40669415089095E-3</v>
      </c>
      <c r="X44" s="386">
        <f t="shared" si="11"/>
        <v>1.5266162104436209</v>
      </c>
      <c r="Y44" s="386">
        <f t="shared" si="12"/>
        <v>7.4577825727655755E-2</v>
      </c>
      <c r="Z44" s="603">
        <f t="shared" si="48"/>
        <v>7.4577825727655755E-2</v>
      </c>
      <c r="AA44" s="386">
        <f t="shared" si="13"/>
        <v>3.8699418005228652</v>
      </c>
      <c r="AB44" s="386">
        <f t="shared" si="14"/>
        <v>0.14976449539434156</v>
      </c>
      <c r="AC44" s="386">
        <f t="shared" si="15"/>
        <v>0.11679947365967572</v>
      </c>
      <c r="AD44">
        <f t="shared" si="16"/>
        <v>0</v>
      </c>
      <c r="AE44" s="386">
        <f t="shared" si="17"/>
        <v>0.27615922142946081</v>
      </c>
      <c r="AF44" s="386">
        <f t="shared" si="18"/>
        <v>1.7774713842101142</v>
      </c>
      <c r="AG44" s="386">
        <f t="shared" si="19"/>
        <v>3.1594045216858192E-2</v>
      </c>
      <c r="AH44" s="386">
        <f t="shared" si="20"/>
        <v>9.6199999999999994E-2</v>
      </c>
      <c r="AI44" s="386">
        <f t="shared" si="21"/>
        <v>0.12873766896322439</v>
      </c>
      <c r="AJ44" s="386">
        <f t="shared" si="22"/>
        <v>1.0032646213198981</v>
      </c>
      <c r="AK44" s="386">
        <f t="shared" si="23"/>
        <v>1.0065399003921586E-2</v>
      </c>
      <c r="AL44" s="386">
        <f t="shared" si="24"/>
        <v>0.10612653575380041</v>
      </c>
      <c r="AM44">
        <f t="shared" si="25"/>
        <v>0</v>
      </c>
      <c r="AN44" s="386">
        <f t="shared" si="26"/>
        <v>0.11646389805773472</v>
      </c>
      <c r="AO44" s="386">
        <f t="shared" si="27"/>
        <v>4.138757562448883</v>
      </c>
      <c r="AP44" s="386">
        <f t="shared" si="28"/>
        <v>0.17129314160727821</v>
      </c>
      <c r="AQ44" s="386">
        <f t="shared" si="29"/>
        <v>9.3454766241651485E-2</v>
      </c>
      <c r="AR44" s="386">
        <f t="shared" si="30"/>
        <v>0.27570440327589407</v>
      </c>
      <c r="AS44" s="386">
        <f t="shared" si="31"/>
        <v>0</v>
      </c>
      <c r="AT44" s="386">
        <f t="shared" si="32"/>
        <v>0</v>
      </c>
      <c r="AU44" s="386">
        <f t="shared" si="33"/>
        <v>4.7517250000000004E-2</v>
      </c>
      <c r="AV44" s="386">
        <f t="shared" si="34"/>
        <v>6.248916633116966E-2</v>
      </c>
      <c r="AW44" s="386">
        <f t="shared" si="35"/>
        <v>6.5920000000000006E-2</v>
      </c>
      <c r="AX44" s="386">
        <f t="shared" si="36"/>
        <v>3.6000000000000004E-2</v>
      </c>
      <c r="AY44" s="386">
        <f t="shared" si="37"/>
        <v>0.40226399999999995</v>
      </c>
      <c r="AZ44" s="386">
        <f t="shared" si="38"/>
        <v>0.30415082926829268</v>
      </c>
      <c r="BA44" s="386">
        <f t="shared" si="56"/>
        <v>0.43826399999999999</v>
      </c>
      <c r="BB44" s="386">
        <f t="shared" si="57"/>
        <v>1.7911752368579679</v>
      </c>
      <c r="BC44">
        <f t="shared" si="39"/>
        <v>48</v>
      </c>
      <c r="BD44" s="604">
        <f t="shared" si="50"/>
        <v>0.96402625107085149</v>
      </c>
      <c r="BE44" s="614">
        <f t="shared" si="40"/>
        <v>18.773235342908727</v>
      </c>
      <c r="BF44" s="614">
        <f t="shared" si="41"/>
        <v>7.4667847998670149</v>
      </c>
      <c r="BG44" s="9"/>
      <c r="BH44" s="4">
        <f t="shared" si="51"/>
        <v>96.402625107085143</v>
      </c>
      <c r="BI44" s="386">
        <f t="shared" si="52"/>
        <v>0.29993510892193759</v>
      </c>
      <c r="BJ44" s="386">
        <f t="shared" si="53"/>
        <v>0.84458244172631391</v>
      </c>
      <c r="BK44" s="386">
        <f t="shared" si="54"/>
        <v>0.1444183614632244</v>
      </c>
      <c r="BL44" s="386">
        <f t="shared" si="55"/>
        <v>6.248916633116966E-2</v>
      </c>
      <c r="BQ44">
        <v>9.9981469999999995</v>
      </c>
      <c r="BR44">
        <v>4.8490000000000002</v>
      </c>
      <c r="BS44">
        <v>5.1107740000000002</v>
      </c>
      <c r="BT44">
        <v>93.953815994681278</v>
      </c>
      <c r="BU44">
        <v>1594.7983209009985</v>
      </c>
    </row>
    <row r="45" spans="1:73" x14ac:dyDescent="0.2">
      <c r="A45" s="28" t="s">
        <v>147</v>
      </c>
      <c r="B45" s="489">
        <f>Vsp_Q1</f>
        <v>1.8909090909090909</v>
      </c>
      <c r="C45" s="487" t="s">
        <v>0</v>
      </c>
      <c r="G45">
        <v>36</v>
      </c>
      <c r="H45" s="610">
        <f t="shared" si="0"/>
        <v>13.86</v>
      </c>
      <c r="I45" s="4" t="str">
        <f t="shared" si="1"/>
        <v>BUCK-BST</v>
      </c>
      <c r="J45">
        <f t="shared" si="43"/>
        <v>3</v>
      </c>
      <c r="K45">
        <f t="shared" si="2"/>
        <v>4</v>
      </c>
      <c r="L45" s="4">
        <f t="shared" si="3"/>
        <v>3.8480038480038479</v>
      </c>
      <c r="M45" s="4">
        <f t="shared" si="4"/>
        <v>4.2350449973530973</v>
      </c>
      <c r="N45" s="386">
        <f t="shared" si="5"/>
        <v>0.81774891774891778</v>
      </c>
      <c r="O45" s="386">
        <f t="shared" si="58"/>
        <v>5.5500000000000001E-2</v>
      </c>
      <c r="P45" s="4">
        <f t="shared" si="6"/>
        <v>1.6620194220194213</v>
      </c>
      <c r="Q45" s="386">
        <f t="shared" si="7"/>
        <v>4.2621354400741787</v>
      </c>
      <c r="R45" s="386">
        <f t="shared" si="8"/>
        <v>0.24447838962095372</v>
      </c>
      <c r="S45" s="386">
        <f t="shared" si="45"/>
        <v>6.5596744709037771E-2</v>
      </c>
      <c r="T45" s="386">
        <f t="shared" si="46"/>
        <v>0.31007513432999151</v>
      </c>
      <c r="U45" s="4">
        <f t="shared" si="9"/>
        <v>0.47978368035064961</v>
      </c>
      <c r="V45" s="386">
        <f t="shared" si="10"/>
        <v>6.2151942581319865E-3</v>
      </c>
      <c r="W45" s="386">
        <f t="shared" si="47"/>
        <v>6.2151942581319865E-3</v>
      </c>
      <c r="X45" s="386">
        <f t="shared" si="11"/>
        <v>1.5552738889293751</v>
      </c>
      <c r="Y45" s="386">
        <f t="shared" si="12"/>
        <v>7.740405982673608E-2</v>
      </c>
      <c r="Z45" s="603">
        <f t="shared" si="48"/>
        <v>7.740405982673608E-2</v>
      </c>
      <c r="AA45" s="386">
        <f t="shared" si="13"/>
        <v>3.8542265204860788</v>
      </c>
      <c r="AB45" s="386">
        <f t="shared" si="14"/>
        <v>0.14855062071218225</v>
      </c>
      <c r="AC45" s="386">
        <f t="shared" si="15"/>
        <v>0.11794832094157415</v>
      </c>
      <c r="AD45">
        <f t="shared" si="16"/>
        <v>0</v>
      </c>
      <c r="AE45" s="386">
        <f t="shared" si="17"/>
        <v>0.27601132531184713</v>
      </c>
      <c r="AF45" s="386">
        <f t="shared" si="18"/>
        <v>1.8195429201637672</v>
      </c>
      <c r="AG45" s="386">
        <f t="shared" si="19"/>
        <v>3.310736438318089E-2</v>
      </c>
      <c r="AH45" s="386">
        <f t="shared" si="20"/>
        <v>9.6199999999999994E-2</v>
      </c>
      <c r="AI45" s="386">
        <f t="shared" si="21"/>
        <v>0.13030825013406386</v>
      </c>
      <c r="AJ45" s="386">
        <f t="shared" si="22"/>
        <v>1.0040925342214557</v>
      </c>
      <c r="AK45" s="386">
        <f t="shared" si="23"/>
        <v>1.0082018172792653E-2</v>
      </c>
      <c r="AL45" s="386">
        <f t="shared" si="24"/>
        <v>0.10612653575380041</v>
      </c>
      <c r="AM45">
        <f t="shared" si="25"/>
        <v>0</v>
      </c>
      <c r="AN45" s="386">
        <f t="shared" si="26"/>
        <v>0.11648100628693651</v>
      </c>
      <c r="AO45" s="386">
        <f t="shared" si="27"/>
        <v>4.1421729433060914</v>
      </c>
      <c r="AP45" s="386">
        <f t="shared" si="28"/>
        <v>0.17157596692257049</v>
      </c>
      <c r="AQ45" s="386">
        <f t="shared" si="29"/>
        <v>9.254449254449254E-2</v>
      </c>
      <c r="AR45" s="386">
        <f t="shared" si="30"/>
        <v>0.27506978395043818</v>
      </c>
      <c r="AS45" s="386">
        <f t="shared" si="31"/>
        <v>0</v>
      </c>
      <c r="AT45" s="386">
        <f t="shared" si="32"/>
        <v>0</v>
      </c>
      <c r="AU45" s="386">
        <f t="shared" si="33"/>
        <v>4.7767000000000004E-2</v>
      </c>
      <c r="AV45" s="386">
        <f t="shared" si="34"/>
        <v>6.4784073833960315E-2</v>
      </c>
      <c r="AW45" s="386">
        <f t="shared" si="35"/>
        <v>6.5920000000000006E-2</v>
      </c>
      <c r="AX45" s="386">
        <f t="shared" si="36"/>
        <v>3.6000000000000004E-2</v>
      </c>
      <c r="AY45" s="386">
        <f t="shared" si="37"/>
        <v>0.40226399999999995</v>
      </c>
      <c r="AZ45" s="386">
        <f t="shared" si="38"/>
        <v>0.30415082926829268</v>
      </c>
      <c r="BA45" s="386">
        <f t="shared" si="56"/>
        <v>0.43826399999999999</v>
      </c>
      <c r="BB45" s="386">
        <f t="shared" si="57"/>
        <v>1.8082998279321054</v>
      </c>
      <c r="BC45">
        <f t="shared" si="39"/>
        <v>48</v>
      </c>
      <c r="BD45" s="604">
        <f t="shared" si="50"/>
        <v>0.96369480921494888</v>
      </c>
      <c r="BE45" s="614">
        <f t="shared" si="40"/>
        <v>18.779142868087135</v>
      </c>
      <c r="BF45" s="614">
        <f t="shared" si="41"/>
        <v>7.5578785077757038</v>
      </c>
      <c r="BG45" s="9"/>
      <c r="BH45" s="4">
        <f t="shared" si="51"/>
        <v>96.369480921494883</v>
      </c>
      <c r="BI45" s="386">
        <f t="shared" si="52"/>
        <v>0.31007513432999151</v>
      </c>
      <c r="BJ45" s="386">
        <f t="shared" si="53"/>
        <v>0.84563736568328574</v>
      </c>
      <c r="BK45" s="386">
        <f t="shared" si="54"/>
        <v>0.14607136013406385</v>
      </c>
      <c r="BL45" s="386">
        <f t="shared" si="55"/>
        <v>6.4784073833960315E-2</v>
      </c>
      <c r="BQ45">
        <v>9.9979859999999992</v>
      </c>
      <c r="BR45">
        <v>5.4960000000000004</v>
      </c>
      <c r="BS45">
        <v>5.1097890000000001</v>
      </c>
      <c r="BT45">
        <v>93.599771362833366</v>
      </c>
      <c r="BU45">
        <v>1920.3056923499939</v>
      </c>
    </row>
    <row r="46" spans="1:73" x14ac:dyDescent="0.2">
      <c r="A46" s="77" t="s">
        <v>239</v>
      </c>
      <c r="B46" s="5">
        <f>Vsd_Q1</f>
        <v>1.3</v>
      </c>
      <c r="C46" s="487" t="s">
        <v>0</v>
      </c>
      <c r="G46">
        <v>37</v>
      </c>
      <c r="H46" s="610">
        <f t="shared" si="0"/>
        <v>13.995000000000001</v>
      </c>
      <c r="I46" s="4" t="str">
        <f t="shared" si="1"/>
        <v>BUCK-BST</v>
      </c>
      <c r="J46">
        <f t="shared" si="43"/>
        <v>3</v>
      </c>
      <c r="K46">
        <f t="shared" si="2"/>
        <v>4</v>
      </c>
      <c r="L46" s="4">
        <f t="shared" si="3"/>
        <v>3.8108848398237463</v>
      </c>
      <c r="M46" s="4">
        <f t="shared" si="4"/>
        <v>4.2350449973530973</v>
      </c>
      <c r="N46" s="386">
        <f t="shared" si="5"/>
        <v>0.80986066452304384</v>
      </c>
      <c r="O46" s="386">
        <f t="shared" si="58"/>
        <v>5.5500000000000001E-2</v>
      </c>
      <c r="P46" s="4">
        <f t="shared" si="6"/>
        <v>1.771727379017521</v>
      </c>
      <c r="Q46" s="386">
        <f t="shared" si="7"/>
        <v>4.2658165636919803</v>
      </c>
      <c r="R46" s="386">
        <f t="shared" si="8"/>
        <v>0.24490915209625957</v>
      </c>
      <c r="S46" s="386">
        <f t="shared" si="45"/>
        <v>7.600517711574796E-2</v>
      </c>
      <c r="T46" s="386">
        <f t="shared" si="46"/>
        <v>0.32091432921200752</v>
      </c>
      <c r="U46" s="4">
        <f t="shared" si="9"/>
        <v>0.51145363960319801</v>
      </c>
      <c r="V46" s="386">
        <f t="shared" si="10"/>
        <v>7.0627902875106639E-3</v>
      </c>
      <c r="W46" s="386">
        <f t="shared" si="47"/>
        <v>7.0627902875106639E-3</v>
      </c>
      <c r="X46" s="386">
        <f t="shared" si="11"/>
        <v>1.5824229506204999</v>
      </c>
      <c r="Y46" s="386">
        <f t="shared" si="12"/>
        <v>8.0129996628815647E-2</v>
      </c>
      <c r="Z46" s="603">
        <f t="shared" si="48"/>
        <v>8.0129996628815647E-2</v>
      </c>
      <c r="AA46" s="386">
        <f t="shared" si="13"/>
        <v>3.8389046822400767</v>
      </c>
      <c r="AB46" s="386">
        <f t="shared" si="14"/>
        <v>0.14737189159324784</v>
      </c>
      <c r="AC46" s="386">
        <f t="shared" si="15"/>
        <v>0.11909716822347263</v>
      </c>
      <c r="AD46">
        <f t="shared" si="16"/>
        <v>0</v>
      </c>
      <c r="AE46" s="386">
        <f t="shared" si="17"/>
        <v>0.27590223413710496</v>
      </c>
      <c r="AF46" s="386">
        <f t="shared" si="18"/>
        <v>1.8601080064727609</v>
      </c>
      <c r="AG46" s="386">
        <f t="shared" si="19"/>
        <v>3.4600017957440686E-2</v>
      </c>
      <c r="AH46" s="386">
        <f t="shared" si="20"/>
        <v>9.6199999999999994E-2</v>
      </c>
      <c r="AI46" s="386">
        <f t="shared" si="21"/>
        <v>0.13185847283996066</v>
      </c>
      <c r="AJ46" s="386">
        <f t="shared" si="22"/>
        <v>1.0049597494458777</v>
      </c>
      <c r="AK46" s="386">
        <f t="shared" si="23"/>
        <v>1.0099440980063214E-2</v>
      </c>
      <c r="AL46" s="386">
        <f t="shared" si="24"/>
        <v>0.10612653575380041</v>
      </c>
      <c r="AM46">
        <f t="shared" si="25"/>
        <v>0</v>
      </c>
      <c r="AN46" s="386">
        <f t="shared" si="26"/>
        <v>0.11649894194557686</v>
      </c>
      <c r="AO46" s="386">
        <f t="shared" si="27"/>
        <v>4.1457504576448558</v>
      </c>
      <c r="AP46" s="386">
        <f t="shared" si="28"/>
        <v>0.17187246857062533</v>
      </c>
      <c r="AQ46" s="386">
        <f t="shared" si="29"/>
        <v>9.165178039776109E-2</v>
      </c>
      <c r="AR46" s="386">
        <f t="shared" si="30"/>
        <v>0.27446852001075495</v>
      </c>
      <c r="AS46" s="386">
        <f t="shared" si="31"/>
        <v>0</v>
      </c>
      <c r="AT46" s="386">
        <f t="shared" si="32"/>
        <v>0</v>
      </c>
      <c r="AU46" s="386">
        <f t="shared" si="33"/>
        <v>4.8016750000000004E-2</v>
      </c>
      <c r="AV46" s="386">
        <f t="shared" si="34"/>
        <v>6.7049188406255844E-2</v>
      </c>
      <c r="AW46" s="386">
        <f t="shared" si="35"/>
        <v>6.5920000000000006E-2</v>
      </c>
      <c r="AX46" s="386">
        <f t="shared" si="36"/>
        <v>3.6000000000000004E-2</v>
      </c>
      <c r="AY46" s="386">
        <f t="shared" si="37"/>
        <v>0.40226399999999995</v>
      </c>
      <c r="AZ46" s="386">
        <f t="shared" si="38"/>
        <v>0.30415082926829268</v>
      </c>
      <c r="BA46" s="386">
        <f t="shared" si="56"/>
        <v>0.43826399999999999</v>
      </c>
      <c r="BB46" s="386">
        <f t="shared" si="57"/>
        <v>1.826085223467987</v>
      </c>
      <c r="BC46">
        <f t="shared" si="39"/>
        <v>48</v>
      </c>
      <c r="BD46" s="604">
        <f t="shared" si="50"/>
        <v>0.9633508188476364</v>
      </c>
      <c r="BE46" s="614">
        <f t="shared" si="40"/>
        <v>18.787301079952087</v>
      </c>
      <c r="BF46" s="614">
        <f t="shared" si="41"/>
        <v>7.6477914247177186</v>
      </c>
      <c r="BG46" s="9"/>
      <c r="BH46" s="4">
        <f t="shared" si="51"/>
        <v>96.335081884763639</v>
      </c>
      <c r="BI46" s="386">
        <f t="shared" si="52"/>
        <v>0.32091432921200752</v>
      </c>
      <c r="BJ46" s="386">
        <f t="shared" si="53"/>
        <v>0.84674491893339754</v>
      </c>
      <c r="BK46" s="386">
        <f t="shared" si="54"/>
        <v>0.14770400033996067</v>
      </c>
      <c r="BL46" s="386">
        <f t="shared" si="55"/>
        <v>6.7049188406255844E-2</v>
      </c>
      <c r="BQ46">
        <v>9.9978999999999996</v>
      </c>
      <c r="BR46">
        <v>6.1950000000000003</v>
      </c>
      <c r="BS46">
        <v>5.109191</v>
      </c>
      <c r="BT46">
        <v>93.156651672159526</v>
      </c>
      <c r="BU46">
        <v>2325.1351758999972</v>
      </c>
    </row>
    <row r="47" spans="1:73" ht="15.75" x14ac:dyDescent="0.3">
      <c r="A47" s="488" t="s">
        <v>680</v>
      </c>
      <c r="B47" s="5">
        <f>ThetaJA_Q1</f>
        <v>58</v>
      </c>
      <c r="C47" s="483" t="s">
        <v>241</v>
      </c>
      <c r="D47" s="21" t="s">
        <v>107</v>
      </c>
      <c r="G47">
        <v>38</v>
      </c>
      <c r="H47" s="610">
        <f t="shared" si="0"/>
        <v>14.129999999999999</v>
      </c>
      <c r="I47" s="4" t="str">
        <f t="shared" si="1"/>
        <v>BUCK-BST</v>
      </c>
      <c r="J47">
        <f t="shared" si="43"/>
        <v>3</v>
      </c>
      <c r="K47">
        <f t="shared" si="2"/>
        <v>4</v>
      </c>
      <c r="L47" s="4">
        <f t="shared" si="3"/>
        <v>3.7744751120547302</v>
      </c>
      <c r="M47" s="4">
        <f t="shared" si="4"/>
        <v>4.2350449973530973</v>
      </c>
      <c r="N47" s="386">
        <f t="shared" si="5"/>
        <v>0.80212314225053083</v>
      </c>
      <c r="O47" s="386">
        <f t="shared" si="58"/>
        <v>5.5500000000000001E-2</v>
      </c>
      <c r="P47" s="4">
        <f t="shared" si="6"/>
        <v>1.8793390056271193</v>
      </c>
      <c r="Q47" s="386">
        <f t="shared" si="7"/>
        <v>4.2696524902828008</v>
      </c>
      <c r="R47" s="386">
        <f t="shared" si="8"/>
        <v>0.24535845619769098</v>
      </c>
      <c r="S47" s="386">
        <f t="shared" si="45"/>
        <v>8.7065187550413592E-2</v>
      </c>
      <c r="T47" s="386">
        <f t="shared" si="46"/>
        <v>0.33242364374810457</v>
      </c>
      <c r="U47" s="4">
        <f t="shared" si="9"/>
        <v>0.54251844039869046</v>
      </c>
      <c r="V47" s="386">
        <f t="shared" si="10"/>
        <v>7.9468089706609419E-3</v>
      </c>
      <c r="W47" s="386">
        <f t="shared" si="47"/>
        <v>7.9468089706609419E-3</v>
      </c>
      <c r="X47" s="386">
        <f t="shared" si="11"/>
        <v>1.6081858248727283</v>
      </c>
      <c r="Y47" s="386">
        <f t="shared" si="12"/>
        <v>8.2760372714290487E-2</v>
      </c>
      <c r="Z47" s="603">
        <f t="shared" si="48"/>
        <v>8.2760372714290487E-2</v>
      </c>
      <c r="AA47" s="386">
        <f t="shared" si="13"/>
        <v>3.8239574592167354</v>
      </c>
      <c r="AB47" s="386">
        <f t="shared" si="14"/>
        <v>0.1462265064989931</v>
      </c>
      <c r="AC47" s="386">
        <f t="shared" si="15"/>
        <v>0.12024601550537105</v>
      </c>
      <c r="AD47">
        <f t="shared" si="16"/>
        <v>0</v>
      </c>
      <c r="AE47" s="386">
        <f t="shared" si="17"/>
        <v>0.27582992805436823</v>
      </c>
      <c r="AF47" s="386">
        <f t="shared" si="18"/>
        <v>1.8992845331542119</v>
      </c>
      <c r="AG47" s="386">
        <f t="shared" si="19"/>
        <v>3.6072817378788126E-2</v>
      </c>
      <c r="AH47" s="386">
        <f t="shared" si="20"/>
        <v>9.6199999999999994E-2</v>
      </c>
      <c r="AI47" s="386">
        <f t="shared" si="21"/>
        <v>0.13338913687695952</v>
      </c>
      <c r="AJ47" s="386">
        <f t="shared" si="22"/>
        <v>1.0058634338326877</v>
      </c>
      <c r="AK47" s="386">
        <f t="shared" si="23"/>
        <v>1.0117612475216857E-2</v>
      </c>
      <c r="AL47" s="386">
        <f t="shared" si="24"/>
        <v>0.10612653575380041</v>
      </c>
      <c r="AM47">
        <f t="shared" si="25"/>
        <v>0</v>
      </c>
      <c r="AN47" s="386">
        <f t="shared" si="26"/>
        <v>0.11651764848504095</v>
      </c>
      <c r="AO47" s="386">
        <f t="shared" si="27"/>
        <v>4.1494784178564466</v>
      </c>
      <c r="AP47" s="386">
        <f t="shared" si="28"/>
        <v>0.17218171140256439</v>
      </c>
      <c r="AQ47" s="386">
        <f t="shared" si="29"/>
        <v>9.0776126444916255E-2</v>
      </c>
      <c r="AR47" s="386">
        <f t="shared" si="30"/>
        <v>0.27389905240962015</v>
      </c>
      <c r="AS47" s="386">
        <f t="shared" si="31"/>
        <v>0</v>
      </c>
      <c r="AT47" s="386">
        <f t="shared" si="32"/>
        <v>0</v>
      </c>
      <c r="AU47" s="386">
        <f t="shared" si="33"/>
        <v>4.8266500000000004E-2</v>
      </c>
      <c r="AV47" s="386">
        <f t="shared" si="34"/>
        <v>6.9285644781007474E-2</v>
      </c>
      <c r="AW47" s="386">
        <f t="shared" si="35"/>
        <v>6.5920000000000006E-2</v>
      </c>
      <c r="AX47" s="386">
        <f t="shared" si="36"/>
        <v>3.6000000000000004E-2</v>
      </c>
      <c r="AY47" s="386">
        <f t="shared" si="37"/>
        <v>0.40226399999999995</v>
      </c>
      <c r="AZ47" s="386">
        <f t="shared" si="38"/>
        <v>0.30415082926829268</v>
      </c>
      <c r="BA47" s="386">
        <f t="shared" si="56"/>
        <v>0.43826399999999999</v>
      </c>
      <c r="BB47" s="386">
        <f t="shared" si="57"/>
        <v>1.8445027360400523</v>
      </c>
      <c r="BC47">
        <f t="shared" si="39"/>
        <v>48</v>
      </c>
      <c r="BD47" s="604">
        <f t="shared" si="50"/>
        <v>0.96299486132286383</v>
      </c>
      <c r="BE47" s="614">
        <f t="shared" si="40"/>
        <v>18.797592827153355</v>
      </c>
      <c r="BF47" s="614">
        <f t="shared" si="41"/>
        <v>7.7365699388636529</v>
      </c>
      <c r="BG47" s="9"/>
      <c r="BH47" s="4">
        <f t="shared" si="51"/>
        <v>96.299486132286376</v>
      </c>
      <c r="BI47" s="386">
        <f t="shared" si="52"/>
        <v>0.33242364374810457</v>
      </c>
      <c r="BJ47" s="386">
        <f t="shared" si="53"/>
        <v>0.84790226582598893</v>
      </c>
      <c r="BK47" s="386">
        <f t="shared" si="54"/>
        <v>0.14931708187695952</v>
      </c>
      <c r="BL47" s="386">
        <f t="shared" si="55"/>
        <v>6.9285644781007474E-2</v>
      </c>
      <c r="BQ47">
        <v>9.9976269999999996</v>
      </c>
      <c r="BR47">
        <v>6.9470000000000001</v>
      </c>
      <c r="BS47">
        <v>5.1086669999999996</v>
      </c>
      <c r="BT47">
        <v>92.656807634751772</v>
      </c>
      <c r="BU47">
        <v>2812.6290012010018</v>
      </c>
    </row>
    <row r="48" spans="1:73" x14ac:dyDescent="0.2">
      <c r="A48" s="24" t="s">
        <v>767</v>
      </c>
      <c r="B48" s="15" t="s">
        <v>115</v>
      </c>
      <c r="C48" s="24" t="s">
        <v>80</v>
      </c>
      <c r="D48" s="17" t="s">
        <v>111</v>
      </c>
      <c r="G48">
        <v>39</v>
      </c>
      <c r="H48" s="610">
        <f t="shared" si="0"/>
        <v>14.265000000000001</v>
      </c>
      <c r="I48" s="4" t="str">
        <f t="shared" si="1"/>
        <v>BUCK-BST</v>
      </c>
      <c r="J48">
        <f t="shared" si="43"/>
        <v>3</v>
      </c>
      <c r="K48">
        <f t="shared" si="2"/>
        <v>4</v>
      </c>
      <c r="L48" s="4">
        <f t="shared" si="3"/>
        <v>3.73875452739806</v>
      </c>
      <c r="M48" s="4">
        <f t="shared" si="4"/>
        <v>4.2350449973530973</v>
      </c>
      <c r="N48" s="386">
        <f t="shared" si="5"/>
        <v>0.79453207150368033</v>
      </c>
      <c r="O48" s="386">
        <f t="shared" si="58"/>
        <v>5.5500000000000001E-2</v>
      </c>
      <c r="P48" s="4">
        <f t="shared" si="6"/>
        <v>1.9849138191147724</v>
      </c>
      <c r="Q48" s="386">
        <f t="shared" si="7"/>
        <v>4.2736319099857241</v>
      </c>
      <c r="R48" s="386">
        <f t="shared" si="8"/>
        <v>0.24582502803582579</v>
      </c>
      <c r="S48" s="386">
        <f t="shared" si="45"/>
        <v>9.8749180396431338E-2</v>
      </c>
      <c r="T48" s="386">
        <f t="shared" si="46"/>
        <v>0.34457420843225711</v>
      </c>
      <c r="U48" s="4">
        <f t="shared" si="9"/>
        <v>0.57299526389206101</v>
      </c>
      <c r="V48" s="386">
        <f t="shared" si="10"/>
        <v>8.8647364559537815E-3</v>
      </c>
      <c r="W48" s="386">
        <f t="shared" si="47"/>
        <v>8.8647364559537815E-3</v>
      </c>
      <c r="X48" s="386">
        <f t="shared" si="11"/>
        <v>1.6326704648752237</v>
      </c>
      <c r="Y48" s="386">
        <f t="shared" si="12"/>
        <v>8.5299611100028136E-2</v>
      </c>
      <c r="Z48" s="603">
        <f t="shared" si="48"/>
        <v>8.5299611100028136E-2</v>
      </c>
      <c r="AA48" s="386">
        <f t="shared" si="13"/>
        <v>3.8093671259102835</v>
      </c>
      <c r="AB48" s="386">
        <f t="shared" si="14"/>
        <v>0.14511277899965974</v>
      </c>
      <c r="AC48" s="386">
        <f t="shared" si="15"/>
        <v>0.12139486278726952</v>
      </c>
      <c r="AD48">
        <f t="shared" si="16"/>
        <v>0</v>
      </c>
      <c r="AE48" s="386">
        <f t="shared" si="17"/>
        <v>0.27579251813312727</v>
      </c>
      <c r="AF48" s="386">
        <f t="shared" si="18"/>
        <v>1.9371762444553811</v>
      </c>
      <c r="AG48" s="386">
        <f t="shared" si="19"/>
        <v>3.752651802082254E-2</v>
      </c>
      <c r="AH48" s="386">
        <f t="shared" si="20"/>
        <v>9.6199999999999994E-2</v>
      </c>
      <c r="AI48" s="386">
        <f t="shared" si="21"/>
        <v>0.13490098653897506</v>
      </c>
      <c r="AJ48" s="386">
        <f t="shared" si="22"/>
        <v>1.0068009229553163</v>
      </c>
      <c r="AK48" s="386">
        <f t="shared" si="23"/>
        <v>1.0136480984636769E-2</v>
      </c>
      <c r="AL48" s="386">
        <f t="shared" si="24"/>
        <v>0.10612653575380041</v>
      </c>
      <c r="AM48">
        <f t="shared" si="25"/>
        <v>0</v>
      </c>
      <c r="AN48" s="386">
        <f t="shared" si="26"/>
        <v>0.11653707272907703</v>
      </c>
      <c r="AO48" s="386">
        <f t="shared" si="27"/>
        <v>4.1533458324084398</v>
      </c>
      <c r="AP48" s="386">
        <f t="shared" si="28"/>
        <v>0.17250281603584555</v>
      </c>
      <c r="AQ48" s="386">
        <f t="shared" si="29"/>
        <v>8.9917046383923338E-2</v>
      </c>
      <c r="AR48" s="386">
        <f t="shared" si="30"/>
        <v>0.27335990438482888</v>
      </c>
      <c r="AS48" s="386">
        <f t="shared" si="31"/>
        <v>0</v>
      </c>
      <c r="AT48" s="386">
        <f t="shared" si="32"/>
        <v>0</v>
      </c>
      <c r="AU48" s="386">
        <f t="shared" si="33"/>
        <v>4.8516250000000004E-2</v>
      </c>
      <c r="AV48" s="386">
        <f t="shared" si="34"/>
        <v>7.1494498508188967E-2</v>
      </c>
      <c r="AW48" s="386">
        <f t="shared" si="35"/>
        <v>6.5920000000000006E-2</v>
      </c>
      <c r="AX48" s="386">
        <f t="shared" si="36"/>
        <v>3.6000000000000004E-2</v>
      </c>
      <c r="AY48" s="386">
        <f t="shared" si="37"/>
        <v>0.40226399999999995</v>
      </c>
      <c r="AZ48" s="386">
        <f t="shared" si="38"/>
        <v>0.30415082926829268</v>
      </c>
      <c r="BA48" s="386">
        <f t="shared" si="56"/>
        <v>0.43826399999999999</v>
      </c>
      <c r="BB48" s="386">
        <f t="shared" si="57"/>
        <v>1.8635237862824361</v>
      </c>
      <c r="BC48">
        <f t="shared" si="39"/>
        <v>48</v>
      </c>
      <c r="BD48" s="604">
        <f t="shared" si="50"/>
        <v>0.96262751516981448</v>
      </c>
      <c r="BE48" s="614">
        <f t="shared" si="40"/>
        <v>18.809908551721382</v>
      </c>
      <c r="BF48" s="614">
        <f t="shared" si="41"/>
        <v>7.8242572192605531</v>
      </c>
      <c r="BG48" s="9"/>
      <c r="BH48" s="4">
        <f t="shared" si="51"/>
        <v>96.262751516981453</v>
      </c>
      <c r="BI48" s="386">
        <f t="shared" si="52"/>
        <v>0.34457420843225711</v>
      </c>
      <c r="BJ48" s="386">
        <f t="shared" si="53"/>
        <v>0.84910673178600815</v>
      </c>
      <c r="BK48" s="386">
        <f t="shared" si="54"/>
        <v>0.15091134903897507</v>
      </c>
      <c r="BL48" s="386">
        <f t="shared" si="55"/>
        <v>7.1494498508188967E-2</v>
      </c>
      <c r="BQ48">
        <v>9.9975280000000009</v>
      </c>
      <c r="BR48">
        <v>7.7530000000000001</v>
      </c>
      <c r="BS48">
        <v>5.10853</v>
      </c>
      <c r="BT48">
        <v>92.034336419785248</v>
      </c>
      <c r="BU48">
        <v>3427.976173640001</v>
      </c>
    </row>
    <row r="49" spans="1:73" x14ac:dyDescent="0.2">
      <c r="A49" s="23" t="s">
        <v>72</v>
      </c>
      <c r="B49" s="5">
        <f>Rdson2*1000</f>
        <v>10</v>
      </c>
      <c r="C49" s="484" t="s">
        <v>674</v>
      </c>
      <c r="D49" s="482" t="s">
        <v>768</v>
      </c>
      <c r="G49">
        <v>40</v>
      </c>
      <c r="H49" s="610">
        <f t="shared" si="0"/>
        <v>14.4</v>
      </c>
      <c r="I49" s="4" t="str">
        <f t="shared" si="1"/>
        <v>BUCK-BST</v>
      </c>
      <c r="J49">
        <f t="shared" si="43"/>
        <v>3</v>
      </c>
      <c r="K49">
        <f t="shared" si="2"/>
        <v>4</v>
      </c>
      <c r="L49" s="4">
        <f t="shared" si="3"/>
        <v>3.7037037037037033</v>
      </c>
      <c r="M49" s="4">
        <f t="shared" si="4"/>
        <v>4.2350449973530973</v>
      </c>
      <c r="N49" s="386">
        <f t="shared" si="5"/>
        <v>0.78708333333333325</v>
      </c>
      <c r="O49" s="386">
        <f t="shared" si="58"/>
        <v>5.5500000000000001E-2</v>
      </c>
      <c r="P49" s="4">
        <f t="shared" si="6"/>
        <v>2.0885091048495301</v>
      </c>
      <c r="Q49" s="386">
        <f t="shared" si="7"/>
        <v>4.2777441858638658</v>
      </c>
      <c r="R49" s="386">
        <f t="shared" si="8"/>
        <v>0.24630766936063495</v>
      </c>
      <c r="S49" s="386">
        <f t="shared" si="45"/>
        <v>0.11102984384994002</v>
      </c>
      <c r="T49" s="386">
        <f t="shared" si="46"/>
        <v>0.35733751321057494</v>
      </c>
      <c r="U49" s="4">
        <f t="shared" si="9"/>
        <v>0.60290064694493029</v>
      </c>
      <c r="V49" s="386">
        <f t="shared" si="10"/>
        <v>9.8142081323386171E-3</v>
      </c>
      <c r="W49" s="386">
        <f t="shared" si="47"/>
        <v>9.8142081323386171E-3</v>
      </c>
      <c r="X49" s="386">
        <f t="shared" si="11"/>
        <v>1.6559725911243648</v>
      </c>
      <c r="Y49" s="386">
        <f t="shared" si="12"/>
        <v>8.7751847121764565E-2</v>
      </c>
      <c r="Z49" s="603">
        <f t="shared" si="48"/>
        <v>8.7751847121764565E-2</v>
      </c>
      <c r="AA49" s="386">
        <f t="shared" si="13"/>
        <v>3.7951169864982637</v>
      </c>
      <c r="AB49" s="386">
        <f t="shared" si="14"/>
        <v>0.14402912941207663</v>
      </c>
      <c r="AC49" s="386">
        <f t="shared" si="15"/>
        <v>0.12254371006916798</v>
      </c>
      <c r="AD49">
        <f t="shared" si="16"/>
        <v>0</v>
      </c>
      <c r="AE49" s="386">
        <f t="shared" si="17"/>
        <v>0.27578823667551267</v>
      </c>
      <c r="AF49" s="386">
        <f t="shared" si="18"/>
        <v>1.9738749652610843</v>
      </c>
      <c r="AG49" s="386">
        <f t="shared" si="19"/>
        <v>3.8961823784844467E-2</v>
      </c>
      <c r="AH49" s="386">
        <f t="shared" si="20"/>
        <v>9.6199999999999994E-2</v>
      </c>
      <c r="AI49" s="386">
        <f t="shared" si="21"/>
        <v>0.13639471513550458</v>
      </c>
      <c r="AJ49" s="386">
        <f t="shared" si="22"/>
        <v>1.0077697109175845</v>
      </c>
      <c r="AK49" s="386">
        <f t="shared" si="23"/>
        <v>1.0155997902429119E-2</v>
      </c>
      <c r="AL49" s="386">
        <f t="shared" si="24"/>
        <v>0.10612653575380041</v>
      </c>
      <c r="AM49">
        <f t="shared" si="25"/>
        <v>0</v>
      </c>
      <c r="AN49" s="386">
        <f t="shared" si="26"/>
        <v>0.11655716465841941</v>
      </c>
      <c r="AO49" s="386">
        <f t="shared" si="27"/>
        <v>4.1573423637522566</v>
      </c>
      <c r="AP49" s="386">
        <f t="shared" si="28"/>
        <v>0.17283495529449203</v>
      </c>
      <c r="AQ49" s="386">
        <f t="shared" si="29"/>
        <v>8.9074074074074056E-2</v>
      </c>
      <c r="AR49" s="386">
        <f t="shared" si="30"/>
        <v>0.27284967646775166</v>
      </c>
      <c r="AS49" s="386">
        <f t="shared" si="31"/>
        <v>0</v>
      </c>
      <c r="AT49" s="386">
        <f t="shared" si="32"/>
        <v>0</v>
      </c>
      <c r="AU49" s="386">
        <f t="shared" si="33"/>
        <v>4.8766000000000004E-2</v>
      </c>
      <c r="AV49" s="386">
        <f t="shared" si="34"/>
        <v>7.367673253091038E-2</v>
      </c>
      <c r="AW49" s="386">
        <f t="shared" si="35"/>
        <v>6.5920000000000006E-2</v>
      </c>
      <c r="AX49" s="386">
        <f t="shared" si="36"/>
        <v>3.6000000000000004E-2</v>
      </c>
      <c r="AY49" s="386">
        <f t="shared" si="37"/>
        <v>0.40226399999999995</v>
      </c>
      <c r="AZ49" s="386">
        <f t="shared" si="38"/>
        <v>0.30415082926829268</v>
      </c>
      <c r="BA49" s="386">
        <f t="shared" si="56"/>
        <v>0.43826399999999999</v>
      </c>
      <c r="BB49" s="386">
        <f t="shared" si="57"/>
        <v>1.883120093932777</v>
      </c>
      <c r="BC49">
        <f t="shared" si="39"/>
        <v>48</v>
      </c>
      <c r="BD49" s="604">
        <f t="shared" si="50"/>
        <v>0.96224935227815034</v>
      </c>
      <c r="BE49" s="614">
        <f t="shared" si="40"/>
        <v>18.824145727179733</v>
      </c>
      <c r="BF49" s="614">
        <f t="shared" si="41"/>
        <v>7.9108934778592657</v>
      </c>
      <c r="BG49" s="9"/>
      <c r="BH49" s="4">
        <f t="shared" si="51"/>
        <v>96.224935227815038</v>
      </c>
      <c r="BI49" s="386">
        <f t="shared" si="52"/>
        <v>0.35733751321057494</v>
      </c>
      <c r="BJ49" s="386">
        <f t="shared" si="53"/>
        <v>0.85035579293718822</v>
      </c>
      <c r="BK49" s="386">
        <f t="shared" si="54"/>
        <v>0.15248749513550458</v>
      </c>
      <c r="BL49" s="386">
        <f t="shared" si="55"/>
        <v>7.367673253091038E-2</v>
      </c>
      <c r="BQ49">
        <v>9.9970090000000003</v>
      </c>
      <c r="BR49">
        <v>8.6120000000000001</v>
      </c>
      <c r="BS49">
        <v>5.1085419999999999</v>
      </c>
      <c r="BT49">
        <v>91.346378256658895</v>
      </c>
      <c r="BU49">
        <v>4167.8065612820019</v>
      </c>
    </row>
    <row r="50" spans="1:73" x14ac:dyDescent="0.2">
      <c r="A50" s="23" t="s">
        <v>84</v>
      </c>
      <c r="B50" s="5">
        <f>RdsonBotTc*1000000</f>
        <v>4000</v>
      </c>
      <c r="C50" s="482" t="s">
        <v>85</v>
      </c>
      <c r="D50" s="21" t="s">
        <v>108</v>
      </c>
      <c r="G50">
        <v>41</v>
      </c>
      <c r="H50" s="610">
        <f t="shared" si="0"/>
        <v>14.535</v>
      </c>
      <c r="I50" s="4" t="str">
        <f t="shared" si="1"/>
        <v>BUCK-BST</v>
      </c>
      <c r="J50">
        <f t="shared" si="43"/>
        <v>3</v>
      </c>
      <c r="K50">
        <f t="shared" si="2"/>
        <v>4</v>
      </c>
      <c r="L50" s="4">
        <f t="shared" si="3"/>
        <v>3.6693039789015023</v>
      </c>
      <c r="M50" s="4">
        <f t="shared" si="4"/>
        <v>4.2350449973530973</v>
      </c>
      <c r="N50" s="386">
        <f t="shared" si="5"/>
        <v>0.7797729618163054</v>
      </c>
      <c r="O50" s="386">
        <f t="shared" si="58"/>
        <v>5.5500000000000001E-2</v>
      </c>
      <c r="P50" s="4">
        <f t="shared" si="6"/>
        <v>2.1901800199514443</v>
      </c>
      <c r="Q50" s="386">
        <f t="shared" si="7"/>
        <v>4.2819793133069162</v>
      </c>
      <c r="R50" s="386">
        <f t="shared" si="8"/>
        <v>0.24680525274855827</v>
      </c>
      <c r="S50" s="386">
        <f t="shared" si="45"/>
        <v>0.12388029031474837</v>
      </c>
      <c r="T50" s="386">
        <f t="shared" si="46"/>
        <v>0.37068554306330664</v>
      </c>
      <c r="U50" s="4">
        <f t="shared" si="9"/>
        <v>0.63225051204635319</v>
      </c>
      <c r="V50" s="386">
        <f t="shared" si="10"/>
        <v>1.0792999169537647E-2</v>
      </c>
      <c r="W50" s="386">
        <f t="shared" si="47"/>
        <v>1.0792999169537647E-2</v>
      </c>
      <c r="X50" s="386">
        <f t="shared" si="11"/>
        <v>1.678177507357032</v>
      </c>
      <c r="Y50" s="386">
        <f t="shared" si="12"/>
        <v>9.0120951878369951E-2</v>
      </c>
      <c r="Z50" s="603">
        <f t="shared" si="48"/>
        <v>9.0120951878369951E-2</v>
      </c>
      <c r="AA50" s="386">
        <f t="shared" si="13"/>
        <v>3.7811913084417004</v>
      </c>
      <c r="AB50" s="386">
        <f t="shared" si="14"/>
        <v>0.14297407711035059</v>
      </c>
      <c r="AC50" s="386">
        <f t="shared" si="15"/>
        <v>0.12369255735106642</v>
      </c>
      <c r="AD50">
        <f t="shared" si="16"/>
        <v>0</v>
      </c>
      <c r="AE50" s="386">
        <f t="shared" si="17"/>
        <v>0.27581542832716338</v>
      </c>
      <c r="AF50" s="386">
        <f t="shared" si="18"/>
        <v>2.0094623978948478</v>
      </c>
      <c r="AG50" s="386">
        <f t="shared" si="19"/>
        <v>4.0379391285533119E-2</v>
      </c>
      <c r="AH50" s="386">
        <f t="shared" si="20"/>
        <v>9.6199999999999994E-2</v>
      </c>
      <c r="AI50" s="386">
        <f t="shared" si="21"/>
        <v>0.13787096911315985</v>
      </c>
      <c r="AJ50" s="386">
        <f t="shared" si="22"/>
        <v>1.0087674407895779</v>
      </c>
      <c r="AK50" s="386">
        <f t="shared" si="23"/>
        <v>1.0176117495971547E-2</v>
      </c>
      <c r="AL50" s="386">
        <f t="shared" si="24"/>
        <v>0.10612653575380041</v>
      </c>
      <c r="AM50">
        <f t="shared" si="25"/>
        <v>0</v>
      </c>
      <c r="AN50" s="386">
        <f t="shared" si="26"/>
        <v>0.11657787721058675</v>
      </c>
      <c r="AO50" s="386">
        <f t="shared" si="27"/>
        <v>4.1614582888683644</v>
      </c>
      <c r="AP50" s="386">
        <f t="shared" si="28"/>
        <v>0.17317735089991218</v>
      </c>
      <c r="AQ50" s="386">
        <f t="shared" si="29"/>
        <v>8.8246760692581125E-2</v>
      </c>
      <c r="AR50" s="386">
        <f t="shared" si="30"/>
        <v>0.272367041836935</v>
      </c>
      <c r="AS50" s="386">
        <f t="shared" si="31"/>
        <v>0</v>
      </c>
      <c r="AT50" s="386">
        <f t="shared" si="32"/>
        <v>0</v>
      </c>
      <c r="AU50" s="386">
        <f t="shared" si="33"/>
        <v>4.9015750000000004E-2</v>
      </c>
      <c r="AV50" s="386">
        <f t="shared" si="34"/>
        <v>7.5833263172256998E-2</v>
      </c>
      <c r="AW50" s="386">
        <f t="shared" si="35"/>
        <v>6.5920000000000006E-2</v>
      </c>
      <c r="AX50" s="386">
        <f t="shared" si="36"/>
        <v>3.6000000000000004E-2</v>
      </c>
      <c r="AY50" s="386">
        <f t="shared" si="37"/>
        <v>0.40226399999999995</v>
      </c>
      <c r="AZ50" s="386">
        <f t="shared" si="38"/>
        <v>0.30415082926829268</v>
      </c>
      <c r="BA50" s="386">
        <f t="shared" si="56"/>
        <v>0.43826399999999999</v>
      </c>
      <c r="BB50" s="386">
        <f t="shared" si="57"/>
        <v>1.903263823771316</v>
      </c>
      <c r="BC50">
        <f t="shared" si="39"/>
        <v>48</v>
      </c>
      <c r="BD50" s="604">
        <f t="shared" si="50"/>
        <v>0.96186093497827085</v>
      </c>
      <c r="BE50" s="614">
        <f t="shared" si="40"/>
        <v>18.840208342975476</v>
      </c>
      <c r="BF50" s="614">
        <f t="shared" si="41"/>
        <v>7.9965162085632713</v>
      </c>
      <c r="BG50" s="9"/>
      <c r="BH50" s="4">
        <f t="shared" si="51"/>
        <v>96.186093497827088</v>
      </c>
      <c r="BI50" s="386">
        <f t="shared" si="52"/>
        <v>0.37068554306330664</v>
      </c>
      <c r="BJ50" s="386">
        <f t="shared" si="53"/>
        <v>0.85164706648784494</v>
      </c>
      <c r="BK50" s="386">
        <f t="shared" si="54"/>
        <v>0.15404616661315984</v>
      </c>
      <c r="BL50" s="386">
        <f t="shared" si="55"/>
        <v>7.5833263172256998E-2</v>
      </c>
      <c r="BQ50">
        <v>9.9969590000000004</v>
      </c>
      <c r="BR50">
        <v>9.5229999999999997</v>
      </c>
      <c r="BS50">
        <v>5.1087540000000002</v>
      </c>
      <c r="BT50">
        <v>90.547826191651922</v>
      </c>
      <c r="BU50">
        <v>5078.5816240809982</v>
      </c>
    </row>
    <row r="51" spans="1:73" x14ac:dyDescent="0.2">
      <c r="A51" s="23" t="s">
        <v>71</v>
      </c>
      <c r="B51" s="5">
        <f>Qg_Q2*1000000000</f>
        <v>45.3</v>
      </c>
      <c r="C51" s="482" t="s">
        <v>69</v>
      </c>
      <c r="D51" s="21" t="s">
        <v>103</v>
      </c>
      <c r="G51">
        <v>42</v>
      </c>
      <c r="H51" s="610">
        <f t="shared" si="0"/>
        <v>14.67</v>
      </c>
      <c r="I51" s="4" t="str">
        <f t="shared" si="1"/>
        <v>BUCK</v>
      </c>
      <c r="J51">
        <f t="shared" si="43"/>
        <v>1</v>
      </c>
      <c r="K51">
        <f t="shared" si="2"/>
        <v>4</v>
      </c>
      <c r="L51" s="4">
        <f t="shared" si="3"/>
        <v>3.6355373778686664</v>
      </c>
      <c r="M51" s="4">
        <f t="shared" si="4"/>
        <v>4</v>
      </c>
      <c r="N51" s="386">
        <f t="shared" si="5"/>
        <v>0.82503733876442631</v>
      </c>
      <c r="O51" s="386">
        <f t="shared" si="58"/>
        <v>0</v>
      </c>
      <c r="P51" s="4">
        <f t="shared" si="6"/>
        <v>1.2227062849129839</v>
      </c>
      <c r="Q51" s="386">
        <f t="shared" si="7"/>
        <v>4.015542830253108</v>
      </c>
      <c r="R51" s="386">
        <f t="shared" si="8"/>
        <v>0.21653151529679737</v>
      </c>
      <c r="S51" s="386">
        <f t="shared" si="45"/>
        <v>3.2339026848758959E-2</v>
      </c>
      <c r="T51" s="386">
        <f t="shared" si="46"/>
        <v>0.24887054214555632</v>
      </c>
      <c r="U51" s="4">
        <f t="shared" si="9"/>
        <v>0.35296490136717928</v>
      </c>
      <c r="V51" s="386">
        <f t="shared" si="10"/>
        <v>3.3637739831228501E-3</v>
      </c>
      <c r="W51" s="386">
        <f t="shared" si="47"/>
        <v>3.3637739831228501E-3</v>
      </c>
      <c r="X51" s="386">
        <f t="shared" si="11"/>
        <v>1.5256459214637061</v>
      </c>
      <c r="Y51" s="386">
        <f t="shared" si="12"/>
        <v>7.448305528572291E-2</v>
      </c>
      <c r="Z51" s="603">
        <f t="shared" si="48"/>
        <v>7.448305528572291E-2</v>
      </c>
      <c r="AA51" s="386">
        <f t="shared" si="13"/>
        <v>3.6473804373645158</v>
      </c>
      <c r="AB51" s="386">
        <f t="shared" si="14"/>
        <v>0.13303384054869366</v>
      </c>
      <c r="AC51" s="386">
        <f t="shared" si="15"/>
        <v>0.23582541335167062</v>
      </c>
      <c r="AD51">
        <f t="shared" si="16"/>
        <v>0</v>
      </c>
      <c r="AE51" s="386">
        <f t="shared" si="17"/>
        <v>0.3806062278078759</v>
      </c>
      <c r="AF51" s="386">
        <f t="shared" si="18"/>
        <v>1.6796428688050853</v>
      </c>
      <c r="AG51" s="386">
        <f t="shared" si="19"/>
        <v>2.8212001667277772E-2</v>
      </c>
      <c r="AH51" s="386">
        <f t="shared" si="20"/>
        <v>0.19239999999999999</v>
      </c>
      <c r="AI51" s="386">
        <f t="shared" si="21"/>
        <v>0.22206546105582978</v>
      </c>
      <c r="AJ51" s="386">
        <f t="shared" si="22"/>
        <v>0</v>
      </c>
      <c r="AK51" s="386">
        <f t="shared" si="23"/>
        <v>0</v>
      </c>
      <c r="AL51" s="386">
        <f t="shared" si="24"/>
        <v>0</v>
      </c>
      <c r="AM51">
        <f t="shared" si="25"/>
        <v>0</v>
      </c>
      <c r="AN51" s="386">
        <f t="shared" si="26"/>
        <v>0</v>
      </c>
      <c r="AO51" s="386">
        <f t="shared" si="27"/>
        <v>4.015542830253108</v>
      </c>
      <c r="AP51" s="386">
        <f t="shared" si="28"/>
        <v>0.16124584221597141</v>
      </c>
      <c r="AQ51" s="386">
        <f t="shared" si="29"/>
        <v>0</v>
      </c>
      <c r="AR51" s="386">
        <f t="shared" si="30"/>
        <v>0.16751231638870503</v>
      </c>
      <c r="AS51" s="386">
        <f t="shared" si="31"/>
        <v>0.16124584221597141</v>
      </c>
      <c r="AT51" s="386">
        <f t="shared" si="32"/>
        <v>0</v>
      </c>
      <c r="AU51" s="386">
        <f t="shared" si="33"/>
        <v>5.4131000000000006E-2</v>
      </c>
      <c r="AV51" s="386">
        <f t="shared" si="34"/>
        <v>4.2318002500916656E-2</v>
      </c>
      <c r="AW51" s="386">
        <f t="shared" si="35"/>
        <v>6.5920000000000006E-2</v>
      </c>
      <c r="AX51" s="386">
        <f t="shared" si="36"/>
        <v>3.6000000000000004E-2</v>
      </c>
      <c r="AY51" s="386">
        <f t="shared" si="37"/>
        <v>0.40226399999999995</v>
      </c>
      <c r="AZ51" s="386">
        <f t="shared" si="38"/>
        <v>0.30415082926829268</v>
      </c>
      <c r="BA51" s="386">
        <f t="shared" si="56"/>
        <v>0.43826399999999999</v>
      </c>
      <c r="BB51" s="386">
        <f t="shared" si="57"/>
        <v>1.6975343791677293</v>
      </c>
      <c r="BC51">
        <f t="shared" si="39"/>
        <v>48</v>
      </c>
      <c r="BD51" s="604">
        <f t="shared" si="50"/>
        <v>0.9658426841417046</v>
      </c>
      <c r="BE51" s="614">
        <f t="shared" si="40"/>
        <v>25.214759212856801</v>
      </c>
      <c r="BF51" s="614">
        <f t="shared" si="41"/>
        <v>12.879796741238128</v>
      </c>
      <c r="BG51" s="9"/>
      <c r="BH51" s="4">
        <f t="shared" si="51"/>
        <v>96.584268414170467</v>
      </c>
      <c r="BI51" s="386">
        <f t="shared" si="52"/>
        <v>0.24887054214555632</v>
      </c>
      <c r="BJ51" s="386">
        <f t="shared" si="53"/>
        <v>0.82431500525241075</v>
      </c>
      <c r="BK51" s="386">
        <f t="shared" si="54"/>
        <v>0.23992869105582978</v>
      </c>
      <c r="BL51" s="386">
        <f t="shared" si="55"/>
        <v>4.2318002500916656E-2</v>
      </c>
      <c r="BQ51">
        <v>9.9964639999999996</v>
      </c>
      <c r="BR51">
        <v>10.493</v>
      </c>
      <c r="BS51">
        <v>5.1092279999999999</v>
      </c>
      <c r="BT51">
        <v>89.626660259106615</v>
      </c>
      <c r="BU51">
        <v>6204.9221585439973</v>
      </c>
    </row>
    <row r="52" spans="1:73" x14ac:dyDescent="0.2">
      <c r="A52" s="23" t="s">
        <v>95</v>
      </c>
      <c r="B52" s="5">
        <f>Rgate2</f>
        <v>0.8</v>
      </c>
      <c r="C52" s="486" t="s">
        <v>120</v>
      </c>
      <c r="D52" s="21" t="s">
        <v>104</v>
      </c>
      <c r="G52">
        <v>43</v>
      </c>
      <c r="H52" s="610">
        <f t="shared" si="0"/>
        <v>14.805</v>
      </c>
      <c r="I52" s="4" t="str">
        <f t="shared" si="1"/>
        <v>BUCK</v>
      </c>
      <c r="J52">
        <f t="shared" si="43"/>
        <v>1</v>
      </c>
      <c r="K52">
        <f t="shared" si="2"/>
        <v>4</v>
      </c>
      <c r="L52" s="4">
        <f t="shared" si="3"/>
        <v>3.6023865811099851</v>
      </c>
      <c r="M52" s="4">
        <f t="shared" si="4"/>
        <v>4</v>
      </c>
      <c r="N52" s="386">
        <f t="shared" si="5"/>
        <v>0.81754456777665652</v>
      </c>
      <c r="O52" s="386">
        <f t="shared" si="58"/>
        <v>0</v>
      </c>
      <c r="P52" s="4">
        <f t="shared" si="6"/>
        <v>1.2750686467647196</v>
      </c>
      <c r="Q52" s="386">
        <f t="shared" si="7"/>
        <v>4.0168997171737066</v>
      </c>
      <c r="R52" s="386">
        <f t="shared" si="8"/>
        <v>0.2166804128695734</v>
      </c>
      <c r="S52" s="386">
        <f t="shared" si="45"/>
        <v>3.5619356054192031E-2</v>
      </c>
      <c r="T52" s="386">
        <f t="shared" si="46"/>
        <v>0.25229976892376543</v>
      </c>
      <c r="U52" s="4">
        <f t="shared" si="9"/>
        <v>0.36808061322243141</v>
      </c>
      <c r="V52" s="386">
        <f t="shared" si="10"/>
        <v>3.6580501214154306E-3</v>
      </c>
      <c r="W52" s="386">
        <f t="shared" si="47"/>
        <v>3.6580501214154306E-3</v>
      </c>
      <c r="X52" s="386">
        <f t="shared" si="11"/>
        <v>1.5514047158370714</v>
      </c>
      <c r="Y52" s="386">
        <f t="shared" si="12"/>
        <v>7.7019410954288131E-2</v>
      </c>
      <c r="Z52" s="603">
        <f t="shared" si="48"/>
        <v>7.7019410954288131E-2</v>
      </c>
      <c r="AA52" s="386">
        <f t="shared" si="13"/>
        <v>3.6320072620100636</v>
      </c>
      <c r="AB52" s="386">
        <f t="shared" si="14"/>
        <v>0.1319147675129384</v>
      </c>
      <c r="AC52" s="386">
        <f t="shared" si="15"/>
        <v>0.23799558586717678</v>
      </c>
      <c r="AD52">
        <f t="shared" si="16"/>
        <v>0</v>
      </c>
      <c r="AE52" s="386">
        <f t="shared" si="17"/>
        <v>0.38158857643643485</v>
      </c>
      <c r="AF52" s="386">
        <f t="shared" si="18"/>
        <v>1.7158107665288638</v>
      </c>
      <c r="AG52" s="386">
        <f t="shared" si="19"/>
        <v>2.9440065865363671E-2</v>
      </c>
      <c r="AH52" s="386">
        <f t="shared" si="20"/>
        <v>0.19239999999999999</v>
      </c>
      <c r="AI52" s="386">
        <f t="shared" si="21"/>
        <v>0.22336567470605825</v>
      </c>
      <c r="AJ52" s="386">
        <f t="shared" si="22"/>
        <v>0</v>
      </c>
      <c r="AK52" s="386">
        <f t="shared" si="23"/>
        <v>0</v>
      </c>
      <c r="AL52" s="386">
        <f t="shared" si="24"/>
        <v>0</v>
      </c>
      <c r="AM52">
        <f t="shared" si="25"/>
        <v>0</v>
      </c>
      <c r="AN52" s="386">
        <f t="shared" si="26"/>
        <v>0</v>
      </c>
      <c r="AO52" s="386">
        <f t="shared" si="27"/>
        <v>4.0168997171737066</v>
      </c>
      <c r="AP52" s="386">
        <f t="shared" si="28"/>
        <v>0.16135483337830206</v>
      </c>
      <c r="AQ52" s="386">
        <f t="shared" si="29"/>
        <v>0</v>
      </c>
      <c r="AR52" s="386">
        <f t="shared" si="30"/>
        <v>0.16762994666873798</v>
      </c>
      <c r="AS52" s="386">
        <f t="shared" si="31"/>
        <v>0.16135483337830206</v>
      </c>
      <c r="AT52" s="386">
        <f t="shared" si="32"/>
        <v>0</v>
      </c>
      <c r="AU52" s="386">
        <f t="shared" si="33"/>
        <v>5.4630500000000005E-2</v>
      </c>
      <c r="AV52" s="386">
        <f t="shared" si="34"/>
        <v>4.41600987980455E-2</v>
      </c>
      <c r="AW52" s="386">
        <f t="shared" si="35"/>
        <v>6.5920000000000006E-2</v>
      </c>
      <c r="AX52" s="386">
        <f t="shared" si="36"/>
        <v>3.6000000000000004E-2</v>
      </c>
      <c r="AY52" s="386">
        <f t="shared" si="37"/>
        <v>0.40226399999999995</v>
      </c>
      <c r="AZ52" s="386">
        <f t="shared" si="38"/>
        <v>0.30415082926829268</v>
      </c>
      <c r="BA52" s="386">
        <f t="shared" si="56"/>
        <v>0.43826399999999999</v>
      </c>
      <c r="BB52" s="386">
        <f t="shared" si="57"/>
        <v>1.7085360266087455</v>
      </c>
      <c r="BC52">
        <f t="shared" si="39"/>
        <v>48</v>
      </c>
      <c r="BD52" s="604">
        <f t="shared" si="50"/>
        <v>0.96562892084180119</v>
      </c>
      <c r="BE52" s="614">
        <f t="shared" si="40"/>
        <v>25.300706433313223</v>
      </c>
      <c r="BF52" s="614">
        <f t="shared" si="41"/>
        <v>12.955209132951378</v>
      </c>
      <c r="BG52" s="9"/>
      <c r="BH52" s="4">
        <f t="shared" si="51"/>
        <v>96.56289208418012</v>
      </c>
      <c r="BI52" s="386">
        <f t="shared" si="52"/>
        <v>0.25229976892376543</v>
      </c>
      <c r="BJ52" s="386">
        <f t="shared" si="53"/>
        <v>0.82721469781123114</v>
      </c>
      <c r="BK52" s="386">
        <f t="shared" si="54"/>
        <v>0.24139373970605826</v>
      </c>
      <c r="BL52" s="386">
        <f t="shared" si="55"/>
        <v>4.41600987980455E-2</v>
      </c>
      <c r="BQ52">
        <v>9.9959819999999997</v>
      </c>
      <c r="BR52">
        <v>11.519</v>
      </c>
      <c r="BS52">
        <v>5.1101260000000002</v>
      </c>
      <c r="BT52">
        <v>88.591390420220321</v>
      </c>
      <c r="BU52">
        <v>7580.3207309739973</v>
      </c>
    </row>
    <row r="53" spans="1:73" x14ac:dyDescent="0.2">
      <c r="A53" s="23" t="s">
        <v>76</v>
      </c>
      <c r="B53" s="5">
        <f>Vsd_Q2</f>
        <v>1.3</v>
      </c>
      <c r="C53" s="482" t="s">
        <v>0</v>
      </c>
      <c r="D53" s="21" t="s">
        <v>109</v>
      </c>
      <c r="G53">
        <v>44</v>
      </c>
      <c r="H53" s="610">
        <f t="shared" si="0"/>
        <v>14.940000000000001</v>
      </c>
      <c r="I53" s="4" t="str">
        <f t="shared" si="1"/>
        <v>BUCK</v>
      </c>
      <c r="J53">
        <f t="shared" si="43"/>
        <v>1</v>
      </c>
      <c r="K53">
        <f t="shared" si="2"/>
        <v>4</v>
      </c>
      <c r="L53" s="4">
        <f t="shared" si="3"/>
        <v>3.5698348951360996</v>
      </c>
      <c r="M53" s="4">
        <f t="shared" si="4"/>
        <v>4</v>
      </c>
      <c r="N53" s="386">
        <f t="shared" si="5"/>
        <v>0.8101866666666665</v>
      </c>
      <c r="O53" s="386">
        <f t="shared" si="58"/>
        <v>0</v>
      </c>
      <c r="P53" s="4">
        <f t="shared" si="6"/>
        <v>1.3264884861031245</v>
      </c>
      <c r="Q53" s="386">
        <f t="shared" si="7"/>
        <v>4.0182870697989808</v>
      </c>
      <c r="R53" s="386">
        <f t="shared" si="8"/>
        <v>0.21683270920645503</v>
      </c>
      <c r="S53" s="386">
        <f t="shared" si="45"/>
        <v>3.9016252618329056E-2</v>
      </c>
      <c r="T53" s="386">
        <f t="shared" si="46"/>
        <v>0.25584896182478412</v>
      </c>
      <c r="U53" s="4">
        <f t="shared" si="9"/>
        <v>0.38292424226428906</v>
      </c>
      <c r="V53" s="386">
        <f t="shared" si="10"/>
        <v>3.959036333469358E-3</v>
      </c>
      <c r="W53" s="386">
        <f t="shared" si="47"/>
        <v>3.959036333469358E-3</v>
      </c>
      <c r="X53" s="386">
        <f t="shared" si="11"/>
        <v>1.5757846429812403</v>
      </c>
      <c r="Y53" s="386">
        <f t="shared" si="12"/>
        <v>7.9459111713776481E-2</v>
      </c>
      <c r="Z53" s="603">
        <f t="shared" si="48"/>
        <v>7.9459111713776481E-2</v>
      </c>
      <c r="AA53" s="386">
        <f t="shared" si="13"/>
        <v>3.6168750500654756</v>
      </c>
      <c r="AB53" s="386">
        <f t="shared" si="14"/>
        <v>0.13081785127786139</v>
      </c>
      <c r="AC53" s="386">
        <f t="shared" si="15"/>
        <v>0.240165758382683</v>
      </c>
      <c r="AD53">
        <f t="shared" si="16"/>
        <v>0</v>
      </c>
      <c r="AE53" s="386">
        <f t="shared" si="17"/>
        <v>0.38259527742825994</v>
      </c>
      <c r="AF53" s="386">
        <f t="shared" si="18"/>
        <v>1.7506701138499918</v>
      </c>
      <c r="AG53" s="386">
        <f t="shared" si="19"/>
        <v>3.0648458475275434E-2</v>
      </c>
      <c r="AH53" s="386">
        <f t="shared" si="20"/>
        <v>0.19239999999999999</v>
      </c>
      <c r="AI53" s="386">
        <f t="shared" si="21"/>
        <v>0.22464578941372559</v>
      </c>
      <c r="AJ53" s="386">
        <f t="shared" si="22"/>
        <v>0</v>
      </c>
      <c r="AK53" s="386">
        <f t="shared" si="23"/>
        <v>0</v>
      </c>
      <c r="AL53" s="386">
        <f t="shared" si="24"/>
        <v>0</v>
      </c>
      <c r="AM53">
        <f t="shared" si="25"/>
        <v>0</v>
      </c>
      <c r="AN53" s="386">
        <f t="shared" si="26"/>
        <v>0</v>
      </c>
      <c r="AO53" s="386">
        <f t="shared" si="27"/>
        <v>4.0182870697989808</v>
      </c>
      <c r="AP53" s="386">
        <f t="shared" si="28"/>
        <v>0.16146630975313681</v>
      </c>
      <c r="AQ53" s="386">
        <f t="shared" si="29"/>
        <v>0</v>
      </c>
      <c r="AR53" s="386">
        <f t="shared" si="30"/>
        <v>0.16775026554341452</v>
      </c>
      <c r="AS53" s="386">
        <f t="shared" si="31"/>
        <v>0.16146630975313681</v>
      </c>
      <c r="AT53" s="386">
        <f t="shared" si="32"/>
        <v>0</v>
      </c>
      <c r="AU53" s="386">
        <f t="shared" si="33"/>
        <v>5.5130000000000012E-2</v>
      </c>
      <c r="AV53" s="386">
        <f t="shared" si="34"/>
        <v>4.597268771291315E-2</v>
      </c>
      <c r="AW53" s="386">
        <f t="shared" si="35"/>
        <v>6.5920000000000006E-2</v>
      </c>
      <c r="AX53" s="386">
        <f t="shared" si="36"/>
        <v>3.6000000000000004E-2</v>
      </c>
      <c r="AY53" s="386">
        <f t="shared" si="37"/>
        <v>0.40226399999999995</v>
      </c>
      <c r="AZ53" s="386">
        <f t="shared" si="38"/>
        <v>0.30415082926829268</v>
      </c>
      <c r="BA53" s="386">
        <f t="shared" si="56"/>
        <v>0.43826399999999999</v>
      </c>
      <c r="BB53" s="386">
        <f t="shared" si="57"/>
        <v>1.719545129970343</v>
      </c>
      <c r="BC53">
        <f t="shared" si="39"/>
        <v>48</v>
      </c>
      <c r="BD53" s="604">
        <f t="shared" si="50"/>
        <v>0.96541510736923819</v>
      </c>
      <c r="BE53" s="614">
        <f t="shared" si="40"/>
        <v>25.388066090839079</v>
      </c>
      <c r="BF53" s="614">
        <f t="shared" si="41"/>
        <v>13.029455785996085</v>
      </c>
      <c r="BG53" s="9"/>
      <c r="BH53" s="4">
        <f t="shared" si="51"/>
        <v>96.541510736923826</v>
      </c>
      <c r="BI53" s="386">
        <f t="shared" si="52"/>
        <v>0.25584896182478412</v>
      </c>
      <c r="BJ53" s="386">
        <f t="shared" si="53"/>
        <v>0.83012133238540009</v>
      </c>
      <c r="BK53" s="386">
        <f t="shared" si="54"/>
        <v>0.24283868941372561</v>
      </c>
      <c r="BL53" s="386">
        <f t="shared" si="55"/>
        <v>4.597268771291315E-2</v>
      </c>
      <c r="BQ53">
        <v>9.9955739999999995</v>
      </c>
      <c r="BR53">
        <v>12.605</v>
      </c>
      <c r="BS53">
        <v>5.1111979999999999</v>
      </c>
      <c r="BT53">
        <v>87.386508098290477</v>
      </c>
      <c r="BU53">
        <v>9299.4335961019988</v>
      </c>
    </row>
    <row r="54" spans="1:73" x14ac:dyDescent="0.2">
      <c r="A54" s="23" t="s">
        <v>77</v>
      </c>
      <c r="B54" s="5">
        <f>Qrr_Q2*1000000000</f>
        <v>10</v>
      </c>
      <c r="C54" s="482" t="s">
        <v>69</v>
      </c>
      <c r="D54" s="21" t="s">
        <v>114</v>
      </c>
      <c r="G54">
        <v>45</v>
      </c>
      <c r="H54" s="610">
        <f t="shared" si="0"/>
        <v>15.074999999999999</v>
      </c>
      <c r="I54" s="4" t="str">
        <f t="shared" si="1"/>
        <v>BUCK</v>
      </c>
      <c r="J54">
        <f t="shared" si="43"/>
        <v>1</v>
      </c>
      <c r="K54">
        <f t="shared" si="2"/>
        <v>4</v>
      </c>
      <c r="L54" s="4">
        <f t="shared" si="3"/>
        <v>3.5378662244333889</v>
      </c>
      <c r="M54" s="4">
        <f t="shared" si="4"/>
        <v>4</v>
      </c>
      <c r="N54" s="386">
        <f t="shared" si="5"/>
        <v>0.80296002642880737</v>
      </c>
      <c r="O54" s="386">
        <f t="shared" si="58"/>
        <v>0</v>
      </c>
      <c r="P54" s="4">
        <f t="shared" si="6"/>
        <v>1.3769910240459968</v>
      </c>
      <c r="Q54" s="386">
        <f t="shared" si="7"/>
        <v>4.0197025623826033</v>
      </c>
      <c r="R54" s="386">
        <f t="shared" si="8"/>
        <v>0.21698815256457157</v>
      </c>
      <c r="S54" s="386">
        <f t="shared" si="45"/>
        <v>4.2523989445504076E-2</v>
      </c>
      <c r="T54" s="386">
        <f t="shared" si="46"/>
        <v>0.25951214201007566</v>
      </c>
      <c r="U54" s="4">
        <f t="shared" si="9"/>
        <v>0.39750306920232736</v>
      </c>
      <c r="V54" s="386">
        <f t="shared" si="10"/>
        <v>4.266234630682297E-3</v>
      </c>
      <c r="W54" s="386">
        <f t="shared" si="47"/>
        <v>4.266234630682297E-3</v>
      </c>
      <c r="X54" s="386">
        <f t="shared" si="11"/>
        <v>1.5988880317931615</v>
      </c>
      <c r="Y54" s="386">
        <f t="shared" si="12"/>
        <v>8.1806174022765119E-2</v>
      </c>
      <c r="Z54" s="603">
        <f t="shared" si="48"/>
        <v>8.1806174022765119E-2</v>
      </c>
      <c r="AA54" s="386">
        <f t="shared" si="13"/>
        <v>3.601976552502749</v>
      </c>
      <c r="AB54" s="386">
        <f t="shared" si="14"/>
        <v>0.1297423508477959</v>
      </c>
      <c r="AC54" s="386">
        <f t="shared" si="15"/>
        <v>0.24233593089818914</v>
      </c>
      <c r="AD54">
        <f t="shared" si="16"/>
        <v>0</v>
      </c>
      <c r="AE54" s="386">
        <f t="shared" si="17"/>
        <v>0.38362549563243781</v>
      </c>
      <c r="AF54" s="386">
        <f t="shared" si="18"/>
        <v>1.7843132026765032</v>
      </c>
      <c r="AG54" s="386">
        <f t="shared" si="19"/>
        <v>3.1837736052456801E-2</v>
      </c>
      <c r="AH54" s="386">
        <f t="shared" si="20"/>
        <v>0.19239999999999999</v>
      </c>
      <c r="AI54" s="386">
        <f t="shared" si="21"/>
        <v>0.22590636057514732</v>
      </c>
      <c r="AJ54" s="386">
        <f t="shared" si="22"/>
        <v>0</v>
      </c>
      <c r="AK54" s="386">
        <f t="shared" si="23"/>
        <v>0</v>
      </c>
      <c r="AL54" s="386">
        <f t="shared" si="24"/>
        <v>0</v>
      </c>
      <c r="AM54">
        <f t="shared" si="25"/>
        <v>0</v>
      </c>
      <c r="AN54" s="386">
        <f t="shared" si="26"/>
        <v>0</v>
      </c>
      <c r="AO54" s="386">
        <f t="shared" si="27"/>
        <v>4.0197025623826033</v>
      </c>
      <c r="AP54" s="386">
        <f t="shared" si="28"/>
        <v>0.16158008690025266</v>
      </c>
      <c r="AQ54" s="386">
        <f t="shared" si="29"/>
        <v>0</v>
      </c>
      <c r="AR54" s="386">
        <f t="shared" si="30"/>
        <v>0.16787307435906346</v>
      </c>
      <c r="AS54" s="386">
        <f t="shared" si="31"/>
        <v>0.16158008690025266</v>
      </c>
      <c r="AT54" s="386">
        <f t="shared" si="32"/>
        <v>0</v>
      </c>
      <c r="AU54" s="386">
        <f t="shared" si="33"/>
        <v>5.5629500000000005E-2</v>
      </c>
      <c r="AV54" s="386">
        <f t="shared" si="34"/>
        <v>4.7756604078685191E-2</v>
      </c>
      <c r="AW54" s="386">
        <f t="shared" si="35"/>
        <v>6.5920000000000006E-2</v>
      </c>
      <c r="AX54" s="386">
        <f t="shared" si="36"/>
        <v>3.6000000000000004E-2</v>
      </c>
      <c r="AY54" s="386">
        <f t="shared" si="37"/>
        <v>0.40226399999999995</v>
      </c>
      <c r="AZ54" s="386">
        <f t="shared" si="38"/>
        <v>0.30415082926829268</v>
      </c>
      <c r="BA54" s="386">
        <f t="shared" si="56"/>
        <v>0.43826399999999999</v>
      </c>
      <c r="BB54" s="386">
        <f t="shared" si="57"/>
        <v>1.7305595853088569</v>
      </c>
      <c r="BC54">
        <f t="shared" si="39"/>
        <v>48</v>
      </c>
      <c r="BD54" s="604">
        <f t="shared" si="50"/>
        <v>0.96520128468813593</v>
      </c>
      <c r="BE54" s="614">
        <f t="shared" si="40"/>
        <v>25.476789746681394</v>
      </c>
      <c r="BF54" s="614">
        <f t="shared" si="41"/>
        <v>13.102568913358544</v>
      </c>
      <c r="BG54" s="9"/>
      <c r="BH54" s="4">
        <f t="shared" si="51"/>
        <v>96.520128468813596</v>
      </c>
      <c r="BI54" s="386">
        <f t="shared" si="52"/>
        <v>0.25951214201007566</v>
      </c>
      <c r="BJ54" s="386">
        <f t="shared" si="53"/>
        <v>0.83303443056664861</v>
      </c>
      <c r="BK54" s="386">
        <f t="shared" si="54"/>
        <v>0.24426409557514733</v>
      </c>
      <c r="BL54" s="386">
        <f t="shared" si="55"/>
        <v>4.7756604078685191E-2</v>
      </c>
      <c r="BQ54">
        <v>9.9949670000000008</v>
      </c>
      <c r="BR54">
        <v>13.75</v>
      </c>
      <c r="BS54">
        <v>5.1122329999999998</v>
      </c>
      <c r="BT54">
        <v>85.985113444924963</v>
      </c>
      <c r="BU54">
        <v>11457.230537720005</v>
      </c>
    </row>
    <row r="55" spans="1:73" x14ac:dyDescent="0.2">
      <c r="A55" s="23" t="s">
        <v>78</v>
      </c>
      <c r="B55" s="5">
        <f>Trr_Q2*1000000000</f>
        <v>40</v>
      </c>
      <c r="C55" s="482" t="s">
        <v>79</v>
      </c>
      <c r="D55" s="76" t="s">
        <v>110</v>
      </c>
      <c r="G55">
        <v>46</v>
      </c>
      <c r="H55" s="610">
        <f t="shared" si="0"/>
        <v>15.21</v>
      </c>
      <c r="I55" s="4" t="str">
        <f t="shared" si="1"/>
        <v>BUCK</v>
      </c>
      <c r="J55">
        <f t="shared" si="43"/>
        <v>1</v>
      </c>
      <c r="K55">
        <f t="shared" si="2"/>
        <v>4</v>
      </c>
      <c r="L55" s="4">
        <f t="shared" si="3"/>
        <v>3.5064650449265828</v>
      </c>
      <c r="M55" s="4">
        <f t="shared" si="4"/>
        <v>4</v>
      </c>
      <c r="N55" s="386">
        <f t="shared" si="5"/>
        <v>0.79586116568434828</v>
      </c>
      <c r="O55" s="386">
        <f t="shared" si="58"/>
        <v>0</v>
      </c>
      <c r="P55" s="4">
        <f t="shared" si="6"/>
        <v>1.4266005898052045</v>
      </c>
      <c r="Q55" s="386">
        <f t="shared" si="7"/>
        <v>4.0211440043312772</v>
      </c>
      <c r="R55" s="386">
        <f t="shared" si="8"/>
        <v>0.21714650574057756</v>
      </c>
      <c r="S55" s="386">
        <f t="shared" si="45"/>
        <v>4.6137010839425154E-2</v>
      </c>
      <c r="T55" s="386">
        <f t="shared" si="46"/>
        <v>0.26328351658000271</v>
      </c>
      <c r="U55" s="4">
        <f t="shared" si="9"/>
        <v>0.41182411727505691</v>
      </c>
      <c r="V55" s="386">
        <f t="shared" si="10"/>
        <v>4.5791757963732551E-3</v>
      </c>
      <c r="W55" s="386">
        <f t="shared" si="47"/>
        <v>4.5791757963732551E-3</v>
      </c>
      <c r="X55" s="386">
        <f t="shared" si="11"/>
        <v>1.6208062336810205</v>
      </c>
      <c r="Y55" s="386">
        <f t="shared" si="12"/>
        <v>8.4064411108456152E-2</v>
      </c>
      <c r="Z55" s="603">
        <f t="shared" si="48"/>
        <v>8.4064411108456152E-2</v>
      </c>
      <c r="AA55" s="386">
        <f t="shared" si="13"/>
        <v>3.5873048366726961</v>
      </c>
      <c r="AB55" s="386">
        <f t="shared" si="14"/>
        <v>0.12868755991215319</v>
      </c>
      <c r="AC55" s="386">
        <f t="shared" si="15"/>
        <v>0.2445061034136953</v>
      </c>
      <c r="AD55">
        <f t="shared" si="16"/>
        <v>0</v>
      </c>
      <c r="AE55" s="386">
        <f t="shared" si="17"/>
        <v>0.38467843571007448</v>
      </c>
      <c r="AF55" s="386">
        <f t="shared" si="18"/>
        <v>1.8168222566762164</v>
      </c>
      <c r="AG55" s="386">
        <f t="shared" si="19"/>
        <v>3.3008431123540599E-2</v>
      </c>
      <c r="AH55" s="386">
        <f t="shared" si="20"/>
        <v>0.19239999999999999</v>
      </c>
      <c r="AI55" s="386">
        <f t="shared" si="21"/>
        <v>0.22714791990435285</v>
      </c>
      <c r="AJ55" s="386">
        <f t="shared" si="22"/>
        <v>0</v>
      </c>
      <c r="AK55" s="386">
        <f t="shared" si="23"/>
        <v>0</v>
      </c>
      <c r="AL55" s="386">
        <f t="shared" si="24"/>
        <v>0</v>
      </c>
      <c r="AM55">
        <f t="shared" si="25"/>
        <v>0</v>
      </c>
      <c r="AN55" s="386">
        <f t="shared" si="26"/>
        <v>0</v>
      </c>
      <c r="AO55" s="386">
        <f t="shared" si="27"/>
        <v>4.0211440043312772</v>
      </c>
      <c r="AP55" s="386">
        <f t="shared" si="28"/>
        <v>0.16169599103569379</v>
      </c>
      <c r="AQ55" s="386">
        <f t="shared" si="29"/>
        <v>0</v>
      </c>
      <c r="AR55" s="386">
        <f t="shared" si="30"/>
        <v>0.16799818593024998</v>
      </c>
      <c r="AS55" s="386">
        <f t="shared" si="31"/>
        <v>0.16169599103569379</v>
      </c>
      <c r="AT55" s="386">
        <f t="shared" si="32"/>
        <v>0</v>
      </c>
      <c r="AU55" s="386">
        <f t="shared" si="33"/>
        <v>5.6129000000000012E-2</v>
      </c>
      <c r="AV55" s="386">
        <f t="shared" si="34"/>
        <v>4.9512646685310892E-2</v>
      </c>
      <c r="AW55" s="386">
        <f t="shared" si="35"/>
        <v>6.5920000000000006E-2</v>
      </c>
      <c r="AX55" s="386">
        <f t="shared" si="36"/>
        <v>3.6000000000000004E-2</v>
      </c>
      <c r="AY55" s="386">
        <f t="shared" si="37"/>
        <v>0.40226399999999995</v>
      </c>
      <c r="AZ55" s="386">
        <f t="shared" si="38"/>
        <v>0.30415082926829268</v>
      </c>
      <c r="BA55" s="386">
        <f t="shared" si="56"/>
        <v>0.43826399999999999</v>
      </c>
      <c r="BB55" s="386">
        <f t="shared" si="57"/>
        <v>1.7415772917148202</v>
      </c>
      <c r="BC55">
        <f t="shared" si="39"/>
        <v>48</v>
      </c>
      <c r="BD55" s="604">
        <f t="shared" si="50"/>
        <v>0.96498749363131064</v>
      </c>
      <c r="BE55" s="614">
        <f t="shared" si="40"/>
        <v>25.566831271184324</v>
      </c>
      <c r="BF55" s="614">
        <f t="shared" si="41"/>
        <v>13.174579354452465</v>
      </c>
      <c r="BG55" s="9"/>
      <c r="BH55" s="4">
        <f t="shared" si="51"/>
        <v>96.498749363131068</v>
      </c>
      <c r="BI55" s="386">
        <f t="shared" si="52"/>
        <v>0.26328351658000271</v>
      </c>
      <c r="BJ55" s="386">
        <f t="shared" si="53"/>
        <v>0.83595354154467727</v>
      </c>
      <c r="BK55" s="386">
        <f t="shared" si="54"/>
        <v>0.24567048990435286</v>
      </c>
      <c r="BL55" s="386">
        <f t="shared" si="55"/>
        <v>4.9512646685310892E-2</v>
      </c>
      <c r="BQ55">
        <v>9.9943860000000004</v>
      </c>
      <c r="BR55">
        <v>14.954000000000001</v>
      </c>
      <c r="BS55">
        <v>5.1130310000000003</v>
      </c>
      <c r="BT55">
        <v>84.352650264578628</v>
      </c>
      <c r="BU55">
        <v>14183.318533699994</v>
      </c>
    </row>
    <row r="56" spans="1:73" ht="15.75" x14ac:dyDescent="0.3">
      <c r="A56" s="488" t="s">
        <v>679</v>
      </c>
      <c r="B56" s="5">
        <f>ThetaJA_Q2</f>
        <v>58</v>
      </c>
      <c r="C56" s="483" t="s">
        <v>241</v>
      </c>
      <c r="D56" s="76" t="s">
        <v>107</v>
      </c>
      <c r="E56" s="2"/>
      <c r="G56">
        <v>47</v>
      </c>
      <c r="H56" s="610">
        <f t="shared" si="0"/>
        <v>15.344999999999999</v>
      </c>
      <c r="I56" s="4" t="str">
        <f t="shared" si="1"/>
        <v>BUCK</v>
      </c>
      <c r="J56">
        <f t="shared" si="43"/>
        <v>1</v>
      </c>
      <c r="K56">
        <f t="shared" si="2"/>
        <v>4</v>
      </c>
      <c r="L56" s="4">
        <f t="shared" si="3"/>
        <v>3.4756163788421857</v>
      </c>
      <c r="M56" s="4">
        <f t="shared" si="4"/>
        <v>4</v>
      </c>
      <c r="N56" s="386">
        <f t="shared" si="5"/>
        <v>0.78888672508925672</v>
      </c>
      <c r="O56" s="386">
        <f t="shared" si="58"/>
        <v>0</v>
      </c>
      <c r="P56" s="4">
        <f t="shared" si="6"/>
        <v>1.4753406597672682</v>
      </c>
      <c r="Q56" s="386">
        <f t="shared" si="7"/>
        <v>4.022609332079143</v>
      </c>
      <c r="R56" s="386">
        <f t="shared" si="8"/>
        <v>0.21730754518803155</v>
      </c>
      <c r="S56" s="386">
        <f t="shared" si="45"/>
        <v>4.9849936755638827E-2</v>
      </c>
      <c r="T56" s="386">
        <f t="shared" si="46"/>
        <v>0.26715748194367039</v>
      </c>
      <c r="U56" s="4">
        <f t="shared" si="9"/>
        <v>0.42589416353151621</v>
      </c>
      <c r="V56" s="386">
        <f t="shared" si="10"/>
        <v>4.8974176403156662E-3</v>
      </c>
      <c r="W56" s="386">
        <f t="shared" si="47"/>
        <v>4.8974176403156662E-3</v>
      </c>
      <c r="X56" s="386">
        <f t="shared" si="11"/>
        <v>1.641621201013534</v>
      </c>
      <c r="Y56" s="386">
        <f t="shared" si="12"/>
        <v>8.6237445363747764E-2</v>
      </c>
      <c r="Z56" s="603">
        <f t="shared" si="48"/>
        <v>8.6237445363747764E-2</v>
      </c>
      <c r="AA56" s="386">
        <f t="shared" si="13"/>
        <v>3.5728532689663832</v>
      </c>
      <c r="AB56" s="386">
        <f t="shared" si="14"/>
        <v>0.1276528048156377</v>
      </c>
      <c r="AC56" s="386">
        <f t="shared" si="15"/>
        <v>0.24667627592920147</v>
      </c>
      <c r="AD56">
        <f t="shared" si="16"/>
        <v>0</v>
      </c>
      <c r="AE56" s="386">
        <f t="shared" si="17"/>
        <v>0.38575333976773668</v>
      </c>
      <c r="AF56" s="386">
        <f t="shared" si="18"/>
        <v>1.8482709100579482</v>
      </c>
      <c r="AG56" s="386">
        <f t="shared" si="19"/>
        <v>3.4161053569664361E-2</v>
      </c>
      <c r="AH56" s="386">
        <f t="shared" si="20"/>
        <v>0.19239999999999999</v>
      </c>
      <c r="AI56" s="386">
        <f t="shared" si="21"/>
        <v>0.22837097678550483</v>
      </c>
      <c r="AJ56" s="386">
        <f t="shared" si="22"/>
        <v>0</v>
      </c>
      <c r="AK56" s="386">
        <f t="shared" si="23"/>
        <v>0</v>
      </c>
      <c r="AL56" s="386">
        <f t="shared" si="24"/>
        <v>0</v>
      </c>
      <c r="AM56">
        <f t="shared" si="25"/>
        <v>0</v>
      </c>
      <c r="AN56" s="386">
        <f t="shared" si="26"/>
        <v>0</v>
      </c>
      <c r="AO56" s="386">
        <f t="shared" si="27"/>
        <v>4.022609332079143</v>
      </c>
      <c r="AP56" s="386">
        <f t="shared" si="28"/>
        <v>0.16181385838530207</v>
      </c>
      <c r="AQ56" s="386">
        <f t="shared" si="29"/>
        <v>0</v>
      </c>
      <c r="AR56" s="386">
        <f t="shared" si="30"/>
        <v>0.16812542384303375</v>
      </c>
      <c r="AS56" s="386">
        <f t="shared" si="31"/>
        <v>0.16181385838530207</v>
      </c>
      <c r="AT56" s="386">
        <f t="shared" si="32"/>
        <v>0</v>
      </c>
      <c r="AU56" s="386">
        <f t="shared" si="33"/>
        <v>5.6628499999999998E-2</v>
      </c>
      <c r="AV56" s="386">
        <f t="shared" si="34"/>
        <v>5.1241580354496538E-2</v>
      </c>
      <c r="AW56" s="386">
        <f t="shared" si="35"/>
        <v>6.5920000000000006E-2</v>
      </c>
      <c r="AX56" s="386">
        <f t="shared" si="36"/>
        <v>3.6000000000000004E-2</v>
      </c>
      <c r="AY56" s="386">
        <f t="shared" si="37"/>
        <v>0.40226399999999995</v>
      </c>
      <c r="AZ56" s="386">
        <f t="shared" si="38"/>
        <v>0.30415082926829268</v>
      </c>
      <c r="BA56" s="386">
        <f t="shared" si="56"/>
        <v>0.43826399999999999</v>
      </c>
      <c r="BB56" s="386">
        <f t="shared" si="57"/>
        <v>1.7525961656985056</v>
      </c>
      <c r="BC56">
        <f t="shared" si="39"/>
        <v>48</v>
      </c>
      <c r="BD56" s="604">
        <f t="shared" si="50"/>
        <v>0.96477377462149772</v>
      </c>
      <c r="BE56" s="614">
        <f t="shared" si="40"/>
        <v>25.658146706528729</v>
      </c>
      <c r="BF56" s="614">
        <f t="shared" si="41"/>
        <v>13.24551665355928</v>
      </c>
      <c r="BG56" s="9"/>
      <c r="BH56" s="4">
        <f t="shared" si="51"/>
        <v>96.477377462149775</v>
      </c>
      <c r="BI56" s="386">
        <f t="shared" si="52"/>
        <v>0.26715748194367039</v>
      </c>
      <c r="BJ56" s="386">
        <f t="shared" si="53"/>
        <v>0.83887824039627523</v>
      </c>
      <c r="BK56" s="386">
        <f t="shared" si="54"/>
        <v>0.24705838178550482</v>
      </c>
      <c r="BL56" s="386">
        <f t="shared" si="55"/>
        <v>5.1241580354496538E-2</v>
      </c>
      <c r="BR56" s="18"/>
      <c r="BS56" s="19"/>
    </row>
    <row r="57" spans="1:73" x14ac:dyDescent="0.2">
      <c r="A57" s="24" t="s">
        <v>279</v>
      </c>
      <c r="B57" s="15" t="s">
        <v>115</v>
      </c>
      <c r="C57" s="24" t="s">
        <v>80</v>
      </c>
      <c r="D57" s="24" t="s">
        <v>249</v>
      </c>
      <c r="G57">
        <v>48</v>
      </c>
      <c r="H57" s="610">
        <f t="shared" si="0"/>
        <v>15.48</v>
      </c>
      <c r="I57" s="4" t="str">
        <f t="shared" si="1"/>
        <v>BUCK</v>
      </c>
      <c r="J57">
        <f t="shared" si="43"/>
        <v>1</v>
      </c>
      <c r="K57">
        <f t="shared" si="2"/>
        <v>4</v>
      </c>
      <c r="L57" s="4">
        <f t="shared" si="3"/>
        <v>3.4453057708871659</v>
      </c>
      <c r="M57" s="4">
        <f t="shared" si="4"/>
        <v>4</v>
      </c>
      <c r="N57" s="386">
        <f t="shared" si="5"/>
        <v>0.78203346203346191</v>
      </c>
      <c r="O57" s="386">
        <f t="shared" si="58"/>
        <v>0</v>
      </c>
      <c r="P57" s="4">
        <f t="shared" si="6"/>
        <v>1.5232338945369421</v>
      </c>
      <c r="Q57" s="386">
        <f t="shared" si="7"/>
        <v>4.0240966014898527</v>
      </c>
      <c r="R57" s="386">
        <f t="shared" si="8"/>
        <v>0.21747106019353843</v>
      </c>
      <c r="S57" s="386">
        <f t="shared" si="45"/>
        <v>5.365756502960798E-2</v>
      </c>
      <c r="T57" s="386">
        <f t="shared" si="46"/>
        <v>0.2711286252231464</v>
      </c>
      <c r="U57" s="4">
        <f t="shared" si="9"/>
        <v>0.43971974952483278</v>
      </c>
      <c r="V57" s="386">
        <f t="shared" si="10"/>
        <v>5.2205433692989059E-3</v>
      </c>
      <c r="W57" s="386">
        <f t="shared" si="47"/>
        <v>5.2205433692989059E-3</v>
      </c>
      <c r="X57" s="386">
        <f t="shared" si="11"/>
        <v>1.661406782075094</v>
      </c>
      <c r="Y57" s="386">
        <f t="shared" si="12"/>
        <v>8.8328719856803808E-2</v>
      </c>
      <c r="Z57" s="603">
        <f t="shared" si="48"/>
        <v>8.8328719856803808E-2</v>
      </c>
      <c r="AA57" s="386">
        <f t="shared" si="13"/>
        <v>3.5586154985874527</v>
      </c>
      <c r="AB57" s="386">
        <f t="shared" si="14"/>
        <v>0.12663744266786825</v>
      </c>
      <c r="AC57" s="386">
        <f t="shared" si="15"/>
        <v>0.24884644844470766</v>
      </c>
      <c r="AD57">
        <f t="shared" si="16"/>
        <v>0</v>
      </c>
      <c r="AE57" s="386">
        <f t="shared" si="17"/>
        <v>0.3868494851560047</v>
      </c>
      <c r="AF57" s="386">
        <f t="shared" si="18"/>
        <v>1.8787254166948824</v>
      </c>
      <c r="AG57" s="386">
        <f t="shared" si="19"/>
        <v>3.5296091913353596E-2</v>
      </c>
      <c r="AH57" s="386">
        <f t="shared" si="20"/>
        <v>0.19239999999999999</v>
      </c>
      <c r="AI57" s="386">
        <f t="shared" si="21"/>
        <v>0.22957601953182089</v>
      </c>
      <c r="AJ57" s="386">
        <f t="shared" si="22"/>
        <v>0</v>
      </c>
      <c r="AK57" s="386">
        <f t="shared" si="23"/>
        <v>0</v>
      </c>
      <c r="AL57" s="386">
        <f t="shared" si="24"/>
        <v>0</v>
      </c>
      <c r="AM57">
        <f t="shared" si="25"/>
        <v>0</v>
      </c>
      <c r="AN57" s="386">
        <f t="shared" si="26"/>
        <v>0</v>
      </c>
      <c r="AO57" s="386">
        <f t="shared" si="27"/>
        <v>4.0240966014898527</v>
      </c>
      <c r="AP57" s="386">
        <f t="shared" si="28"/>
        <v>0.16193353458122181</v>
      </c>
      <c r="AQ57" s="386">
        <f t="shared" si="29"/>
        <v>0</v>
      </c>
      <c r="AR57" s="386">
        <f t="shared" si="30"/>
        <v>0.16825462180470513</v>
      </c>
      <c r="AS57" s="386">
        <f t="shared" si="31"/>
        <v>0.16193353458122181</v>
      </c>
      <c r="AT57" s="386">
        <f t="shared" si="32"/>
        <v>0</v>
      </c>
      <c r="AU57" s="386">
        <f t="shared" si="33"/>
        <v>5.7128000000000005E-2</v>
      </c>
      <c r="AV57" s="386">
        <f t="shared" si="34"/>
        <v>5.294413787003039E-2</v>
      </c>
      <c r="AW57" s="386">
        <f t="shared" si="35"/>
        <v>6.5920000000000006E-2</v>
      </c>
      <c r="AX57" s="386">
        <f t="shared" si="36"/>
        <v>3.6000000000000004E-2</v>
      </c>
      <c r="AY57" s="386">
        <f t="shared" si="37"/>
        <v>0.40226399999999995</v>
      </c>
      <c r="AZ57" s="386">
        <f t="shared" si="38"/>
        <v>0.30415082926829268</v>
      </c>
      <c r="BA57" s="386">
        <f t="shared" si="56"/>
        <v>0.43826399999999999</v>
      </c>
      <c r="BB57" s="386">
        <f t="shared" si="57"/>
        <v>1.7636141528118103</v>
      </c>
      <c r="BC57">
        <f t="shared" si="39"/>
        <v>48</v>
      </c>
      <c r="BD57" s="604">
        <f t="shared" si="50"/>
        <v>0.96456016744691842</v>
      </c>
      <c r="BE57" s="614">
        <f t="shared" si="40"/>
        <v>25.750694139048274</v>
      </c>
      <c r="BF57" s="614">
        <f t="shared" si="41"/>
        <v>13.315409132845611</v>
      </c>
      <c r="BG57" s="9"/>
      <c r="BH57" s="4">
        <f t="shared" si="51"/>
        <v>96.456016744691837</v>
      </c>
      <c r="BI57" s="386">
        <f t="shared" si="52"/>
        <v>0.2711286252231464</v>
      </c>
      <c r="BJ57" s="386">
        <f t="shared" si="53"/>
        <v>0.84180812649253067</v>
      </c>
      <c r="BK57" s="386">
        <f t="shared" si="54"/>
        <v>0.24842825953182088</v>
      </c>
      <c r="BL57" s="386">
        <f t="shared" si="55"/>
        <v>5.294413787003039E-2</v>
      </c>
      <c r="BR57" s="18"/>
      <c r="BS57" s="19"/>
    </row>
    <row r="58" spans="1:73" x14ac:dyDescent="0.2">
      <c r="A58" s="23" t="s">
        <v>231</v>
      </c>
      <c r="B58" s="73">
        <f>VfdSky_Q2</f>
        <v>0</v>
      </c>
      <c r="C58" s="482" t="s">
        <v>0</v>
      </c>
      <c r="D58" s="76" t="s">
        <v>234</v>
      </c>
      <c r="G58">
        <v>49</v>
      </c>
      <c r="H58" s="610">
        <f t="shared" si="0"/>
        <v>15.615</v>
      </c>
      <c r="I58" s="4" t="str">
        <f t="shared" si="1"/>
        <v>BUCK</v>
      </c>
      <c r="J58">
        <f t="shared" si="43"/>
        <v>1</v>
      </c>
      <c r="K58">
        <f t="shared" si="2"/>
        <v>4</v>
      </c>
      <c r="L58" s="4">
        <f t="shared" si="3"/>
        <v>3.4155192656633582</v>
      </c>
      <c r="M58" s="4">
        <f t="shared" si="4"/>
        <v>4</v>
      </c>
      <c r="N58" s="386">
        <f t="shared" si="5"/>
        <v>0.77529824561403504</v>
      </c>
      <c r="O58" s="386">
        <f t="shared" si="58"/>
        <v>0</v>
      </c>
      <c r="P58" s="4">
        <f t="shared" si="6"/>
        <v>1.5703021740665637</v>
      </c>
      <c r="Q58" s="386">
        <f t="shared" si="7"/>
        <v>4.0256039807491222</v>
      </c>
      <c r="R58" s="386">
        <f t="shared" si="8"/>
        <v>0.21763685210734243</v>
      </c>
      <c r="S58" s="386">
        <f t="shared" si="45"/>
        <v>5.7554871985875854E-2</v>
      </c>
      <c r="T58" s="386">
        <f t="shared" si="46"/>
        <v>0.27519172409321829</v>
      </c>
      <c r="U58" s="4">
        <f t="shared" si="9"/>
        <v>0.45330719145319259</v>
      </c>
      <c r="V58" s="386">
        <f t="shared" si="10"/>
        <v>5.5481600652258975E-3</v>
      </c>
      <c r="W58" s="386">
        <f t="shared" si="47"/>
        <v>5.5481600652258975E-3</v>
      </c>
      <c r="X58" s="386">
        <f t="shared" si="11"/>
        <v>1.6802297929312453</v>
      </c>
      <c r="Y58" s="386">
        <f t="shared" si="12"/>
        <v>9.0341509025720815E-2</v>
      </c>
      <c r="Z58" s="603">
        <f t="shared" si="48"/>
        <v>9.0341509025720815E-2</v>
      </c>
      <c r="AA58" s="386">
        <f t="shared" si="13"/>
        <v>3.544585442355177</v>
      </c>
      <c r="AB58" s="386">
        <f t="shared" si="14"/>
        <v>0.12564085958156246</v>
      </c>
      <c r="AC58" s="386">
        <f t="shared" si="15"/>
        <v>0.25101662096021382</v>
      </c>
      <c r="AD58">
        <f t="shared" si="16"/>
        <v>0</v>
      </c>
      <c r="AE58" s="386">
        <f t="shared" si="17"/>
        <v>0.38796618242007408</v>
      </c>
      <c r="AF58" s="386">
        <f t="shared" si="18"/>
        <v>1.9082456476216407</v>
      </c>
      <c r="AG58" s="386">
        <f t="shared" si="19"/>
        <v>3.6414014516669355E-2</v>
      </c>
      <c r="AH58" s="386">
        <f t="shared" si="20"/>
        <v>0.19239999999999999</v>
      </c>
      <c r="AI58" s="386">
        <f t="shared" si="21"/>
        <v>0.23076351655838426</v>
      </c>
      <c r="AJ58" s="386">
        <f t="shared" si="22"/>
        <v>0</v>
      </c>
      <c r="AK58" s="386">
        <f t="shared" si="23"/>
        <v>0</v>
      </c>
      <c r="AL58" s="386">
        <f t="shared" si="24"/>
        <v>0</v>
      </c>
      <c r="AM58">
        <f t="shared" si="25"/>
        <v>0</v>
      </c>
      <c r="AN58" s="386">
        <f t="shared" si="26"/>
        <v>0</v>
      </c>
      <c r="AO58" s="386">
        <f t="shared" si="27"/>
        <v>4.0256039807491222</v>
      </c>
      <c r="AP58" s="386">
        <f t="shared" si="28"/>
        <v>0.16205487409823177</v>
      </c>
      <c r="AQ58" s="386">
        <f t="shared" si="29"/>
        <v>0</v>
      </c>
      <c r="AR58" s="386">
        <f t="shared" si="30"/>
        <v>0.16838562303657736</v>
      </c>
      <c r="AS58" s="386">
        <f t="shared" si="31"/>
        <v>0.16205487409823177</v>
      </c>
      <c r="AT58" s="386">
        <f t="shared" si="32"/>
        <v>0</v>
      </c>
      <c r="AU58" s="386">
        <f t="shared" si="33"/>
        <v>5.7627500000000005E-2</v>
      </c>
      <c r="AV58" s="386">
        <f t="shared" si="34"/>
        <v>5.4621021775004025E-2</v>
      </c>
      <c r="AW58" s="386">
        <f t="shared" si="35"/>
        <v>6.5920000000000006E-2</v>
      </c>
      <c r="AX58" s="386">
        <f t="shared" si="36"/>
        <v>3.6000000000000004E-2</v>
      </c>
      <c r="AY58" s="386">
        <f t="shared" si="37"/>
        <v>0.40226399999999995</v>
      </c>
      <c r="AZ58" s="386">
        <f t="shared" si="38"/>
        <v>0.30415082926829268</v>
      </c>
      <c r="BA58" s="386">
        <f t="shared" si="56"/>
        <v>0.43826399999999999</v>
      </c>
      <c r="BB58" s="386">
        <f t="shared" si="57"/>
        <v>1.7746292369742047</v>
      </c>
      <c r="BC58">
        <f t="shared" si="39"/>
        <v>48</v>
      </c>
      <c r="BD58" s="604">
        <f t="shared" si="50"/>
        <v>0.96434671108195913</v>
      </c>
      <c r="BE58" s="614">
        <f t="shared" si="40"/>
        <v>25.844433580364296</v>
      </c>
      <c r="BF58" s="614">
        <f t="shared" si="41"/>
        <v>13.384283960386288</v>
      </c>
      <c r="BG58" s="9"/>
      <c r="BH58" s="4">
        <f t="shared" si="51"/>
        <v>96.434671108195914</v>
      </c>
      <c r="BI58" s="386">
        <f t="shared" si="52"/>
        <v>0.27519172409321829</v>
      </c>
      <c r="BJ58" s="386">
        <f t="shared" si="53"/>
        <v>0.8447428220150357</v>
      </c>
      <c r="BK58" s="386">
        <f t="shared" si="54"/>
        <v>0.24978059155838425</v>
      </c>
      <c r="BL58" s="386">
        <f t="shared" si="55"/>
        <v>5.4621021775004025E-2</v>
      </c>
      <c r="BR58" s="18"/>
      <c r="BS58" s="19"/>
    </row>
    <row r="59" spans="1:73" x14ac:dyDescent="0.2">
      <c r="A59" s="23" t="s">
        <v>232</v>
      </c>
      <c r="B59" s="73">
        <f>QrrSky_Q2*1000000000</f>
        <v>0</v>
      </c>
      <c r="C59" s="482" t="s">
        <v>69</v>
      </c>
      <c r="D59" s="76" t="s">
        <v>235</v>
      </c>
      <c r="G59">
        <v>50</v>
      </c>
      <c r="H59" s="610">
        <f t="shared" si="0"/>
        <v>15.75</v>
      </c>
      <c r="I59" s="4" t="str">
        <f t="shared" si="1"/>
        <v>BUCK</v>
      </c>
      <c r="J59">
        <f t="shared" si="43"/>
        <v>1</v>
      </c>
      <c r="K59">
        <f t="shared" si="2"/>
        <v>4</v>
      </c>
      <c r="L59" s="4">
        <f t="shared" si="3"/>
        <v>3.3862433862433861</v>
      </c>
      <c r="M59" s="4">
        <f t="shared" si="4"/>
        <v>4</v>
      </c>
      <c r="N59" s="386">
        <f t="shared" si="5"/>
        <v>0.76867805186590754</v>
      </c>
      <c r="O59" s="386">
        <f t="shared" si="58"/>
        <v>0</v>
      </c>
      <c r="P59" s="4">
        <f t="shared" si="6"/>
        <v>1.6165666309856221</v>
      </c>
      <c r="Q59" s="386">
        <f t="shared" si="7"/>
        <v>4.0271297437134246</v>
      </c>
      <c r="R59" s="386">
        <f t="shared" si="8"/>
        <v>0.2178047336244088</v>
      </c>
      <c r="S59" s="386">
        <f t="shared" si="45"/>
        <v>6.1537011755405421E-2</v>
      </c>
      <c r="T59" s="386">
        <f t="shared" si="46"/>
        <v>0.27934174537981421</v>
      </c>
      <c r="U59" s="4">
        <f t="shared" si="9"/>
        <v>0.46666258978125769</v>
      </c>
      <c r="V59" s="386">
        <f t="shared" si="10"/>
        <v>5.879897262936461E-3</v>
      </c>
      <c r="W59" s="386">
        <f t="shared" si="47"/>
        <v>5.879897262936461E-3</v>
      </c>
      <c r="X59" s="386">
        <f t="shared" si="11"/>
        <v>1.6981509118768403</v>
      </c>
      <c r="Y59" s="386">
        <f t="shared" si="12"/>
        <v>9.2278928624260612E-2</v>
      </c>
      <c r="Z59" s="603">
        <f t="shared" si="48"/>
        <v>9.2278928624260612E-2</v>
      </c>
      <c r="AA59" s="386">
        <f t="shared" si="13"/>
        <v>3.5307572704644672</v>
      </c>
      <c r="AB59" s="386">
        <f t="shared" si="14"/>
        <v>0.12466246902937694</v>
      </c>
      <c r="AC59" s="386">
        <f t="shared" si="15"/>
        <v>0.25318679347571998</v>
      </c>
      <c r="AD59">
        <f t="shared" si="16"/>
        <v>0</v>
      </c>
      <c r="AE59" s="386">
        <f t="shared" si="17"/>
        <v>0.38910277339048943</v>
      </c>
      <c r="AF59" s="386">
        <f t="shared" si="18"/>
        <v>1.9368859206890987</v>
      </c>
      <c r="AG59" s="386">
        <f t="shared" si="19"/>
        <v>3.7515270697636577E-2</v>
      </c>
      <c r="AH59" s="386">
        <f t="shared" si="20"/>
        <v>0.19239999999999999</v>
      </c>
      <c r="AI59" s="386">
        <f t="shared" si="21"/>
        <v>0.23193391747558648</v>
      </c>
      <c r="AJ59" s="386">
        <f t="shared" si="22"/>
        <v>0</v>
      </c>
      <c r="AK59" s="386">
        <f t="shared" si="23"/>
        <v>0</v>
      </c>
      <c r="AL59" s="386">
        <f t="shared" si="24"/>
        <v>0</v>
      </c>
      <c r="AM59">
        <f t="shared" si="25"/>
        <v>0</v>
      </c>
      <c r="AN59" s="386">
        <f t="shared" si="26"/>
        <v>0</v>
      </c>
      <c r="AO59" s="386">
        <f t="shared" si="27"/>
        <v>4.0271297437134246</v>
      </c>
      <c r="AP59" s="386">
        <f t="shared" si="28"/>
        <v>0.16217773972701352</v>
      </c>
      <c r="AQ59" s="386">
        <f t="shared" si="29"/>
        <v>0</v>
      </c>
      <c r="AR59" s="386">
        <f t="shared" si="30"/>
        <v>0.16851827970669325</v>
      </c>
      <c r="AS59" s="386">
        <f t="shared" si="31"/>
        <v>0.16217773972701352</v>
      </c>
      <c r="AT59" s="386">
        <f t="shared" si="32"/>
        <v>0</v>
      </c>
      <c r="AU59" s="386">
        <f t="shared" si="33"/>
        <v>5.8127000000000005E-2</v>
      </c>
      <c r="AV59" s="386">
        <f t="shared" si="34"/>
        <v>5.6272906046454858E-2</v>
      </c>
      <c r="AW59" s="386">
        <f t="shared" si="35"/>
        <v>6.5920000000000006E-2</v>
      </c>
      <c r="AX59" s="386">
        <f t="shared" si="36"/>
        <v>3.6000000000000004E-2</v>
      </c>
      <c r="AY59" s="386">
        <f t="shared" si="37"/>
        <v>0.40226399999999995</v>
      </c>
      <c r="AZ59" s="386">
        <f t="shared" si="38"/>
        <v>0.30415082926829268</v>
      </c>
      <c r="BA59" s="386">
        <f t="shared" si="56"/>
        <v>0.43826399999999999</v>
      </c>
      <c r="BB59" s="386">
        <f t="shared" si="57"/>
        <v>1.7856394478862352</v>
      </c>
      <c r="BC59">
        <f t="shared" si="39"/>
        <v>48</v>
      </c>
      <c r="BD59" s="604">
        <f t="shared" si="50"/>
        <v>0.96413344354539476</v>
      </c>
      <c r="BE59" s="614">
        <f t="shared" si="40"/>
        <v>25.939326856648385</v>
      </c>
      <c r="BF59" s="614">
        <f t="shared" si="41"/>
        <v>13.452167213584016</v>
      </c>
      <c r="BG59" s="9"/>
      <c r="BH59" s="4">
        <f t="shared" si="51"/>
        <v>96.413344354539475</v>
      </c>
      <c r="BI59" s="386">
        <f t="shared" si="52"/>
        <v>0.27934174537981421</v>
      </c>
      <c r="BJ59" s="386">
        <f t="shared" si="53"/>
        <v>0.84768197057276917</v>
      </c>
      <c r="BK59" s="386">
        <f t="shared" si="54"/>
        <v>0.25111582747558647</v>
      </c>
      <c r="BL59" s="386">
        <f t="shared" si="55"/>
        <v>5.6272906046454858E-2</v>
      </c>
      <c r="BR59" s="18"/>
      <c r="BS59" s="19"/>
    </row>
    <row r="60" spans="1:73" x14ac:dyDescent="0.2">
      <c r="A60" s="23" t="s">
        <v>233</v>
      </c>
      <c r="B60" s="73">
        <f>Ireverse</f>
        <v>0</v>
      </c>
      <c r="C60" s="482" t="s">
        <v>68</v>
      </c>
      <c r="D60" s="76" t="s">
        <v>236</v>
      </c>
      <c r="E60" s="2"/>
      <c r="G60">
        <v>51</v>
      </c>
      <c r="H60" s="610">
        <f t="shared" si="0"/>
        <v>15.885</v>
      </c>
      <c r="I60" s="4" t="str">
        <f t="shared" si="1"/>
        <v>BUCK</v>
      </c>
      <c r="J60">
        <f t="shared" si="43"/>
        <v>1</v>
      </c>
      <c r="K60">
        <f t="shared" si="2"/>
        <v>4</v>
      </c>
      <c r="L60" s="4">
        <f t="shared" si="3"/>
        <v>3.3574651138390514</v>
      </c>
      <c r="M60" s="4">
        <f t="shared" si="4"/>
        <v>4</v>
      </c>
      <c r="N60" s="386">
        <f t="shared" si="5"/>
        <v>0.76216995923486985</v>
      </c>
      <c r="O60" s="386">
        <f t="shared" si="58"/>
        <v>0</v>
      </c>
      <c r="P60" s="4">
        <f t="shared" si="6"/>
        <v>1.6620476822371899</v>
      </c>
      <c r="Q60" s="386">
        <f t="shared" si="7"/>
        <v>4.028672263683057</v>
      </c>
      <c r="R60" s="386">
        <f t="shared" si="8"/>
        <v>0.217974528112344</v>
      </c>
      <c r="S60" s="386">
        <f t="shared" si="45"/>
        <v>6.5599314566209946E-2</v>
      </c>
      <c r="T60" s="386">
        <f t="shared" si="46"/>
        <v>0.28357384267855396</v>
      </c>
      <c r="U60" s="4">
        <f t="shared" si="9"/>
        <v>0.47979183837281764</v>
      </c>
      <c r="V60" s="386">
        <f t="shared" si="10"/>
        <v>6.2154056205675351E-3</v>
      </c>
      <c r="W60" s="386">
        <f t="shared" si="47"/>
        <v>6.2154056205675351E-3</v>
      </c>
      <c r="X60" s="386">
        <f t="shared" si="11"/>
        <v>1.7152254314178252</v>
      </c>
      <c r="Y60" s="386">
        <f t="shared" si="12"/>
        <v>9.4143944978638872E-2</v>
      </c>
      <c r="Z60" s="603">
        <f t="shared" si="48"/>
        <v>9.4143944978638872E-2</v>
      </c>
      <c r="AA60" s="386">
        <f t="shared" si="13"/>
        <v>3.5171253931348638</v>
      </c>
      <c r="AB60" s="386">
        <f t="shared" si="14"/>
        <v>0.1237017103103407</v>
      </c>
      <c r="AC60" s="386">
        <f t="shared" si="15"/>
        <v>0.25535696599122615</v>
      </c>
      <c r="AD60">
        <f t="shared" si="16"/>
        <v>0</v>
      </c>
      <c r="AE60" s="386">
        <f t="shared" si="17"/>
        <v>0.39025862940313139</v>
      </c>
      <c r="AF60" s="386">
        <f t="shared" si="18"/>
        <v>1.9646956958101924</v>
      </c>
      <c r="AG60" s="386">
        <f t="shared" si="19"/>
        <v>3.8600291771350964E-2</v>
      </c>
      <c r="AH60" s="386">
        <f t="shared" si="20"/>
        <v>0.19239999999999999</v>
      </c>
      <c r="AI60" s="386">
        <f t="shared" si="21"/>
        <v>0.23308765410935661</v>
      </c>
      <c r="AJ60" s="386">
        <f t="shared" si="22"/>
        <v>0</v>
      </c>
      <c r="AK60" s="386">
        <f t="shared" si="23"/>
        <v>0</v>
      </c>
      <c r="AL60" s="386">
        <f t="shared" si="24"/>
        <v>0</v>
      </c>
      <c r="AM60">
        <f t="shared" si="25"/>
        <v>0</v>
      </c>
      <c r="AN60" s="386">
        <f t="shared" si="26"/>
        <v>0</v>
      </c>
      <c r="AO60" s="386">
        <f t="shared" si="27"/>
        <v>4.028672263683057</v>
      </c>
      <c r="AP60" s="386">
        <f t="shared" si="28"/>
        <v>0.16230200208169165</v>
      </c>
      <c r="AQ60" s="386">
        <f t="shared" si="29"/>
        <v>0</v>
      </c>
      <c r="AR60" s="386">
        <f t="shared" si="30"/>
        <v>0.16865245239955248</v>
      </c>
      <c r="AS60" s="386">
        <f t="shared" si="31"/>
        <v>0.16230200208169165</v>
      </c>
      <c r="AT60" s="386">
        <f t="shared" si="32"/>
        <v>0</v>
      </c>
      <c r="AU60" s="386">
        <f t="shared" si="33"/>
        <v>5.8626500000000005E-2</v>
      </c>
      <c r="AV60" s="386">
        <f t="shared" si="34"/>
        <v>5.7900437657026439E-2</v>
      </c>
      <c r="AW60" s="386">
        <f t="shared" si="35"/>
        <v>6.5920000000000006E-2</v>
      </c>
      <c r="AX60" s="386">
        <f t="shared" si="36"/>
        <v>3.6000000000000004E-2</v>
      </c>
      <c r="AY60" s="386">
        <f t="shared" si="37"/>
        <v>0.40226399999999995</v>
      </c>
      <c r="AZ60" s="386">
        <f t="shared" si="38"/>
        <v>0.30415082926829268</v>
      </c>
      <c r="BA60" s="386">
        <f t="shared" si="56"/>
        <v>0.43826399999999999</v>
      </c>
      <c r="BB60" s="386">
        <f t="shared" si="57"/>
        <v>1.7966428668468271</v>
      </c>
      <c r="BC60">
        <f t="shared" si="39"/>
        <v>48</v>
      </c>
      <c r="BD60" s="604">
        <f t="shared" si="50"/>
        <v>0.96392040178991711</v>
      </c>
      <c r="BE60" s="614">
        <f t="shared" si="40"/>
        <v>26.035337505381623</v>
      </c>
      <c r="BF60" s="614">
        <f t="shared" si="41"/>
        <v>13.519083938342684</v>
      </c>
      <c r="BG60" s="9"/>
      <c r="BH60" s="4">
        <f t="shared" si="51"/>
        <v>96.392040178991707</v>
      </c>
      <c r="BI60" s="386">
        <f t="shared" si="52"/>
        <v>0.28357384267855396</v>
      </c>
      <c r="BJ60" s="386">
        <f t="shared" si="53"/>
        <v>0.85062523591204053</v>
      </c>
      <c r="BK60" s="386">
        <f t="shared" si="54"/>
        <v>0.25243439910935661</v>
      </c>
      <c r="BL60" s="386">
        <f t="shared" si="55"/>
        <v>5.7900437657026439E-2</v>
      </c>
      <c r="BR60" s="18"/>
      <c r="BS60" s="19"/>
    </row>
    <row r="61" spans="1:73" x14ac:dyDescent="0.2">
      <c r="A61" s="24" t="s">
        <v>121</v>
      </c>
      <c r="B61" s="15" t="s">
        <v>115</v>
      </c>
      <c r="C61" s="24" t="s">
        <v>80</v>
      </c>
      <c r="D61" s="24" t="s">
        <v>249</v>
      </c>
      <c r="G61">
        <v>52</v>
      </c>
      <c r="H61" s="610">
        <f t="shared" si="0"/>
        <v>16.02</v>
      </c>
      <c r="I61" s="4" t="str">
        <f t="shared" si="1"/>
        <v>BUCK</v>
      </c>
      <c r="J61">
        <f t="shared" si="43"/>
        <v>1</v>
      </c>
      <c r="K61">
        <f t="shared" si="2"/>
        <v>4</v>
      </c>
      <c r="L61" s="4">
        <f t="shared" si="3"/>
        <v>3.3291718684977112</v>
      </c>
      <c r="M61" s="4">
        <f t="shared" si="4"/>
        <v>4</v>
      </c>
      <c r="N61" s="386">
        <f t="shared" si="5"/>
        <v>0.75577114427860703</v>
      </c>
      <c r="O61" s="386">
        <f t="shared" si="58"/>
        <v>0</v>
      </c>
      <c r="P61" s="4">
        <f t="shared" si="6"/>
        <v>1.7067650591207275</v>
      </c>
      <c r="Q61" s="386">
        <f t="shared" si="7"/>
        <v>4.03023000757024</v>
      </c>
      <c r="R61" s="386">
        <f t="shared" si="8"/>
        <v>0.21814606898279895</v>
      </c>
      <c r="S61" s="386">
        <f t="shared" si="45"/>
        <v>6.9737284223008178E-2</v>
      </c>
      <c r="T61" s="386">
        <f t="shared" si="46"/>
        <v>0.28788335320580716</v>
      </c>
      <c r="U61" s="4">
        <f t="shared" si="9"/>
        <v>0.49270063316339979</v>
      </c>
      <c r="V61" s="386">
        <f t="shared" si="10"/>
        <v>6.5543556758296062E-3</v>
      </c>
      <c r="W61" s="386">
        <f t="shared" si="47"/>
        <v>6.5543556758296062E-3</v>
      </c>
      <c r="X61" s="386">
        <f t="shared" si="11"/>
        <v>1.7315038948301988</v>
      </c>
      <c r="Y61" s="386">
        <f t="shared" si="12"/>
        <v>9.5939383609988757E-2</v>
      </c>
      <c r="Z61" s="603">
        <f t="shared" si="48"/>
        <v>9.5939383609988757E-2</v>
      </c>
      <c r="AA61" s="386">
        <f t="shared" si="13"/>
        <v>3.5036844480858789</v>
      </c>
      <c r="AB61" s="386">
        <f t="shared" si="14"/>
        <v>0.1227580471175885</v>
      </c>
      <c r="AC61" s="386">
        <f t="shared" si="15"/>
        <v>0.25752713850673231</v>
      </c>
      <c r="AD61">
        <f t="shared" si="16"/>
        <v>0</v>
      </c>
      <c r="AE61" s="386">
        <f t="shared" si="17"/>
        <v>0.39143314963851783</v>
      </c>
      <c r="AF61" s="386">
        <f t="shared" si="18"/>
        <v>1.9917201616092468</v>
      </c>
      <c r="AG61" s="386">
        <f t="shared" si="19"/>
        <v>3.966949202160764E-2</v>
      </c>
      <c r="AH61" s="386">
        <f t="shared" si="20"/>
        <v>0.19239999999999999</v>
      </c>
      <c r="AI61" s="386">
        <f t="shared" si="21"/>
        <v>0.23422514145380513</v>
      </c>
      <c r="AJ61" s="386">
        <f t="shared" si="22"/>
        <v>0</v>
      </c>
      <c r="AK61" s="386">
        <f t="shared" si="23"/>
        <v>0</v>
      </c>
      <c r="AL61" s="386">
        <f t="shared" si="24"/>
        <v>0</v>
      </c>
      <c r="AM61">
        <f t="shared" si="25"/>
        <v>0</v>
      </c>
      <c r="AN61" s="386">
        <f t="shared" si="26"/>
        <v>0</v>
      </c>
      <c r="AO61" s="386">
        <f t="shared" si="27"/>
        <v>4.03023000757024</v>
      </c>
      <c r="AP61" s="386">
        <f t="shared" si="28"/>
        <v>0.16242753913919619</v>
      </c>
      <c r="AQ61" s="386">
        <f t="shared" si="29"/>
        <v>0</v>
      </c>
      <c r="AR61" s="386">
        <f t="shared" si="30"/>
        <v>0.16878800962020063</v>
      </c>
      <c r="AS61" s="386">
        <f t="shared" si="31"/>
        <v>0.16242753913919619</v>
      </c>
      <c r="AT61" s="386">
        <f t="shared" si="32"/>
        <v>0</v>
      </c>
      <c r="AU61" s="386">
        <f t="shared" si="33"/>
        <v>5.9126000000000005E-2</v>
      </c>
      <c r="AV61" s="386">
        <f t="shared" si="34"/>
        <v>5.9504238032411463E-2</v>
      </c>
      <c r="AW61" s="386">
        <f t="shared" si="35"/>
        <v>6.5920000000000006E-2</v>
      </c>
      <c r="AX61" s="386">
        <f t="shared" si="36"/>
        <v>3.6000000000000004E-2</v>
      </c>
      <c r="AY61" s="386">
        <f t="shared" si="37"/>
        <v>0.40226399999999995</v>
      </c>
      <c r="AZ61" s="386">
        <f t="shared" si="38"/>
        <v>0.30415082926829268</v>
      </c>
      <c r="BA61" s="386">
        <f t="shared" si="56"/>
        <v>0.43826399999999999</v>
      </c>
      <c r="BB61" s="386">
        <f t="shared" si="57"/>
        <v>1.8076376312365607</v>
      </c>
      <c r="BC61">
        <f t="shared" si="39"/>
        <v>48</v>
      </c>
      <c r="BD61" s="604">
        <f t="shared" si="50"/>
        <v>0.96370762161779566</v>
      </c>
      <c r="BE61" s="614">
        <f t="shared" si="40"/>
        <v>26.132430679034034</v>
      </c>
      <c r="BF61" s="614">
        <f t="shared" si="41"/>
        <v>13.585058204320697</v>
      </c>
      <c r="BG61" s="9"/>
      <c r="BH61" s="4">
        <f t="shared" si="51"/>
        <v>96.370762161779567</v>
      </c>
      <c r="BI61" s="386">
        <f t="shared" si="52"/>
        <v>0.28788335320580716</v>
      </c>
      <c r="BJ61" s="386">
        <f t="shared" si="53"/>
        <v>0.85357230071252355</v>
      </c>
      <c r="BK61" s="386">
        <f t="shared" si="54"/>
        <v>0.25373672145380516</v>
      </c>
      <c r="BL61" s="386">
        <f t="shared" si="55"/>
        <v>5.9504238032411463E-2</v>
      </c>
      <c r="BR61" s="18"/>
      <c r="BS61" s="19"/>
    </row>
    <row r="62" spans="1:73" ht="15.75" x14ac:dyDescent="0.3">
      <c r="A62" s="488" t="s">
        <v>678</v>
      </c>
      <c r="B62" s="74">
        <v>30</v>
      </c>
      <c r="C62" s="483" t="s">
        <v>241</v>
      </c>
      <c r="D62" s="76" t="s">
        <v>107</v>
      </c>
      <c r="G62">
        <v>53</v>
      </c>
      <c r="H62" s="610">
        <f t="shared" si="0"/>
        <v>16.155000000000001</v>
      </c>
      <c r="I62" s="4" t="str">
        <f t="shared" si="1"/>
        <v>BUCK</v>
      </c>
      <c r="J62">
        <f t="shared" si="43"/>
        <v>1</v>
      </c>
      <c r="K62">
        <f t="shared" si="2"/>
        <v>4</v>
      </c>
      <c r="L62" s="4">
        <f t="shared" si="3"/>
        <v>3.3013514907665322</v>
      </c>
      <c r="M62" s="4">
        <f t="shared" si="4"/>
        <v>4</v>
      </c>
      <c r="N62" s="386">
        <f t="shared" si="5"/>
        <v>0.74947887758248533</v>
      </c>
      <c r="O62" s="386">
        <f t="shared" si="58"/>
        <v>0</v>
      </c>
      <c r="P62" s="4">
        <f t="shared" si="6"/>
        <v>1.7507378358341419</v>
      </c>
      <c r="Q62" s="386">
        <f t="shared" si="7"/>
        <v>4.031801530435053</v>
      </c>
      <c r="R62" s="386">
        <f t="shared" si="8"/>
        <v>0.21831919910325773</v>
      </c>
      <c r="S62" s="386">
        <f t="shared" si="45"/>
        <v>7.3946594952019412E-2</v>
      </c>
      <c r="T62" s="386">
        <f t="shared" si="46"/>
        <v>0.29226579405527714</v>
      </c>
      <c r="U62" s="4">
        <f t="shared" si="9"/>
        <v>0.5053944803996524</v>
      </c>
      <c r="V62" s="386">
        <f t="shared" si="10"/>
        <v>6.8964366820977348E-3</v>
      </c>
      <c r="W62" s="386">
        <f t="shared" si="47"/>
        <v>6.8964366820977348E-3</v>
      </c>
      <c r="X62" s="386">
        <f t="shared" si="11"/>
        <v>1.747032638435337</v>
      </c>
      <c r="Y62" s="386">
        <f t="shared" si="12"/>
        <v>9.7667937272266719E-2</v>
      </c>
      <c r="Z62" s="603">
        <f t="shared" si="48"/>
        <v>9.7667937272266719E-2</v>
      </c>
      <c r="AA62" s="386">
        <f t="shared" si="13"/>
        <v>3.4904292887809181</v>
      </c>
      <c r="AB62" s="386">
        <f t="shared" si="14"/>
        <v>0.12183096619979665</v>
      </c>
      <c r="AC62" s="386">
        <f t="shared" si="15"/>
        <v>0.25969731102223853</v>
      </c>
      <c r="AD62">
        <f t="shared" si="16"/>
        <v>0</v>
      </c>
      <c r="AE62" s="386">
        <f t="shared" si="17"/>
        <v>0.39262575957132811</v>
      </c>
      <c r="AF62" s="386">
        <f t="shared" si="18"/>
        <v>2.018000733607094</v>
      </c>
      <c r="AG62" s="386">
        <f t="shared" si="19"/>
        <v>4.0723269608387701E-2</v>
      </c>
      <c r="AH62" s="386">
        <f t="shared" si="20"/>
        <v>0.19239999999999999</v>
      </c>
      <c r="AI62" s="386">
        <f t="shared" si="21"/>
        <v>0.2353467785614265</v>
      </c>
      <c r="AJ62" s="386">
        <f t="shared" si="22"/>
        <v>0</v>
      </c>
      <c r="AK62" s="386">
        <f t="shared" si="23"/>
        <v>0</v>
      </c>
      <c r="AL62" s="386">
        <f t="shared" si="24"/>
        <v>0</v>
      </c>
      <c r="AM62">
        <f t="shared" si="25"/>
        <v>0</v>
      </c>
      <c r="AN62" s="386">
        <f t="shared" si="26"/>
        <v>0</v>
      </c>
      <c r="AO62" s="386">
        <f t="shared" si="27"/>
        <v>4.031801530435053</v>
      </c>
      <c r="AP62" s="386">
        <f t="shared" si="28"/>
        <v>0.16255423580818434</v>
      </c>
      <c r="AQ62" s="386">
        <f t="shared" si="29"/>
        <v>0</v>
      </c>
      <c r="AR62" s="386">
        <f t="shared" si="30"/>
        <v>0.16892482733022543</v>
      </c>
      <c r="AS62" s="386">
        <f t="shared" si="31"/>
        <v>0.16255423580818434</v>
      </c>
      <c r="AT62" s="386">
        <f t="shared" si="32"/>
        <v>0</v>
      </c>
      <c r="AU62" s="386">
        <f t="shared" si="33"/>
        <v>5.9625500000000012E-2</v>
      </c>
      <c r="AV62" s="386">
        <f t="shared" si="34"/>
        <v>6.1084904412581548E-2</v>
      </c>
      <c r="AW62" s="386">
        <f t="shared" si="35"/>
        <v>6.5920000000000006E-2</v>
      </c>
      <c r="AX62" s="386">
        <f t="shared" si="36"/>
        <v>3.6000000000000004E-2</v>
      </c>
      <c r="AY62" s="386">
        <f t="shared" si="37"/>
        <v>0.40226399999999995</v>
      </c>
      <c r="AZ62" s="386">
        <f t="shared" si="38"/>
        <v>0.30415082926829268</v>
      </c>
      <c r="BA62" s="386">
        <f t="shared" si="56"/>
        <v>0.43826399999999999</v>
      </c>
      <c r="BB62" s="386">
        <f t="shared" si="57"/>
        <v>1.8186219378852033</v>
      </c>
      <c r="BC62">
        <f t="shared" si="39"/>
        <v>48</v>
      </c>
      <c r="BD62" s="604">
        <f t="shared" si="50"/>
        <v>0.96349513761836492</v>
      </c>
      <c r="BE62" s="614">
        <f t="shared" si="40"/>
        <v>26.230573055137029</v>
      </c>
      <c r="BF62" s="614">
        <f t="shared" si="41"/>
        <v>13.650113156562737</v>
      </c>
      <c r="BG62" s="9"/>
      <c r="BH62" s="4">
        <f t="shared" si="51"/>
        <v>96.349513761836491</v>
      </c>
      <c r="BI62" s="386">
        <f t="shared" si="52"/>
        <v>0.29226579405527714</v>
      </c>
      <c r="BJ62" s="386">
        <f t="shared" si="53"/>
        <v>0.85652286546297995</v>
      </c>
      <c r="BK62" s="386">
        <f t="shared" si="54"/>
        <v>0.2550231935614265</v>
      </c>
      <c r="BL62" s="386">
        <f t="shared" si="55"/>
        <v>6.1084904412581548E-2</v>
      </c>
      <c r="BR62" s="18"/>
      <c r="BS62" s="19"/>
    </row>
    <row r="63" spans="1:73" x14ac:dyDescent="0.2">
      <c r="A63" s="23" t="s">
        <v>122</v>
      </c>
      <c r="B63" s="74">
        <v>2</v>
      </c>
      <c r="C63" s="483" t="s">
        <v>241</v>
      </c>
      <c r="D63" s="21" t="s">
        <v>107</v>
      </c>
      <c r="G63">
        <v>54</v>
      </c>
      <c r="H63" s="610">
        <f t="shared" si="0"/>
        <v>16.29</v>
      </c>
      <c r="I63" s="4" t="str">
        <f t="shared" si="1"/>
        <v>BUCK</v>
      </c>
      <c r="J63">
        <f t="shared" si="43"/>
        <v>1</v>
      </c>
      <c r="K63">
        <f t="shared" si="2"/>
        <v>4</v>
      </c>
      <c r="L63" s="4">
        <f t="shared" si="3"/>
        <v>3.2739922242684676</v>
      </c>
      <c r="M63" s="4">
        <f t="shared" si="4"/>
        <v>4</v>
      </c>
      <c r="N63" s="386">
        <f t="shared" si="5"/>
        <v>0.74329051987767591</v>
      </c>
      <c r="O63" s="386">
        <f t="shared" si="58"/>
        <v>0</v>
      </c>
      <c r="P63" s="4">
        <f t="shared" si="6"/>
        <v>1.7939844566018288</v>
      </c>
      <c r="Q63" s="386">
        <f t="shared" si="7"/>
        <v>4.033385470364081</v>
      </c>
      <c r="R63" s="386">
        <f t="shared" si="8"/>
        <v>0.21849377024636196</v>
      </c>
      <c r="S63" s="386">
        <f t="shared" si="45"/>
        <v>7.8223087755004958E-2</v>
      </c>
      <c r="T63" s="386">
        <f t="shared" si="46"/>
        <v>0.29671685800136693</v>
      </c>
      <c r="U63" s="4">
        <f t="shared" si="9"/>
        <v>0.51787870447053519</v>
      </c>
      <c r="V63" s="386">
        <f t="shared" si="10"/>
        <v>7.2413555186901582E-3</v>
      </c>
      <c r="W63" s="386">
        <f t="shared" si="47"/>
        <v>7.2413555186901582E-3</v>
      </c>
      <c r="X63" s="386">
        <f t="shared" si="11"/>
        <v>1.7618542562719746</v>
      </c>
      <c r="Y63" s="386">
        <f t="shared" si="12"/>
        <v>9.9332173450997527E-2</v>
      </c>
      <c r="Z63" s="603">
        <f t="shared" si="48"/>
        <v>9.9332173450997527E-2</v>
      </c>
      <c r="AA63" s="386">
        <f t="shared" si="13"/>
        <v>3.4773549733864733</v>
      </c>
      <c r="AB63" s="386">
        <f t="shared" si="14"/>
        <v>0.12091997610935641</v>
      </c>
      <c r="AC63" s="386">
        <f t="shared" si="15"/>
        <v>0.26186748353774469</v>
      </c>
      <c r="AD63">
        <f t="shared" si="16"/>
        <v>0</v>
      </c>
      <c r="AE63" s="386">
        <f t="shared" si="17"/>
        <v>0.39383590952183078</v>
      </c>
      <c r="AF63" s="386">
        <f t="shared" si="18"/>
        <v>2.0435754797923269</v>
      </c>
      <c r="AG63" s="386">
        <f t="shared" si="19"/>
        <v>4.1762007416084393E-2</v>
      </c>
      <c r="AH63" s="386">
        <f t="shared" si="20"/>
        <v>0.19239999999999999</v>
      </c>
      <c r="AI63" s="386">
        <f t="shared" si="21"/>
        <v>0.23645294937557201</v>
      </c>
      <c r="AJ63" s="386">
        <f t="shared" si="22"/>
        <v>0</v>
      </c>
      <c r="AK63" s="386">
        <f t="shared" si="23"/>
        <v>0</v>
      </c>
      <c r="AL63" s="386">
        <f t="shared" si="24"/>
        <v>0</v>
      </c>
      <c r="AM63">
        <f t="shared" si="25"/>
        <v>0</v>
      </c>
      <c r="AN63" s="386">
        <f t="shared" si="26"/>
        <v>0</v>
      </c>
      <c r="AO63" s="386">
        <f t="shared" si="27"/>
        <v>4.033385470364081</v>
      </c>
      <c r="AP63" s="386">
        <f t="shared" si="28"/>
        <v>0.1626819835254408</v>
      </c>
      <c r="AQ63" s="386">
        <f t="shared" si="29"/>
        <v>0</v>
      </c>
      <c r="AR63" s="386">
        <f t="shared" si="30"/>
        <v>0.16906278851340381</v>
      </c>
      <c r="AS63" s="386">
        <f t="shared" si="31"/>
        <v>0.1626819835254408</v>
      </c>
      <c r="AT63" s="386">
        <f t="shared" si="32"/>
        <v>0</v>
      </c>
      <c r="AU63" s="386">
        <f t="shared" si="33"/>
        <v>6.0125000000000005E-2</v>
      </c>
      <c r="AV63" s="386">
        <f t="shared" si="34"/>
        <v>6.2643011124126582E-2</v>
      </c>
      <c r="AW63" s="386">
        <f t="shared" si="35"/>
        <v>6.5920000000000006E-2</v>
      </c>
      <c r="AX63" s="386">
        <f t="shared" si="36"/>
        <v>3.6000000000000004E-2</v>
      </c>
      <c r="AY63" s="386">
        <f t="shared" si="37"/>
        <v>0.40226399999999995</v>
      </c>
      <c r="AZ63" s="386">
        <f t="shared" si="38"/>
        <v>0.30415082926829268</v>
      </c>
      <c r="BA63" s="386">
        <f t="shared" si="56"/>
        <v>0.43826399999999999</v>
      </c>
      <c r="BB63" s="386">
        <f t="shared" si="57"/>
        <v>1.8295940455059876</v>
      </c>
      <c r="BC63">
        <f t="shared" si="39"/>
        <v>48</v>
      </c>
      <c r="BD63" s="604">
        <f t="shared" si="50"/>
        <v>0.96328298312374083</v>
      </c>
      <c r="BE63" s="614">
        <f t="shared" si="40"/>
        <v>26.329732752266185</v>
      </c>
      <c r="BF63" s="614">
        <f t="shared" si="41"/>
        <v>13.714271063783176</v>
      </c>
      <c r="BG63" s="9"/>
      <c r="BH63" s="4">
        <f t="shared" si="51"/>
        <v>96.328298312374088</v>
      </c>
      <c r="BI63" s="386">
        <f t="shared" si="52"/>
        <v>0.29671685800136693</v>
      </c>
      <c r="BJ63" s="386">
        <f t="shared" si="53"/>
        <v>0.85947664741080665</v>
      </c>
      <c r="BK63" s="386">
        <f t="shared" si="54"/>
        <v>0.25629419937557202</v>
      </c>
      <c r="BL63" s="386">
        <f t="shared" si="55"/>
        <v>6.2643011124126582E-2</v>
      </c>
      <c r="BR63" s="18"/>
      <c r="BS63" s="19"/>
    </row>
    <row r="64" spans="1:73" x14ac:dyDescent="0.2">
      <c r="A64" s="75"/>
      <c r="B64" s="30"/>
      <c r="G64">
        <v>55</v>
      </c>
      <c r="H64" s="610">
        <f t="shared" si="0"/>
        <v>16.425000000000001</v>
      </c>
      <c r="I64" s="4" t="str">
        <f t="shared" si="1"/>
        <v>BUCK</v>
      </c>
      <c r="J64">
        <f t="shared" si="43"/>
        <v>1</v>
      </c>
      <c r="K64">
        <f t="shared" si="2"/>
        <v>4</v>
      </c>
      <c r="L64" s="4">
        <f t="shared" si="3"/>
        <v>3.2470826991374935</v>
      </c>
      <c r="M64" s="4">
        <f t="shared" si="4"/>
        <v>4</v>
      </c>
      <c r="N64" s="386">
        <f t="shared" si="5"/>
        <v>0.73720351835001519</v>
      </c>
      <c r="O64" s="386">
        <f t="shared" si="58"/>
        <v>0</v>
      </c>
      <c r="P64" s="4">
        <f t="shared" si="6"/>
        <v>1.8365227614697737</v>
      </c>
      <c r="Q64" s="386">
        <f t="shared" si="7"/>
        <v>4.0349805436684631</v>
      </c>
      <c r="R64" s="386">
        <f t="shared" si="8"/>
        <v>0.21866964257413632</v>
      </c>
      <c r="S64" s="386">
        <f t="shared" si="45"/>
        <v>8.2562766390697262E-2</v>
      </c>
      <c r="T64" s="386">
        <f t="shared" si="46"/>
        <v>0.30123240896483361</v>
      </c>
      <c r="U64" s="4">
        <f t="shared" si="9"/>
        <v>0.53015845535372441</v>
      </c>
      <c r="V64" s="386">
        <f t="shared" si="10"/>
        <v>7.5888356701422684E-3</v>
      </c>
      <c r="W64" s="386">
        <f t="shared" si="47"/>
        <v>7.5888356701422684E-3</v>
      </c>
      <c r="X64" s="386">
        <f t="shared" si="11"/>
        <v>1.7760080004421337</v>
      </c>
      <c r="Y64" s="386">
        <f t="shared" si="12"/>
        <v>0.10093454136430292</v>
      </c>
      <c r="Z64" s="603">
        <f t="shared" si="48"/>
        <v>0.10093454136430292</v>
      </c>
      <c r="AA64" s="386">
        <f t="shared" si="13"/>
        <v>3.4644567543973563</v>
      </c>
      <c r="AB64" s="386">
        <f t="shared" si="14"/>
        <v>0.12002460603089464</v>
      </c>
      <c r="AC64" s="386">
        <f t="shared" si="15"/>
        <v>0.26403765605325086</v>
      </c>
      <c r="AD64">
        <f t="shared" si="16"/>
        <v>0</v>
      </c>
      <c r="AE64" s="386">
        <f t="shared" si="17"/>
        <v>0.39506307330159324</v>
      </c>
      <c r="AF64" s="386">
        <f t="shared" si="18"/>
        <v>2.0684794861669724</v>
      </c>
      <c r="AG64" s="386">
        <f t="shared" si="19"/>
        <v>4.2786073846935821E-2</v>
      </c>
      <c r="AH64" s="386">
        <f t="shared" si="20"/>
        <v>0.19239999999999999</v>
      </c>
      <c r="AI64" s="386">
        <f t="shared" si="21"/>
        <v>0.23754402350950785</v>
      </c>
      <c r="AJ64" s="386">
        <f t="shared" si="22"/>
        <v>0</v>
      </c>
      <c r="AK64" s="386">
        <f t="shared" si="23"/>
        <v>0</v>
      </c>
      <c r="AL64" s="386">
        <f t="shared" si="24"/>
        <v>0</v>
      </c>
      <c r="AM64">
        <f t="shared" si="25"/>
        <v>0</v>
      </c>
      <c r="AN64" s="386">
        <f t="shared" si="26"/>
        <v>0</v>
      </c>
      <c r="AO64" s="386">
        <f t="shared" si="27"/>
        <v>4.0349805436684631</v>
      </c>
      <c r="AP64" s="386">
        <f t="shared" si="28"/>
        <v>0.16281067987783046</v>
      </c>
      <c r="AQ64" s="386">
        <f t="shared" si="29"/>
        <v>0</v>
      </c>
      <c r="AR64" s="386">
        <f t="shared" si="30"/>
        <v>0.16920178276891273</v>
      </c>
      <c r="AS64" s="386">
        <f t="shared" si="31"/>
        <v>0.16281067987783046</v>
      </c>
      <c r="AT64" s="386">
        <f t="shared" si="32"/>
        <v>0</v>
      </c>
      <c r="AU64" s="386">
        <f t="shared" si="33"/>
        <v>6.0624500000000012E-2</v>
      </c>
      <c r="AV64" s="386">
        <f t="shared" si="34"/>
        <v>6.4179110770403724E-2</v>
      </c>
      <c r="AW64" s="386">
        <f t="shared" si="35"/>
        <v>6.5920000000000006E-2</v>
      </c>
      <c r="AX64" s="386">
        <f t="shared" si="36"/>
        <v>3.6000000000000004E-2</v>
      </c>
      <c r="AY64" s="386">
        <f t="shared" si="37"/>
        <v>0.40226399999999995</v>
      </c>
      <c r="AZ64" s="386">
        <f t="shared" si="38"/>
        <v>0.30415082926829268</v>
      </c>
      <c r="BA64" s="386">
        <f t="shared" si="56"/>
        <v>0.43826399999999999</v>
      </c>
      <c r="BB64" s="386">
        <f t="shared" si="57"/>
        <v>1.8405522763496964</v>
      </c>
      <c r="BC64">
        <f t="shared" si="39"/>
        <v>48</v>
      </c>
      <c r="BD64" s="604">
        <f t="shared" si="50"/>
        <v>0.96307119017974696</v>
      </c>
      <c r="BE64" s="614">
        <f t="shared" si="40"/>
        <v>26.429879251492409</v>
      </c>
      <c r="BF64" s="614">
        <f t="shared" si="41"/>
        <v>13.777553363551455</v>
      </c>
      <c r="BG64" s="9"/>
      <c r="BH64" s="4">
        <f t="shared" si="51"/>
        <v>96.307119017974699</v>
      </c>
      <c r="BI64" s="386">
        <f t="shared" si="52"/>
        <v>0.30123240896483361</v>
      </c>
      <c r="BJ64" s="386">
        <f t="shared" si="53"/>
        <v>0.86243337958001376</v>
      </c>
      <c r="BK64" s="386">
        <f t="shared" si="54"/>
        <v>0.25755010850950782</v>
      </c>
      <c r="BL64" s="386">
        <f t="shared" si="55"/>
        <v>6.4179110770403724E-2</v>
      </c>
      <c r="BR64" s="18"/>
      <c r="BS64" s="19"/>
    </row>
    <row r="65" spans="1:71" x14ac:dyDescent="0.2">
      <c r="G65">
        <v>56</v>
      </c>
      <c r="H65" s="610">
        <f t="shared" si="0"/>
        <v>16.560000000000002</v>
      </c>
      <c r="I65" s="4" t="str">
        <f t="shared" si="1"/>
        <v>BUCK</v>
      </c>
      <c r="J65">
        <f t="shared" si="43"/>
        <v>1</v>
      </c>
      <c r="K65">
        <f t="shared" si="2"/>
        <v>4</v>
      </c>
      <c r="L65" s="4">
        <f t="shared" si="3"/>
        <v>3.2206119162640898</v>
      </c>
      <c r="M65" s="4">
        <f t="shared" si="4"/>
        <v>4</v>
      </c>
      <c r="N65" s="386">
        <f t="shared" si="5"/>
        <v>0.73121540312876043</v>
      </c>
      <c r="O65" s="386">
        <f t="shared" si="58"/>
        <v>0</v>
      </c>
      <c r="P65" s="4">
        <f t="shared" si="6"/>
        <v>1.8783700108434733</v>
      </c>
      <c r="Q65" s="386">
        <f t="shared" si="7"/>
        <v>4.0365855403797664</v>
      </c>
      <c r="R65" s="386">
        <f t="shared" si="8"/>
        <v>0.21884668415468658</v>
      </c>
      <c r="S65" s="386">
        <f t="shared" si="45"/>
        <v>8.6961793080548314E-2</v>
      </c>
      <c r="T65" s="386">
        <f t="shared" si="46"/>
        <v>0.30580847723523491</v>
      </c>
      <c r="U65" s="4">
        <f t="shared" si="9"/>
        <v>0.54223871569909987</v>
      </c>
      <c r="V65" s="386">
        <f t="shared" si="10"/>
        <v>7.9386162696812486E-3</v>
      </c>
      <c r="W65" s="386">
        <f t="shared" si="47"/>
        <v>7.9386162696812486E-3</v>
      </c>
      <c r="X65" s="386">
        <f t="shared" si="11"/>
        <v>1.7895301277856945</v>
      </c>
      <c r="Y65" s="386">
        <f t="shared" si="12"/>
        <v>0.10247737850408589</v>
      </c>
      <c r="Z65" s="603">
        <f t="shared" si="48"/>
        <v>0.10247737850408589</v>
      </c>
      <c r="AA65" s="386">
        <f t="shared" si="13"/>
        <v>3.4517300688824952</v>
      </c>
      <c r="AB65" s="386">
        <f t="shared" si="14"/>
        <v>0.11914440468427556</v>
      </c>
      <c r="AC65" s="386">
        <f t="shared" si="15"/>
        <v>0.26620782856875708</v>
      </c>
      <c r="AD65">
        <f t="shared" si="16"/>
        <v>0</v>
      </c>
      <c r="AE65" s="386">
        <f t="shared" si="17"/>
        <v>0.39630674694648649</v>
      </c>
      <c r="AF65" s="386">
        <f t="shared" si="18"/>
        <v>2.0927451723455137</v>
      </c>
      <c r="AG65" s="386">
        <f t="shared" si="19"/>
        <v>4.3795823563754541E-2</v>
      </c>
      <c r="AH65" s="386">
        <f t="shared" si="20"/>
        <v>0.19239999999999999</v>
      </c>
      <c r="AI65" s="386">
        <f t="shared" si="21"/>
        <v>0.23862035697601378</v>
      </c>
      <c r="AJ65" s="386">
        <f t="shared" si="22"/>
        <v>0</v>
      </c>
      <c r="AK65" s="386">
        <f t="shared" si="23"/>
        <v>0</v>
      </c>
      <c r="AL65" s="386">
        <f t="shared" si="24"/>
        <v>0</v>
      </c>
      <c r="AM65">
        <f t="shared" si="25"/>
        <v>0</v>
      </c>
      <c r="AN65" s="386">
        <f t="shared" si="26"/>
        <v>0</v>
      </c>
      <c r="AO65" s="386">
        <f t="shared" si="27"/>
        <v>4.0365855403797664</v>
      </c>
      <c r="AP65" s="386">
        <f t="shared" si="28"/>
        <v>0.16294022824803012</v>
      </c>
      <c r="AQ65" s="386">
        <f t="shared" si="29"/>
        <v>0</v>
      </c>
      <c r="AR65" s="386">
        <f t="shared" si="30"/>
        <v>0.16934170593018266</v>
      </c>
      <c r="AS65" s="386">
        <f t="shared" si="31"/>
        <v>0.16294022824803012</v>
      </c>
      <c r="AT65" s="386">
        <f t="shared" si="32"/>
        <v>0</v>
      </c>
      <c r="AU65" s="386">
        <f t="shared" si="33"/>
        <v>6.1124000000000012E-2</v>
      </c>
      <c r="AV65" s="386">
        <f t="shared" si="34"/>
        <v>6.5693735345631804E-2</v>
      </c>
      <c r="AW65" s="386">
        <f t="shared" si="35"/>
        <v>6.5920000000000006E-2</v>
      </c>
      <c r="AX65" s="386">
        <f t="shared" si="36"/>
        <v>3.6000000000000004E-2</v>
      </c>
      <c r="AY65" s="386">
        <f t="shared" si="37"/>
        <v>0.40226399999999995</v>
      </c>
      <c r="AZ65" s="386">
        <f t="shared" si="38"/>
        <v>0.30415082926829268</v>
      </c>
      <c r="BA65" s="386">
        <f t="shared" si="56"/>
        <v>0.43826399999999999</v>
      </c>
      <c r="BB65" s="386">
        <f t="shared" si="57"/>
        <v>1.8514950172073166</v>
      </c>
      <c r="BC65">
        <f t="shared" si="39"/>
        <v>48</v>
      </c>
      <c r="BD65" s="604">
        <f t="shared" si="50"/>
        <v>0.9628597895295169</v>
      </c>
      <c r="BE65" s="614">
        <f t="shared" si="40"/>
        <v>26.530983322896216</v>
      </c>
      <c r="BF65" s="614">
        <f t="shared" si="41"/>
        <v>13.839980704608799</v>
      </c>
      <c r="BG65" s="9"/>
      <c r="BH65" s="4">
        <f t="shared" si="51"/>
        <v>96.285978952951695</v>
      </c>
      <c r="BI65" s="386">
        <f t="shared" si="52"/>
        <v>0.30580847723523491</v>
      </c>
      <c r="BJ65" s="386">
        <f t="shared" si="53"/>
        <v>0.86539280985268285</v>
      </c>
      <c r="BK65" s="386">
        <f t="shared" si="54"/>
        <v>0.25879127697601378</v>
      </c>
      <c r="BL65" s="386">
        <f t="shared" si="55"/>
        <v>6.5693735345631804E-2</v>
      </c>
      <c r="BR65" s="18"/>
      <c r="BS65" s="19"/>
    </row>
    <row r="66" spans="1:71" x14ac:dyDescent="0.2">
      <c r="A66" s="11" t="s">
        <v>81</v>
      </c>
      <c r="B66" s="31"/>
      <c r="C66" s="31"/>
      <c r="G66">
        <v>57</v>
      </c>
      <c r="H66" s="610">
        <f t="shared" si="0"/>
        <v>16.695</v>
      </c>
      <c r="I66" s="4" t="str">
        <f t="shared" si="1"/>
        <v>BUCK</v>
      </c>
      <c r="J66">
        <f t="shared" si="43"/>
        <v>1</v>
      </c>
      <c r="K66">
        <f t="shared" si="2"/>
        <v>4</v>
      </c>
      <c r="L66" s="4">
        <f t="shared" si="3"/>
        <v>3.1945692323050809</v>
      </c>
      <c r="M66" s="4">
        <f t="shared" si="4"/>
        <v>4</v>
      </c>
      <c r="N66" s="386">
        <f t="shared" si="5"/>
        <v>0.72532378394509101</v>
      </c>
      <c r="O66" s="386">
        <f t="shared" si="58"/>
        <v>0</v>
      </c>
      <c r="P66" s="4">
        <f t="shared" si="6"/>
        <v>1.9195429088396194</v>
      </c>
      <c r="Q66" s="386">
        <f t="shared" si="7"/>
        <v>4.0381993200236792</v>
      </c>
      <c r="R66" s="386">
        <f t="shared" si="8"/>
        <v>0.21902477050912605</v>
      </c>
      <c r="S66" s="386">
        <f t="shared" si="45"/>
        <v>9.1416484018371949E-2</v>
      </c>
      <c r="T66" s="386">
        <f t="shared" si="46"/>
        <v>0.31044125452749799</v>
      </c>
      <c r="U66" s="4">
        <f t="shared" si="9"/>
        <v>0.5541243075697958</v>
      </c>
      <c r="V66" s="386">
        <f t="shared" si="10"/>
        <v>8.290451202472052E-3</v>
      </c>
      <c r="W66" s="386">
        <f t="shared" si="47"/>
        <v>8.290451202472052E-3</v>
      </c>
      <c r="X66" s="386">
        <f t="shared" si="11"/>
        <v>1.8024542014987135</v>
      </c>
      <c r="Y66" s="386">
        <f t="shared" si="12"/>
        <v>0.10396291675201168</v>
      </c>
      <c r="Z66" s="603">
        <f t="shared" si="48"/>
        <v>0.10396291675201168</v>
      </c>
      <c r="AA66" s="386">
        <f t="shared" si="13"/>
        <v>3.4391705293092403</v>
      </c>
      <c r="AB66" s="386">
        <f t="shared" si="14"/>
        <v>0.118278939296692</v>
      </c>
      <c r="AC66" s="386">
        <f t="shared" si="15"/>
        <v>0.26837800108426318</v>
      </c>
      <c r="AD66">
        <f t="shared" si="16"/>
        <v>0</v>
      </c>
      <c r="AE66" s="386">
        <f t="shared" si="17"/>
        <v>0.39756644753057307</v>
      </c>
      <c r="AF66" s="386">
        <f t="shared" si="18"/>
        <v>2.1164025653382921</v>
      </c>
      <c r="AG66" s="386">
        <f t="shared" si="19"/>
        <v>4.4791598185705044E-2</v>
      </c>
      <c r="AH66" s="386">
        <f t="shared" si="20"/>
        <v>0.19239999999999999</v>
      </c>
      <c r="AI66" s="386">
        <f t="shared" si="21"/>
        <v>0.23968229287115209</v>
      </c>
      <c r="AJ66" s="386">
        <f t="shared" si="22"/>
        <v>0</v>
      </c>
      <c r="AK66" s="386">
        <f t="shared" si="23"/>
        <v>0</v>
      </c>
      <c r="AL66" s="386">
        <f t="shared" si="24"/>
        <v>0</v>
      </c>
      <c r="AM66">
        <f t="shared" si="25"/>
        <v>0</v>
      </c>
      <c r="AN66" s="386">
        <f t="shared" si="26"/>
        <v>0</v>
      </c>
      <c r="AO66" s="386">
        <f t="shared" si="27"/>
        <v>4.0381993200236792</v>
      </c>
      <c r="AP66" s="386">
        <f t="shared" si="28"/>
        <v>0.16307053748239705</v>
      </c>
      <c r="AQ66" s="386">
        <f t="shared" si="29"/>
        <v>0</v>
      </c>
      <c r="AR66" s="386">
        <f t="shared" si="30"/>
        <v>0.16948245970761652</v>
      </c>
      <c r="AS66" s="386">
        <f t="shared" si="31"/>
        <v>0.16307053748239705</v>
      </c>
      <c r="AT66" s="386">
        <f t="shared" si="32"/>
        <v>0</v>
      </c>
      <c r="AU66" s="386">
        <f t="shared" si="33"/>
        <v>6.1623500000000005E-2</v>
      </c>
      <c r="AV66" s="386">
        <f t="shared" si="34"/>
        <v>6.7187397278557562E-2</v>
      </c>
      <c r="AW66" s="386">
        <f t="shared" si="35"/>
        <v>6.5920000000000006E-2</v>
      </c>
      <c r="AX66" s="386">
        <f t="shared" si="36"/>
        <v>3.6000000000000004E-2</v>
      </c>
      <c r="AY66" s="386">
        <f t="shared" si="37"/>
        <v>0.40226399999999995</v>
      </c>
      <c r="AZ66" s="386">
        <f t="shared" si="38"/>
        <v>0.30415082926829268</v>
      </c>
      <c r="BA66" s="386">
        <f t="shared" si="56"/>
        <v>0.43826399999999999</v>
      </c>
      <c r="BB66" s="386">
        <f t="shared" si="57"/>
        <v>1.862420719869881</v>
      </c>
      <c r="BC66">
        <f t="shared" si="39"/>
        <v>48</v>
      </c>
      <c r="BD66" s="604">
        <f t="shared" si="50"/>
        <v>0.9626488106076303</v>
      </c>
      <c r="BE66" s="614">
        <f t="shared" si="40"/>
        <v>26.63301695677324</v>
      </c>
      <c r="BF66" s="614">
        <f t="shared" si="41"/>
        <v>13.901572986526821</v>
      </c>
      <c r="BG66" s="9"/>
      <c r="BH66" s="4">
        <f t="shared" si="51"/>
        <v>96.264881060763031</v>
      </c>
      <c r="BI66" s="386">
        <f t="shared" si="52"/>
        <v>0.31044125452749799</v>
      </c>
      <c r="BJ66" s="386">
        <f t="shared" si="53"/>
        <v>0.86835470010934179</v>
      </c>
      <c r="BK66" s="386">
        <f t="shared" si="54"/>
        <v>0.26001804787115207</v>
      </c>
      <c r="BL66" s="386">
        <f t="shared" si="55"/>
        <v>6.7187397278557562E-2</v>
      </c>
      <c r="BR66" s="18"/>
      <c r="BS66" s="19"/>
    </row>
    <row r="67" spans="1:71" x14ac:dyDescent="0.2">
      <c r="A67" s="14" t="s">
        <v>59</v>
      </c>
      <c r="B67" s="15" t="s">
        <v>8</v>
      </c>
      <c r="C67" s="15" t="s">
        <v>80</v>
      </c>
      <c r="G67">
        <v>58</v>
      </c>
      <c r="H67" s="610">
        <f t="shared" si="0"/>
        <v>16.829999999999998</v>
      </c>
      <c r="I67" s="4" t="str">
        <f t="shared" si="1"/>
        <v>BUCK</v>
      </c>
      <c r="J67">
        <f t="shared" si="43"/>
        <v>1</v>
      </c>
      <c r="K67">
        <f t="shared" si="2"/>
        <v>4</v>
      </c>
      <c r="L67" s="4">
        <f t="shared" si="3"/>
        <v>3.1689443454149337</v>
      </c>
      <c r="M67" s="4">
        <f t="shared" si="4"/>
        <v>4</v>
      </c>
      <c r="N67" s="386">
        <f t="shared" si="5"/>
        <v>0.7195263469508586</v>
      </c>
      <c r="O67" s="386">
        <f t="shared" si="58"/>
        <v>0</v>
      </c>
      <c r="P67" s="4">
        <f t="shared" si="6"/>
        <v>1.9600576255178872</v>
      </c>
      <c r="Q67" s="386">
        <f t="shared" si="7"/>
        <v>4.0398208076529709</v>
      </c>
      <c r="R67" s="386">
        <f t="shared" si="8"/>
        <v>0.21920378418665498</v>
      </c>
      <c r="S67" s="386">
        <f t="shared" si="45"/>
        <v>9.592330474915875E-2</v>
      </c>
      <c r="T67" s="386">
        <f t="shared" si="46"/>
        <v>0.31512708893581376</v>
      </c>
      <c r="U67" s="4">
        <f t="shared" si="9"/>
        <v>0.56581989885996542</v>
      </c>
      <c r="V67" s="386">
        <f t="shared" si="10"/>
        <v>8.6441082645393411E-3</v>
      </c>
      <c r="W67" s="386">
        <f t="shared" si="47"/>
        <v>8.6441082645393411E-3</v>
      </c>
      <c r="X67" s="386">
        <f t="shared" si="11"/>
        <v>1.8148113547108369</v>
      </c>
      <c r="Y67" s="386">
        <f t="shared" si="12"/>
        <v>0.10539328810199626</v>
      </c>
      <c r="Z67" s="603">
        <f t="shared" si="48"/>
        <v>0.10539328810199626</v>
      </c>
      <c r="AA67" s="386">
        <f t="shared" si="13"/>
        <v>3.4267739149072831</v>
      </c>
      <c r="AB67" s="386">
        <f t="shared" si="14"/>
        <v>0.11742779463888989</v>
      </c>
      <c r="AC67" s="386">
        <f t="shared" si="15"/>
        <v>0.27054817359976935</v>
      </c>
      <c r="AD67">
        <f t="shared" si="16"/>
        <v>0</v>
      </c>
      <c r="AE67" s="386">
        <f t="shared" si="17"/>
        <v>0.39884171205499441</v>
      </c>
      <c r="AF67" s="386">
        <f t="shared" si="18"/>
        <v>2.139479538125316</v>
      </c>
      <c r="AG67" s="386">
        <f t="shared" si="19"/>
        <v>4.5773726940569158E-2</v>
      </c>
      <c r="AH67" s="386">
        <f t="shared" si="20"/>
        <v>0.19239999999999999</v>
      </c>
      <c r="AI67" s="386">
        <f t="shared" si="21"/>
        <v>0.24073016201553946</v>
      </c>
      <c r="AJ67" s="386">
        <f t="shared" si="22"/>
        <v>0</v>
      </c>
      <c r="AK67" s="386">
        <f t="shared" si="23"/>
        <v>0</v>
      </c>
      <c r="AL67" s="386">
        <f t="shared" si="24"/>
        <v>0</v>
      </c>
      <c r="AM67">
        <f t="shared" si="25"/>
        <v>0</v>
      </c>
      <c r="AN67" s="386">
        <f t="shared" si="26"/>
        <v>0</v>
      </c>
      <c r="AO67" s="386">
        <f t="shared" si="27"/>
        <v>4.0398208076529709</v>
      </c>
      <c r="AP67" s="386">
        <f t="shared" si="28"/>
        <v>0.16320152157945902</v>
      </c>
      <c r="AQ67" s="386">
        <f t="shared" si="29"/>
        <v>0</v>
      </c>
      <c r="AR67" s="386">
        <f t="shared" si="30"/>
        <v>0.16962395135353331</v>
      </c>
      <c r="AS67" s="386">
        <f t="shared" si="31"/>
        <v>0.16320152157945902</v>
      </c>
      <c r="AT67" s="386">
        <f t="shared" si="32"/>
        <v>0</v>
      </c>
      <c r="AU67" s="386">
        <f t="shared" si="33"/>
        <v>6.2122999999999998E-2</v>
      </c>
      <c r="AV67" s="386">
        <f t="shared" si="34"/>
        <v>6.8660590410853733E-2</v>
      </c>
      <c r="AW67" s="386">
        <f t="shared" si="35"/>
        <v>6.5920000000000006E-2</v>
      </c>
      <c r="AX67" s="386">
        <f t="shared" si="36"/>
        <v>3.6000000000000004E-2</v>
      </c>
      <c r="AY67" s="386">
        <f t="shared" si="37"/>
        <v>0.40226399999999995</v>
      </c>
      <c r="AZ67" s="386">
        <f t="shared" si="38"/>
        <v>0.30415082926829268</v>
      </c>
      <c r="BA67" s="386">
        <f t="shared" si="56"/>
        <v>0.43826399999999999</v>
      </c>
      <c r="BB67" s="386">
        <f t="shared" si="57"/>
        <v>1.8733279011372703</v>
      </c>
      <c r="BC67">
        <f t="shared" si="39"/>
        <v>48</v>
      </c>
      <c r="BD67" s="604">
        <f t="shared" si="50"/>
        <v>0.96243828154297772</v>
      </c>
      <c r="BE67" s="614">
        <f t="shared" si="40"/>
        <v>26.735953299189674</v>
      </c>
      <c r="BF67" s="614">
        <f t="shared" si="41"/>
        <v>13.962349396901288</v>
      </c>
      <c r="BG67" s="9"/>
      <c r="BH67" s="4">
        <f t="shared" si="51"/>
        <v>96.243828154297773</v>
      </c>
      <c r="BI67" s="386">
        <f t="shared" si="52"/>
        <v>0.31512708893581376</v>
      </c>
      <c r="BJ67" s="386">
        <f t="shared" si="53"/>
        <v>0.87131882542406724</v>
      </c>
      <c r="BK67" s="386">
        <f t="shared" si="54"/>
        <v>0.26123075201553947</v>
      </c>
      <c r="BL67" s="386">
        <f t="shared" si="55"/>
        <v>6.8660590410853733E-2</v>
      </c>
      <c r="BR67" s="18"/>
      <c r="BS67" s="19"/>
    </row>
    <row r="68" spans="1:71" x14ac:dyDescent="0.2">
      <c r="A68" s="32" t="s">
        <v>244</v>
      </c>
      <c r="B68" s="491" t="e">
        <f>#REF!</f>
        <v>#REF!</v>
      </c>
      <c r="C68" s="21" t="s">
        <v>19</v>
      </c>
      <c r="G68">
        <v>59</v>
      </c>
      <c r="H68" s="610">
        <f t="shared" si="0"/>
        <v>16.965</v>
      </c>
      <c r="I68" s="4" t="str">
        <f t="shared" si="1"/>
        <v>BUCK</v>
      </c>
      <c r="J68">
        <f t="shared" si="43"/>
        <v>1</v>
      </c>
      <c r="K68">
        <f t="shared" si="2"/>
        <v>4</v>
      </c>
      <c r="L68" s="4">
        <f t="shared" si="3"/>
        <v>3.1437272816583164</v>
      </c>
      <c r="M68" s="4">
        <f t="shared" si="4"/>
        <v>4</v>
      </c>
      <c r="N68" s="386">
        <f t="shared" si="5"/>
        <v>0.71382085168869314</v>
      </c>
      <c r="O68" s="386">
        <f t="shared" si="58"/>
        <v>0</v>
      </c>
      <c r="P68" s="4">
        <f t="shared" si="6"/>
        <v>1.9999298180550034</v>
      </c>
      <c r="Q68" s="386">
        <f t="shared" si="7"/>
        <v>4.0414489901224941</v>
      </c>
      <c r="R68" s="386">
        <f t="shared" si="8"/>
        <v>0.21938361436587517</v>
      </c>
      <c r="S68" s="386">
        <f t="shared" si="45"/>
        <v>0.10047886547055754</v>
      </c>
      <c r="T68" s="386">
        <f t="shared" si="46"/>
        <v>0.31986247983643268</v>
      </c>
      <c r="U68" s="4">
        <f t="shared" si="9"/>
        <v>0.5773300094072078</v>
      </c>
      <c r="V68" s="386">
        <f t="shared" si="10"/>
        <v>8.9993683735774196E-3</v>
      </c>
      <c r="W68" s="386">
        <f t="shared" si="47"/>
        <v>8.9993683735774196E-3</v>
      </c>
      <c r="X68" s="386">
        <f t="shared" si="11"/>
        <v>1.8266305217724101</v>
      </c>
      <c r="Y68" s="386">
        <f t="shared" si="12"/>
        <v>0.10677053001825752</v>
      </c>
      <c r="Z68" s="603">
        <f t="shared" si="48"/>
        <v>0.10677053001825752</v>
      </c>
      <c r="AA68" s="386">
        <f t="shared" si="13"/>
        <v>3.4145361635361837</v>
      </c>
      <c r="AB68" s="386">
        <f t="shared" si="14"/>
        <v>0.11659057212096401</v>
      </c>
      <c r="AC68" s="386">
        <f t="shared" si="15"/>
        <v>0.27271834611527551</v>
      </c>
      <c r="AD68">
        <f t="shared" si="16"/>
        <v>0</v>
      </c>
      <c r="AE68" s="386">
        <f t="shared" si="17"/>
        <v>0.40013209640644476</v>
      </c>
      <c r="AF68" s="386">
        <f t="shared" si="18"/>
        <v>2.1620020184231397</v>
      </c>
      <c r="AG68" s="386">
        <f t="shared" si="19"/>
        <v>4.6742527276657293E-2</v>
      </c>
      <c r="AH68" s="386">
        <f t="shared" si="20"/>
        <v>0.19239999999999999</v>
      </c>
      <c r="AI68" s="386">
        <f t="shared" si="21"/>
        <v>0.24176428355618323</v>
      </c>
      <c r="AJ68" s="386">
        <f t="shared" si="22"/>
        <v>0</v>
      </c>
      <c r="AK68" s="386">
        <f t="shared" si="23"/>
        <v>0</v>
      </c>
      <c r="AL68" s="386">
        <f t="shared" si="24"/>
        <v>0</v>
      </c>
      <c r="AM68">
        <f t="shared" si="25"/>
        <v>0</v>
      </c>
      <c r="AN68" s="386">
        <f t="shared" si="26"/>
        <v>0</v>
      </c>
      <c r="AO68" s="386">
        <f t="shared" si="27"/>
        <v>4.0414489901224941</v>
      </c>
      <c r="AP68" s="386">
        <f t="shared" si="28"/>
        <v>0.16333309939762128</v>
      </c>
      <c r="AQ68" s="386">
        <f t="shared" si="29"/>
        <v>0</v>
      </c>
      <c r="AR68" s="386">
        <f t="shared" si="30"/>
        <v>0.16976609334781828</v>
      </c>
      <c r="AS68" s="386">
        <f t="shared" si="31"/>
        <v>0.16333309939762128</v>
      </c>
      <c r="AT68" s="386">
        <f t="shared" si="32"/>
        <v>0</v>
      </c>
      <c r="AU68" s="386">
        <f t="shared" si="33"/>
        <v>6.2622500000000011E-2</v>
      </c>
      <c r="AV68" s="386">
        <f t="shared" si="34"/>
        <v>7.0113790914985943E-2</v>
      </c>
      <c r="AW68" s="386">
        <f t="shared" si="35"/>
        <v>6.5920000000000006E-2</v>
      </c>
      <c r="AX68" s="386">
        <f t="shared" si="36"/>
        <v>3.6000000000000004E-2</v>
      </c>
      <c r="AY68" s="386">
        <f t="shared" si="37"/>
        <v>0.40226399999999995</v>
      </c>
      <c r="AZ68" s="386">
        <f t="shared" si="38"/>
        <v>0.30415082926829268</v>
      </c>
      <c r="BA68" s="386">
        <f t="shared" si="56"/>
        <v>0.43826399999999999</v>
      </c>
      <c r="BB68" s="386">
        <f t="shared" si="57"/>
        <v>1.8842151424536999</v>
      </c>
      <c r="BC68">
        <f t="shared" si="39"/>
        <v>48</v>
      </c>
      <c r="BD68" s="604">
        <f t="shared" si="50"/>
        <v>0.96222822916882689</v>
      </c>
      <c r="BE68" s="614">
        <f t="shared" si="40"/>
        <v>26.839766591573799</v>
      </c>
      <c r="BF68" s="614">
        <f t="shared" si="41"/>
        <v>14.022328446258628</v>
      </c>
      <c r="BG68" s="9"/>
      <c r="BH68" s="4">
        <f t="shared" si="51"/>
        <v>96.222822916882691</v>
      </c>
      <c r="BI68" s="386">
        <f t="shared" si="52"/>
        <v>0.31986247983643268</v>
      </c>
      <c r="BJ68" s="386">
        <f t="shared" si="53"/>
        <v>0.8742849733104463</v>
      </c>
      <c r="BK68" s="386">
        <f t="shared" si="54"/>
        <v>0.26242970855618325</v>
      </c>
      <c r="BL68" s="386">
        <f t="shared" si="55"/>
        <v>7.0113790914985943E-2</v>
      </c>
      <c r="BR68" s="18"/>
      <c r="BS68" s="19"/>
    </row>
    <row r="69" spans="1:71" x14ac:dyDescent="0.2">
      <c r="A69" s="23" t="s">
        <v>82</v>
      </c>
      <c r="B69" s="491" t="e">
        <f>1-B68</f>
        <v>#REF!</v>
      </c>
      <c r="C69" s="21" t="s">
        <v>19</v>
      </c>
      <c r="G69">
        <v>60</v>
      </c>
      <c r="H69" s="610">
        <f t="shared" si="0"/>
        <v>17.100000000000001</v>
      </c>
      <c r="I69" s="4" t="str">
        <f t="shared" si="1"/>
        <v>BUCK</v>
      </c>
      <c r="J69">
        <f t="shared" si="43"/>
        <v>1</v>
      </c>
      <c r="K69">
        <f t="shared" si="2"/>
        <v>4</v>
      </c>
      <c r="L69" s="4">
        <f t="shared" si="3"/>
        <v>3.1189083820662762</v>
      </c>
      <c r="M69" s="4">
        <f t="shared" si="4"/>
        <v>4</v>
      </c>
      <c r="N69" s="386">
        <f t="shared" si="5"/>
        <v>0.70820512820512815</v>
      </c>
      <c r="O69" s="386">
        <f t="shared" si="58"/>
        <v>0</v>
      </c>
      <c r="P69" s="4">
        <f t="shared" si="6"/>
        <v>2.0391746509193323</v>
      </c>
      <c r="Q69" s="386">
        <f t="shared" si="7"/>
        <v>4.0430829125902594</v>
      </c>
      <c r="R69" s="386">
        <f t="shared" si="8"/>
        <v>0.21956415648056393</v>
      </c>
      <c r="S69" s="386">
        <f t="shared" si="45"/>
        <v>0.10507991630075632</v>
      </c>
      <c r="T69" s="386">
        <f t="shared" si="46"/>
        <v>0.32464407278132024</v>
      </c>
      <c r="U69" s="4">
        <f t="shared" si="9"/>
        <v>0.58865901681646882</v>
      </c>
      <c r="V69" s="386">
        <f t="shared" si="10"/>
        <v>9.356024828141957E-3</v>
      </c>
      <c r="W69" s="386">
        <f t="shared" si="47"/>
        <v>9.356024828141957E-3</v>
      </c>
      <c r="X69" s="386">
        <f t="shared" si="11"/>
        <v>1.8379386419945396</v>
      </c>
      <c r="Y69" s="386">
        <f t="shared" si="12"/>
        <v>0.10809659045557544</v>
      </c>
      <c r="Z69" s="603">
        <f t="shared" si="48"/>
        <v>0.10809659045557544</v>
      </c>
      <c r="AA69" s="386">
        <f t="shared" si="13"/>
        <v>3.4024533640231716</v>
      </c>
      <c r="AB69" s="386">
        <f t="shared" si="14"/>
        <v>0.11576688894352596</v>
      </c>
      <c r="AC69" s="386">
        <f t="shared" si="15"/>
        <v>0.27488851863078173</v>
      </c>
      <c r="AD69">
        <f t="shared" si="16"/>
        <v>0</v>
      </c>
      <c r="AE69" s="386">
        <f t="shared" si="17"/>
        <v>0.40143717438026127</v>
      </c>
      <c r="AF69" s="386">
        <f t="shared" si="18"/>
        <v>2.1839941720908369</v>
      </c>
      <c r="AG69" s="386">
        <f t="shared" si="19"/>
        <v>4.7698305437267399E-2</v>
      </c>
      <c r="AH69" s="386">
        <f t="shared" si="20"/>
        <v>0.19239999999999999</v>
      </c>
      <c r="AI69" s="386">
        <f t="shared" si="21"/>
        <v>0.24278496553169709</v>
      </c>
      <c r="AJ69" s="386">
        <f t="shared" si="22"/>
        <v>0</v>
      </c>
      <c r="AK69" s="386">
        <f t="shared" si="23"/>
        <v>0</v>
      </c>
      <c r="AL69" s="386">
        <f t="shared" si="24"/>
        <v>0</v>
      </c>
      <c r="AM69">
        <f t="shared" si="25"/>
        <v>0</v>
      </c>
      <c r="AN69" s="386">
        <f t="shared" si="26"/>
        <v>0</v>
      </c>
      <c r="AO69" s="386">
        <f t="shared" si="27"/>
        <v>4.0430829125902594</v>
      </c>
      <c r="AP69" s="386">
        <f t="shared" si="28"/>
        <v>0.16346519438079338</v>
      </c>
      <c r="AQ69" s="386">
        <f t="shared" si="29"/>
        <v>0</v>
      </c>
      <c r="AR69" s="386">
        <f t="shared" si="30"/>
        <v>0.16990880310287632</v>
      </c>
      <c r="AS69" s="386">
        <f t="shared" si="31"/>
        <v>0.16346519438079338</v>
      </c>
      <c r="AT69" s="386">
        <f t="shared" si="32"/>
        <v>0</v>
      </c>
      <c r="AU69" s="386">
        <f t="shared" si="33"/>
        <v>6.3122000000000011E-2</v>
      </c>
      <c r="AV69" s="386">
        <f t="shared" si="34"/>
        <v>7.1547458155901092E-2</v>
      </c>
      <c r="AW69" s="386">
        <f t="shared" si="35"/>
        <v>6.5920000000000006E-2</v>
      </c>
      <c r="AX69" s="386">
        <f t="shared" si="36"/>
        <v>3.6000000000000004E-2</v>
      </c>
      <c r="AY69" s="386">
        <f t="shared" si="37"/>
        <v>0.40226399999999995</v>
      </c>
      <c r="AZ69" s="386">
        <f t="shared" si="38"/>
        <v>0.30415082926829268</v>
      </c>
      <c r="BA69" s="386">
        <f t="shared" si="56"/>
        <v>0.43826399999999999</v>
      </c>
      <c r="BB69" s="386">
        <f t="shared" si="57"/>
        <v>1.8950810892357732</v>
      </c>
      <c r="BC69">
        <f t="shared" si="39"/>
        <v>48</v>
      </c>
      <c r="BD69" s="604">
        <f t="shared" si="50"/>
        <v>0.96201867903879179</v>
      </c>
      <c r="BE69" s="614">
        <f t="shared" si="40"/>
        <v>26.944432114055154</v>
      </c>
      <c r="BF69" s="614">
        <f t="shared" si="41"/>
        <v>14.081528000838432</v>
      </c>
      <c r="BG69" s="9"/>
      <c r="BH69" s="4">
        <f t="shared" si="51"/>
        <v>96.201867903879176</v>
      </c>
      <c r="BI69" s="386">
        <f t="shared" si="52"/>
        <v>0.32464407278132024</v>
      </c>
      <c r="BJ69" s="386">
        <f t="shared" si="53"/>
        <v>0.8772529430148347</v>
      </c>
      <c r="BK69" s="386">
        <f t="shared" si="54"/>
        <v>0.26361522553169708</v>
      </c>
      <c r="BL69" s="386">
        <f t="shared" si="55"/>
        <v>7.1547458155901092E-2</v>
      </c>
      <c r="BR69" s="18"/>
      <c r="BS69" s="19"/>
    </row>
    <row r="70" spans="1:71" x14ac:dyDescent="0.2">
      <c r="A70" s="33" t="s">
        <v>245</v>
      </c>
      <c r="B70" s="491">
        <f>Iripple_Vinnom</f>
        <v>3.3924332034399783E-2</v>
      </c>
      <c r="C70" s="21" t="s">
        <v>2</v>
      </c>
      <c r="G70">
        <v>61</v>
      </c>
      <c r="H70" s="610">
        <f t="shared" si="0"/>
        <v>17.234999999999999</v>
      </c>
      <c r="I70" s="4" t="str">
        <f t="shared" si="1"/>
        <v>BUCK</v>
      </c>
      <c r="J70">
        <f t="shared" si="43"/>
        <v>1</v>
      </c>
      <c r="K70">
        <f t="shared" si="2"/>
        <v>4</v>
      </c>
      <c r="L70" s="4">
        <f t="shared" si="3"/>
        <v>3.0944782903007448</v>
      </c>
      <c r="M70" s="4">
        <f t="shared" si="4"/>
        <v>4</v>
      </c>
      <c r="N70" s="386">
        <f t="shared" si="5"/>
        <v>0.70267707429893034</v>
      </c>
      <c r="O70" s="386">
        <f t="shared" si="58"/>
        <v>0</v>
      </c>
      <c r="P70" s="4">
        <f t="shared" si="6"/>
        <v>2.0778068151006091</v>
      </c>
      <c r="Q70" s="386">
        <f t="shared" si="7"/>
        <v>4.0447216752297326</v>
      </c>
      <c r="R70" s="386">
        <f t="shared" si="8"/>
        <v>0.21974531186826321</v>
      </c>
      <c r="S70" s="386">
        <f t="shared" si="45"/>
        <v>0.10972334254840994</v>
      </c>
      <c r="T70" s="386">
        <f t="shared" si="46"/>
        <v>0.32946865441667317</v>
      </c>
      <c r="U70" s="4">
        <f t="shared" si="9"/>
        <v>0.59981116201118778</v>
      </c>
      <c r="V70" s="386">
        <f t="shared" si="10"/>
        <v>9.7138826119767055E-3</v>
      </c>
      <c r="W70" s="386">
        <f t="shared" si="47"/>
        <v>9.7138826119767055E-3</v>
      </c>
      <c r="X70" s="386">
        <f t="shared" si="11"/>
        <v>1.8487608397773549</v>
      </c>
      <c r="Y70" s="386">
        <f t="shared" si="12"/>
        <v>0.10937333256621666</v>
      </c>
      <c r="Z70" s="603">
        <f t="shared" si="48"/>
        <v>0.10937333256621666</v>
      </c>
      <c r="AA70" s="386">
        <f t="shared" si="13"/>
        <v>3.3905217489403046</v>
      </c>
      <c r="AB70" s="386">
        <f t="shared" si="14"/>
        <v>0.11495637730037223</v>
      </c>
      <c r="AC70" s="386">
        <f t="shared" si="15"/>
        <v>0.27705869114628789</v>
      </c>
      <c r="AD70">
        <f t="shared" si="16"/>
        <v>0</v>
      </c>
      <c r="AE70" s="386">
        <f t="shared" si="17"/>
        <v>0.40275653676354867</v>
      </c>
      <c r="AF70" s="386">
        <f t="shared" si="18"/>
        <v>2.205478564855254</v>
      </c>
      <c r="AG70" s="386">
        <f t="shared" si="19"/>
        <v>4.864135700035991E-2</v>
      </c>
      <c r="AH70" s="386">
        <f t="shared" si="20"/>
        <v>0.19239999999999999</v>
      </c>
      <c r="AI70" s="386">
        <f t="shared" si="21"/>
        <v>0.24379250540348751</v>
      </c>
      <c r="AJ70" s="386">
        <f t="shared" si="22"/>
        <v>0</v>
      </c>
      <c r="AK70" s="386">
        <f t="shared" si="23"/>
        <v>0</v>
      </c>
      <c r="AL70" s="386">
        <f t="shared" si="24"/>
        <v>0</v>
      </c>
      <c r="AM70">
        <f t="shared" si="25"/>
        <v>0</v>
      </c>
      <c r="AN70" s="386">
        <f t="shared" si="26"/>
        <v>0</v>
      </c>
      <c r="AO70" s="386">
        <f t="shared" si="27"/>
        <v>4.0447216752297326</v>
      </c>
      <c r="AP70" s="386">
        <f t="shared" si="28"/>
        <v>0.16359773430073216</v>
      </c>
      <c r="AQ70" s="386">
        <f t="shared" si="29"/>
        <v>0</v>
      </c>
      <c r="AR70" s="386">
        <f t="shared" si="30"/>
        <v>0.17005200268658821</v>
      </c>
      <c r="AS70" s="386">
        <f t="shared" si="31"/>
        <v>0.16359773430073216</v>
      </c>
      <c r="AT70" s="386">
        <f t="shared" si="32"/>
        <v>0</v>
      </c>
      <c r="AU70" s="386">
        <f t="shared" si="33"/>
        <v>6.3621499999999997E-2</v>
      </c>
      <c r="AV70" s="386">
        <f t="shared" si="34"/>
        <v>7.2962035500539868E-2</v>
      </c>
      <c r="AW70" s="386">
        <f t="shared" si="35"/>
        <v>6.5920000000000006E-2</v>
      </c>
      <c r="AX70" s="386">
        <f t="shared" si="36"/>
        <v>3.6000000000000004E-2</v>
      </c>
      <c r="AY70" s="386">
        <f t="shared" si="37"/>
        <v>0.40226399999999995</v>
      </c>
      <c r="AZ70" s="386">
        <f t="shared" si="38"/>
        <v>0.30415082926829268</v>
      </c>
      <c r="BA70" s="386">
        <f t="shared" si="56"/>
        <v>0.43826399999999999</v>
      </c>
      <c r="BB70" s="386">
        <f t="shared" si="57"/>
        <v>1.9059244499490307</v>
      </c>
      <c r="BC70">
        <f t="shared" si="39"/>
        <v>48</v>
      </c>
      <c r="BD70" s="604">
        <f t="shared" si="50"/>
        <v>0.96180965544761132</v>
      </c>
      <c r="BE70" s="614">
        <f t="shared" si="40"/>
        <v>27.049926132285822</v>
      </c>
      <c r="BF70" s="614">
        <f t="shared" si="41"/>
        <v>14.139965313402275</v>
      </c>
      <c r="BG70" s="9"/>
      <c r="BH70" s="4">
        <f t="shared" si="51"/>
        <v>96.180965544761136</v>
      </c>
      <c r="BI70" s="386">
        <f t="shared" si="52"/>
        <v>0.32946865441667317</v>
      </c>
      <c r="BJ70" s="386">
        <f t="shared" si="53"/>
        <v>0.88022254485362428</v>
      </c>
      <c r="BK70" s="386">
        <f t="shared" si="54"/>
        <v>0.26478760040348753</v>
      </c>
      <c r="BL70" s="386">
        <f t="shared" si="55"/>
        <v>7.2962035500539868E-2</v>
      </c>
      <c r="BR70" s="18"/>
      <c r="BS70" s="19"/>
    </row>
    <row r="71" spans="1:71" x14ac:dyDescent="0.2">
      <c r="A71" s="14" t="s">
        <v>63</v>
      </c>
      <c r="B71" s="15" t="s">
        <v>8</v>
      </c>
      <c r="C71" s="17" t="s">
        <v>80</v>
      </c>
      <c r="G71">
        <v>62</v>
      </c>
      <c r="H71" s="610">
        <f t="shared" si="0"/>
        <v>17.369999999999997</v>
      </c>
      <c r="I71" s="4" t="str">
        <f t="shared" si="1"/>
        <v>BUCK</v>
      </c>
      <c r="J71">
        <f t="shared" si="43"/>
        <v>1</v>
      </c>
      <c r="K71">
        <f t="shared" si="2"/>
        <v>4</v>
      </c>
      <c r="L71" s="4">
        <f t="shared" si="3"/>
        <v>3.0704279408942625</v>
      </c>
      <c r="M71" s="4">
        <f t="shared" si="4"/>
        <v>4</v>
      </c>
      <c r="N71" s="386">
        <f t="shared" si="5"/>
        <v>0.69723465289730358</v>
      </c>
      <c r="O71" s="386">
        <f t="shared" si="58"/>
        <v>0</v>
      </c>
      <c r="P71" s="4">
        <f t="shared" si="6"/>
        <v>2.1158405464460315</v>
      </c>
      <c r="Q71" s="386">
        <f t="shared" si="7"/>
        <v>4.0463644301395734</v>
      </c>
      <c r="R71" s="386">
        <f t="shared" si="8"/>
        <v>0.21992698744016212</v>
      </c>
      <c r="S71" s="386">
        <f t="shared" si="45"/>
        <v>0.11440616001352265</v>
      </c>
      <c r="T71" s="386">
        <f t="shared" si="46"/>
        <v>0.33433314745368475</v>
      </c>
      <c r="U71" s="4">
        <f t="shared" si="9"/>
        <v>0.61079055452647057</v>
      </c>
      <c r="V71" s="386">
        <f t="shared" si="10"/>
        <v>1.0072757740466343E-2</v>
      </c>
      <c r="W71" s="386">
        <f t="shared" si="47"/>
        <v>1.0072757740466343E-2</v>
      </c>
      <c r="X71" s="386">
        <f t="shared" si="11"/>
        <v>1.8591205844093772</v>
      </c>
      <c r="Y71" s="386">
        <f t="shared" si="12"/>
        <v>0.11060253911598926</v>
      </c>
      <c r="Z71" s="603">
        <f t="shared" si="48"/>
        <v>0.11060253911598926</v>
      </c>
      <c r="AA71" s="386">
        <f t="shared" si="13"/>
        <v>3.3787376877923565</v>
      </c>
      <c r="AB71" s="386">
        <f t="shared" si="14"/>
        <v>0.11415868362908439</v>
      </c>
      <c r="AC71" s="386">
        <f t="shared" si="15"/>
        <v>0.279228863661794</v>
      </c>
      <c r="AD71">
        <f t="shared" si="16"/>
        <v>0</v>
      </c>
      <c r="AE71" s="386">
        <f t="shared" si="17"/>
        <v>0.40408979047412547</v>
      </c>
      <c r="AF71" s="386">
        <f t="shared" si="18"/>
        <v>2.2264763054185681</v>
      </c>
      <c r="AG71" s="386">
        <f t="shared" si="19"/>
        <v>4.9571967385903165E-2</v>
      </c>
      <c r="AH71" s="386">
        <f t="shared" si="20"/>
        <v>0.19239999999999999</v>
      </c>
      <c r="AI71" s="386">
        <f t="shared" si="21"/>
        <v>0.24478719055529619</v>
      </c>
      <c r="AJ71" s="386">
        <f t="shared" si="22"/>
        <v>0</v>
      </c>
      <c r="AK71" s="386">
        <f t="shared" si="23"/>
        <v>0</v>
      </c>
      <c r="AL71" s="386">
        <f t="shared" si="24"/>
        <v>0</v>
      </c>
      <c r="AM71">
        <f t="shared" si="25"/>
        <v>0</v>
      </c>
      <c r="AN71" s="386">
        <f t="shared" si="26"/>
        <v>0</v>
      </c>
      <c r="AO71" s="386">
        <f t="shared" si="27"/>
        <v>4.0463644301395734</v>
      </c>
      <c r="AP71" s="386">
        <f t="shared" si="28"/>
        <v>0.16373065101498754</v>
      </c>
      <c r="AQ71" s="386">
        <f t="shared" si="29"/>
        <v>0</v>
      </c>
      <c r="AR71" s="386">
        <f t="shared" si="30"/>
        <v>0.17019561856206677</v>
      </c>
      <c r="AS71" s="386">
        <f t="shared" si="31"/>
        <v>0.16373065101498754</v>
      </c>
      <c r="AT71" s="386">
        <f t="shared" si="32"/>
        <v>0</v>
      </c>
      <c r="AU71" s="386">
        <f t="shared" si="33"/>
        <v>6.4120999999999997E-2</v>
      </c>
      <c r="AV71" s="386">
        <f t="shared" si="34"/>
        <v>7.4357951078854748E-2</v>
      </c>
      <c r="AW71" s="386">
        <f t="shared" si="35"/>
        <v>6.5920000000000006E-2</v>
      </c>
      <c r="AX71" s="386">
        <f t="shared" si="36"/>
        <v>3.6000000000000004E-2</v>
      </c>
      <c r="AY71" s="386">
        <f t="shared" si="37"/>
        <v>0.40226399999999995</v>
      </c>
      <c r="AZ71" s="386">
        <f t="shared" si="38"/>
        <v>0.30415082926829268</v>
      </c>
      <c r="BA71" s="386">
        <f t="shared" si="56"/>
        <v>0.43826399999999999</v>
      </c>
      <c r="BB71" s="386">
        <f t="shared" si="57"/>
        <v>1.9167439949804836</v>
      </c>
      <c r="BC71">
        <f t="shared" si="39"/>
        <v>48</v>
      </c>
      <c r="BD71" s="604">
        <f t="shared" si="50"/>
        <v>0.96160118145580109</v>
      </c>
      <c r="BE71" s="614">
        <f t="shared" si="40"/>
        <v>27.156225847499275</v>
      </c>
      <c r="BF71" s="614">
        <f t="shared" si="41"/>
        <v>14.197657052207179</v>
      </c>
      <c r="BG71" s="9"/>
      <c r="BH71" s="4">
        <f t="shared" si="51"/>
        <v>96.160118145580114</v>
      </c>
      <c r="BI71" s="386">
        <f t="shared" si="52"/>
        <v>0.33433314745368475</v>
      </c>
      <c r="BJ71" s="386">
        <f t="shared" si="53"/>
        <v>0.88319359959148847</v>
      </c>
      <c r="BK71" s="386">
        <f t="shared" si="54"/>
        <v>0.26594712055529618</v>
      </c>
      <c r="BL71" s="386">
        <f t="shared" si="55"/>
        <v>7.4357951078854748E-2</v>
      </c>
      <c r="BR71" s="18"/>
      <c r="BS71" s="19"/>
    </row>
    <row r="72" spans="1:71" x14ac:dyDescent="0.2">
      <c r="A72" s="32" t="s">
        <v>92</v>
      </c>
      <c r="B72" s="492">
        <f>(Qgd_Q1+Qgs_Q1/2)*(RdsonDRT+Rgate1)/(Vdd-Vsp_Q1)*1000000000</f>
        <v>6.5402755267423016</v>
      </c>
      <c r="C72" s="21" t="s">
        <v>79</v>
      </c>
      <c r="D72" s="118" t="s">
        <v>719</v>
      </c>
      <c r="G72">
        <v>63</v>
      </c>
      <c r="H72" s="610">
        <f t="shared" si="0"/>
        <v>17.505000000000003</v>
      </c>
      <c r="I72" s="4" t="str">
        <f t="shared" si="1"/>
        <v>BUCK</v>
      </c>
      <c r="J72">
        <f t="shared" si="43"/>
        <v>1</v>
      </c>
      <c r="K72">
        <f t="shared" si="2"/>
        <v>4</v>
      </c>
      <c r="L72" s="4">
        <f t="shared" si="3"/>
        <v>3.0467485480338947</v>
      </c>
      <c r="M72" s="4">
        <f t="shared" si="4"/>
        <v>4</v>
      </c>
      <c r="N72" s="386">
        <f t="shared" si="5"/>
        <v>0.69187588955308843</v>
      </c>
      <c r="O72" s="386">
        <f t="shared" si="58"/>
        <v>0</v>
      </c>
      <c r="P72" s="4">
        <f t="shared" si="6"/>
        <v>2.1532896431507917</v>
      </c>
      <c r="Q72" s="386">
        <f t="shared" si="7"/>
        <v>4.0480103784379935</v>
      </c>
      <c r="R72" s="386">
        <f t="shared" si="8"/>
        <v>0.2201090953708596</v>
      </c>
      <c r="S72" s="386">
        <f t="shared" si="45"/>
        <v>0.11912551034260169</v>
      </c>
      <c r="T72" s="386">
        <f t="shared" si="46"/>
        <v>0.33923460571346131</v>
      </c>
      <c r="U72" s="4">
        <f t="shared" si="9"/>
        <v>0.62160117755817146</v>
      </c>
      <c r="V72" s="386">
        <f t="shared" si="10"/>
        <v>1.0432476646426046E-2</v>
      </c>
      <c r="W72" s="386">
        <f t="shared" si="47"/>
        <v>1.0432476646426046E-2</v>
      </c>
      <c r="X72" s="386">
        <f t="shared" si="11"/>
        <v>1.8690398322909048</v>
      </c>
      <c r="Y72" s="386">
        <f t="shared" si="12"/>
        <v>0.11178591663008042</v>
      </c>
      <c r="Z72" s="603">
        <f t="shared" si="48"/>
        <v>0.11178591663008042</v>
      </c>
      <c r="AA72" s="386">
        <f t="shared" si="13"/>
        <v>3.3670976805888393</v>
      </c>
      <c r="AB72" s="386">
        <f t="shared" si="14"/>
        <v>0.11337346790626741</v>
      </c>
      <c r="AC72" s="386">
        <f t="shared" si="15"/>
        <v>0.28139903617730028</v>
      </c>
      <c r="AD72">
        <f t="shared" si="16"/>
        <v>0</v>
      </c>
      <c r="AE72" s="386">
        <f t="shared" si="17"/>
        <v>0.40543655775140314</v>
      </c>
      <c r="AF72" s="386">
        <f t="shared" si="18"/>
        <v>2.2470071725107963</v>
      </c>
      <c r="AG72" s="386">
        <f t="shared" si="19"/>
        <v>5.0490412333149638E-2</v>
      </c>
      <c r="AH72" s="386">
        <f t="shared" si="20"/>
        <v>0.19239999999999999</v>
      </c>
      <c r="AI72" s="386">
        <f t="shared" si="21"/>
        <v>0.24576929876329559</v>
      </c>
      <c r="AJ72" s="386">
        <f t="shared" si="22"/>
        <v>0</v>
      </c>
      <c r="AK72" s="386">
        <f t="shared" si="23"/>
        <v>0</v>
      </c>
      <c r="AL72" s="386">
        <f t="shared" si="24"/>
        <v>0</v>
      </c>
      <c r="AM72">
        <f t="shared" si="25"/>
        <v>0</v>
      </c>
      <c r="AN72" s="386">
        <f t="shared" si="26"/>
        <v>0</v>
      </c>
      <c r="AO72" s="386">
        <f t="shared" si="27"/>
        <v>4.0480103784379935</v>
      </c>
      <c r="AP72" s="386">
        <f t="shared" si="28"/>
        <v>0.16386388023941706</v>
      </c>
      <c r="AQ72" s="386">
        <f t="shared" si="29"/>
        <v>0</v>
      </c>
      <c r="AR72" s="386">
        <f t="shared" si="30"/>
        <v>0.17033958134309618</v>
      </c>
      <c r="AS72" s="386">
        <f t="shared" si="31"/>
        <v>0.16386388023941706</v>
      </c>
      <c r="AT72" s="386">
        <f t="shared" si="32"/>
        <v>0</v>
      </c>
      <c r="AU72" s="386">
        <f t="shared" si="33"/>
        <v>6.4620500000000011E-2</v>
      </c>
      <c r="AV72" s="386">
        <f t="shared" si="34"/>
        <v>7.5735618499724447E-2</v>
      </c>
      <c r="AW72" s="386">
        <f t="shared" si="35"/>
        <v>6.5920000000000006E-2</v>
      </c>
      <c r="AX72" s="386">
        <f t="shared" si="36"/>
        <v>3.6000000000000004E-2</v>
      </c>
      <c r="AY72" s="386">
        <f t="shared" si="37"/>
        <v>0.40226399999999995</v>
      </c>
      <c r="AZ72" s="386">
        <f t="shared" si="38"/>
        <v>0.30415082926829268</v>
      </c>
      <c r="BA72" s="386">
        <f t="shared" si="56"/>
        <v>0.43826399999999999</v>
      </c>
      <c r="BB72" s="386">
        <f t="shared" si="57"/>
        <v>1.9275385553474871</v>
      </c>
      <c r="BC72">
        <f t="shared" si="39"/>
        <v>48</v>
      </c>
      <c r="BD72" s="604">
        <f t="shared" si="50"/>
        <v>0.96139327891739135</v>
      </c>
      <c r="BE72" s="614">
        <f t="shared" si="40"/>
        <v>27.263309349581384</v>
      </c>
      <c r="BF72" s="614">
        <f t="shared" si="41"/>
        <v>14.254619328271144</v>
      </c>
      <c r="BG72" s="9"/>
      <c r="BH72" s="4">
        <f t="shared" si="51"/>
        <v>96.139327891739129</v>
      </c>
      <c r="BI72" s="386">
        <f t="shared" si="52"/>
        <v>0.33923460571346131</v>
      </c>
      <c r="BJ72" s="386">
        <f t="shared" si="53"/>
        <v>0.88616593785779485</v>
      </c>
      <c r="BK72" s="386">
        <f t="shared" si="54"/>
        <v>0.26709406376329559</v>
      </c>
      <c r="BL72" s="386">
        <f t="shared" si="55"/>
        <v>7.5735618499724447E-2</v>
      </c>
      <c r="BR72" s="18"/>
      <c r="BS72" s="19"/>
    </row>
    <row r="73" spans="1:71" x14ac:dyDescent="0.2">
      <c r="A73" s="33" t="s">
        <v>93</v>
      </c>
      <c r="B73" s="492">
        <f>(Qgd_Q1+Qgs_Q1/2)*(RdsonDRT2+Rgate1)/(Vsp_Q1)*1000000000</f>
        <v>15.183173076923079</v>
      </c>
      <c r="C73" s="21" t="s">
        <v>79</v>
      </c>
      <c r="D73" s="118" t="s">
        <v>720</v>
      </c>
      <c r="G73">
        <v>64</v>
      </c>
      <c r="H73" s="610">
        <f t="shared" ref="H73:H136" si="59">VIN_min+(VIN_max-VIN_min)*(G73/200)</f>
        <v>17.64</v>
      </c>
      <c r="I73" s="4" t="str">
        <f t="shared" ref="I73:I136" si="60">IF(H73&gt;VIN_BB_to_buck, "BUCK", IF(H73&lt;VIN_boost_to_BB,"BOOST","BUCK-BST"))</f>
        <v>BUCK</v>
      </c>
      <c r="J73">
        <f t="shared" si="43"/>
        <v>1</v>
      </c>
      <c r="K73">
        <f t="shared" ref="K73:K136" si="61">Iout</f>
        <v>4</v>
      </c>
      <c r="L73" s="4">
        <f t="shared" ref="L73:L136" si="62">Vout*K73/(H73*Efficiency)</f>
        <v>3.023431594860166</v>
      </c>
      <c r="M73" s="4">
        <f t="shared" ref="M73:M136" si="63">Iout/(1-O73)</f>
        <v>4</v>
      </c>
      <c r="N73" s="386">
        <f t="shared" ref="N73:N136" si="64">CHOOSE(J73,(Vout+(Rdson2+Rs+Rdcr)*K73)/(H73+(Rs+Rdson2-Rdson1)*K73),1,IF(H73&lt;Vout,D_max_buck_BB,Vout/H73*(1-D_min_boost_exitBB_to_buck)))</f>
        <v>0.68659887005649711</v>
      </c>
      <c r="O73" s="386">
        <f t="shared" si="58"/>
        <v>0</v>
      </c>
      <c r="P73" s="4">
        <f t="shared" ref="P73:P136" si="65">MAX(0, CHOOSE(J73, (H73-(Rdson1+Rdcr)*K73-Vout)*N73/(Fsw*Lf), (H73-(Rdson4+Rdcr+Rs)*L73)*O73/(Fsw*Lf), IF(H73&lt;Vout, (H73-(Rdson4+Rdcr+Rs)*L73)*O73/(0.5*Fsw*Lf),(H73-(Rdson1+Rdcr)*K73-Vout)*N73/(0.5*Fsw*Lf))))</f>
        <v>2.1901674824481892</v>
      </c>
      <c r="Q73" s="386">
        <f t="shared" ref="Q73:Q136" si="66">CHOOSE(J73, SQRT(K73^2+(P73^2)/12), SQRT(L73^2+(P73^2)/12), SQRT(M73^2+(P73^2)/12))</f>
        <v>4.0496587675298175</v>
      </c>
      <c r="R73" s="386">
        <f t="shared" si="8"/>
        <v>0.22029155280669782</v>
      </c>
      <c r="S73" s="386">
        <f t="shared" ref="S73:S109" si="67">7.759*10^-3*Fsw^0.9458*(0.00787*P73)^2.304</f>
        <v>0.12387865645672813</v>
      </c>
      <c r="T73" s="386">
        <f t="shared" si="46"/>
        <v>0.34417020926342595</v>
      </c>
      <c r="U73" s="4">
        <f t="shared" ref="U73:U136" si="68">IF(H73&gt;Vout, P73/SQRT(12), SQRT(O73/(1-O73))*SQRT(K73^2+(P73^2)/12))</f>
        <v>0.63224689278091351</v>
      </c>
      <c r="V73" s="386">
        <f t="shared" si="10"/>
        <v>1.0792875602640237E-2</v>
      </c>
      <c r="W73" s="386">
        <f t="shared" si="47"/>
        <v>1.0792875602640237E-2</v>
      </c>
      <c r="X73" s="386">
        <f t="shared" ref="X73:X136" si="69">IF(H73&gt;Vout, SQRT(N73*(1-N73))*SQRT(K73^2+(P73^2)/12), P73/SQRT(12))</f>
        <v>1.8785391539012455</v>
      </c>
      <c r="Y73" s="386">
        <f t="shared" si="12"/>
        <v>0.11292509928768023</v>
      </c>
      <c r="Z73" s="603">
        <f t="shared" si="48"/>
        <v>0.11292509928768023</v>
      </c>
      <c r="AA73" s="386">
        <f t="shared" ref="AA73:AA136" si="70">CHOOSE(J73, SQRT(N73)*SQRT(K73^2+(P73^2)/12), SQRT(L73^2+(P73^2)/12), SQRT(N73)*SQRT(M73^2+(P73^2)/12))</f>
        <v>3.3555983517755092</v>
      </c>
      <c r="AB73" s="386">
        <f t="shared" ref="AB73:AB136" si="71">Rdson1*AA73^2</f>
        <v>0.11260040298438515</v>
      </c>
      <c r="AC73" s="386">
        <f t="shared" ref="AC73:AC136" si="72">CHOOSE(J73, (H73*K73/2)*(Fsw)*(Tr_buck+Tf_buck), 0, (H73*M73/2)*(Fsw/2)*(Tr_buck+Tf_buck))</f>
        <v>0.28356920869280638</v>
      </c>
      <c r="AD73">
        <f t="shared" ref="AD73:AD136" si="73">IF(H73&gt;Vout, IF(K73&gt;P73/2,0,ABS(K73-P73/2)*Vsd_Q1*Deadtime*Fsw),0)</f>
        <v>0</v>
      </c>
      <c r="AE73" s="386">
        <f t="shared" ref="AE73:AE136" si="74">(AD73+AC73+AB73*(1+RdsonTopTc*Ta-RdsonTopTc*25))/(1-AB73*RdsonTopTc*ThetaJA_Q1)</f>
        <v>0.40679647539561592</v>
      </c>
      <c r="AF73" s="386">
        <f t="shared" ref="AF73:AF136" si="75">CHOOSE(J73, SQRT((1-N73))*SQRT(K73^2+(P73^2)/12), 0, SQRT((1-N73))*SQRT(M73^2+(P73^2)/12))</f>
        <v>2.2670897280417917</v>
      </c>
      <c r="AG73" s="386">
        <f t="shared" ref="AG73:AG136" si="76">Rdson2*AF73^2</f>
        <v>5.1396958349926046E-2</v>
      </c>
      <c r="AH73" s="386">
        <f t="shared" ref="AH73:AH136" si="77">CHOOSE(J73, IF(K73&lt;P73/2,Deadtime*Fsw*IF(VfdSky_Q2&gt;0,0,Vsd_Q2)*(K73+P73/2),2*Deadtime*Fsw*IF(VfdSky_Q2&gt;0,0,Vsd_Q2)*K73),0, IF(K73&lt;P73/2,Deadtime*Fsw/2*IF(VfdSky_Q2&gt;0,0,Vsd_Q2)*(K73+P73/2),2*Deadtime*Fsw/2*IF(VfdSky_Q2&gt;0,0,Vsd_Q2)*K73))</f>
        <v>0.19239999999999999</v>
      </c>
      <c r="AI73" s="386">
        <f t="shared" ref="AI73:AI136" si="78">(AH73+AG73*(1+RdsonBotTc*Ta-RdsonBotTc*25))/(1-AG73*RdsonBotTc*ThetaJA_Q2)</f>
        <v>0.24673909863876617</v>
      </c>
      <c r="AJ73" s="386">
        <f t="shared" ref="AJ73:AJ136" si="79">CHOOSE(J73, 0, SQRT(O73)*SQRT(L73^2+(P73^2)/12), SQRT(O73)*SQRT(M73^2+(P73^2)/12))</f>
        <v>0</v>
      </c>
      <c r="AK73" s="386">
        <f t="shared" ref="AK73:AK136" si="80">Rdson4*AJ73^2</f>
        <v>0</v>
      </c>
      <c r="AL73" s="386">
        <f t="shared" ref="AL73:AL136" si="81">CHOOSE(J73, 0, (Vout*L73/2)*(Fsw)*(Tr_boost+Tf_boost), (Vout*Iout/2)*(Fsw/2)*(Tr_boost+Tf_boost))</f>
        <v>0</v>
      </c>
      <c r="AM73">
        <f t="shared" ref="AM73:AM136" si="82">IF(H73&gt;Vout, 0, IF(L73&gt;P73/2,0,ABS(L73-P73/2)*Vsd_Q4*Deadtime*Fsw))</f>
        <v>0</v>
      </c>
      <c r="AN73" s="386">
        <f t="shared" ref="AN73:AN136" si="83">(AM73+AL73+AK73*(1+RdsonTopTc*Ta-RdsonTopTc*25))/(1-AK73*RdsonTopTc*ThetaJA_Q4)</f>
        <v>0</v>
      </c>
      <c r="AO73" s="386">
        <f t="shared" ref="AO73:AO136" si="84">CHOOSE(J73, SQRT(Iout^2+(P73^2)/12), SQRT(1-O73)*SQRT(L73^2+(P73^2)/12), SQRT(1-O73)*SQRT(M73^2+(P73^2)/12))</f>
        <v>4.0496587675298175</v>
      </c>
      <c r="AP73" s="386">
        <f t="shared" ref="AP73:AP136" si="85">Rdson3*AO73^2</f>
        <v>0.1639973613343112</v>
      </c>
      <c r="AQ73" s="386">
        <f t="shared" ref="AQ73:AQ136" si="86">CHOOSE(J73, 0, IF(L73&lt;P73/2,Deadtime*Fsw*IF(VfdSky_Q3&gt;0,0,Vsd_Q3)*(L73+P73/2), 2*Deadtime*Fsw*IF(VfdSky_Q3&gt;0,0,Vsd_Q3)*L73), IF(L73&lt;P73/2,Deadtime*Fsw/2*IF(VfdSky_Q3&gt;0,0,Vsd_Q3)*(L73+P73/2), 2*Deadtime*Fsw/2*IF(VfdSky_Q3&gt;0,0,Vsd_Q3)*L73))</f>
        <v>0</v>
      </c>
      <c r="AR73" s="386">
        <f t="shared" ref="AR73:AR136" si="87">(AQ73+AP73*(1+RdsonBotTc*Ta-RdsonBotTc*25))/(1-AP73*RdsonBotTc*ThetaJA_Q3)</f>
        <v>0.17048382556422018</v>
      </c>
      <c r="AS73" s="386">
        <f t="shared" ref="AS73:AS136" si="88">CHOOSE(J73, Rdson3*Q73^2, Rdson1*Q73^2, 0)</f>
        <v>0.1639973613343112</v>
      </c>
      <c r="AT73" s="386">
        <f t="shared" ref="AT73:AT136" si="89">CHOOSE(J73, 2*Deadtime*Fsw*IF(VfdSky_Q2&gt;0,VfdSky_Q2,0)*K73, 2*Deadtime*Fsw*IF(VfdSky_Q3&gt;0,VfdSky_Q3,0)*L73, 2*Deadtime*Fsw/2*IF(VfdSky_Q2&gt;0,VfdSky_Q2,0)*K73+2*Deadtime*Fsw/2*IF(VfdSky_Q3&gt;0,VfdSky_Q3,0)*L73)</f>
        <v>0</v>
      </c>
      <c r="AU73" s="386">
        <f t="shared" ref="AU73:AU136" si="90">CHOOSE(J73, IF(QrrSky_Q2&gt;0,QrrSky_Q2,Qrr_Q2)*Fsw*(H73-K73*Rdson1), IF(QrrSky_Q3&gt;0,QrrSky_Q3,Qrr_Q3)*Fsw*Vout,  IF(QrrSky_Q2&gt;0,QrrSky_Q2,Qrr_Q2)*Fsw/2*(H73-K73*Rdson1)+IF(QrrSky_Q3&gt;0,QrrSky_Q3,Qrr_Q3)*Fsw/2*Vout)</f>
        <v>6.5120000000000011E-2</v>
      </c>
      <c r="AV73" s="386">
        <f t="shared" ref="AV73:AV136" si="91">CHOOSE(J73, Rs*AF73^2, Rs*AJ73^2, Rs*(AF73^2+AJ73^2))</f>
        <v>7.7095437524889066E-2</v>
      </c>
      <c r="AW73" s="386">
        <f t="shared" ref="AW73:AW136" si="92">Rshunt_std/1000*Iout^2</f>
        <v>6.5920000000000006E-2</v>
      </c>
      <c r="AX73" s="386">
        <f t="shared" ref="AX73:AX136" si="93">IF(Vout&gt;8, Iq*Vout, Iq*H73)</f>
        <v>3.6000000000000004E-2</v>
      </c>
      <c r="AY73" s="386">
        <f t="shared" ref="AY73:AY136" si="94">CHOOSE(J73, (Qg_Q1+Qg_Q2)*Fsw, (Qg_Q3+Qg_Q4)*Fsw, (Qg_Q1+Qg_Q2+Qg_Q3+Qg_Q4)*Fsw/2)*IF(Vout&gt;8, Vout, H73)</f>
        <v>0.40226399999999995</v>
      </c>
      <c r="AZ73" s="386">
        <f t="shared" ref="AZ73:AZ136" si="95">(Vin-Vdd)*Fsw*(Qg_Q1+Qg_Q2)+(RdsonDRT+RdsonDRT2)*Fsw*Qg_Q1*Vdd/(RdsonDRT+2*Rgate1+RdsonDRT2)+(RdsonDRB+RdsonDRB2)*Fsw*Qg_Q2*Vdd/(RdsonDRB+2*Rgate2+RdsonDRB2)</f>
        <v>0.30415082926829268</v>
      </c>
      <c r="BA73" s="386">
        <f t="shared" si="56"/>
        <v>0.43826399999999999</v>
      </c>
      <c r="BB73" s="386">
        <f t="shared" si="57"/>
        <v>1.938307021277238</v>
      </c>
      <c r="BC73">
        <f t="shared" ref="BC73:BC136" si="96">Vout*K73</f>
        <v>48</v>
      </c>
      <c r="BD73" s="604">
        <f t="shared" si="50"/>
        <v>0.9611859685100782</v>
      </c>
      <c r="BE73" s="614">
        <f t="shared" ref="BE73:BE136" si="97">IF(H73&gt;Vout,ThetaJA_Q1*(AE73+AU73),ThetaJA_Q4*(AN73+AU73))</f>
        <v>27.371155572945725</v>
      </c>
      <c r="BF73" s="614">
        <f t="shared" ref="BF73:BF136" si="98">IF(H73&gt;Vout, AI73*ThetaJA_Q2, ThetaJA_Q3*AR73)</f>
        <v>14.310867721048437</v>
      </c>
      <c r="BG73" s="9"/>
      <c r="BH73" s="4">
        <f t="shared" si="51"/>
        <v>96.118596851007823</v>
      </c>
      <c r="BI73" s="386">
        <f t="shared" si="52"/>
        <v>0.34417020926342595</v>
      </c>
      <c r="BJ73" s="386">
        <f t="shared" si="53"/>
        <v>0.88913939959860233</v>
      </c>
      <c r="BK73" s="386">
        <f t="shared" si="54"/>
        <v>0.26822869863876619</v>
      </c>
      <c r="BL73" s="386">
        <f t="shared" si="55"/>
        <v>7.7095437524889066E-2</v>
      </c>
      <c r="BR73" s="18"/>
      <c r="BS73" s="19"/>
    </row>
    <row r="74" spans="1:71" x14ac:dyDescent="0.2">
      <c r="A74" s="14" t="s">
        <v>118</v>
      </c>
      <c r="B74" s="15" t="s">
        <v>8</v>
      </c>
      <c r="C74" s="17" t="s">
        <v>80</v>
      </c>
      <c r="G74">
        <v>65</v>
      </c>
      <c r="H74" s="610">
        <f t="shared" si="59"/>
        <v>17.774999999999999</v>
      </c>
      <c r="I74" s="4" t="str">
        <f t="shared" si="60"/>
        <v>BUCK</v>
      </c>
      <c r="J74">
        <f t="shared" ref="J74:J137" si="99">IF(I74="BOOST",2, IF(I74="BUCK", 1,3))</f>
        <v>1</v>
      </c>
      <c r="K74">
        <f t="shared" si="61"/>
        <v>4</v>
      </c>
      <c r="L74" s="4">
        <f t="shared" si="62"/>
        <v>3.0004688232536334</v>
      </c>
      <c r="M74" s="4">
        <f t="shared" si="63"/>
        <v>4</v>
      </c>
      <c r="N74" s="386">
        <f t="shared" si="64"/>
        <v>0.68140173815531269</v>
      </c>
      <c r="O74" s="386">
        <f t="shared" ref="O74:O105" si="100">CHOOSE(J74,0,(Vout+(Rdson3+Rdcr)*L74-H74)/(Vout+(Rdson3-Rdson4-Rs)*L74),IF(H74&gt;Vout,D_min_boost_exitBB_to_buck, (Vout-H74*D_max_buck_BB)/Vout))</f>
        <v>0</v>
      </c>
      <c r="P74" s="4">
        <f t="shared" si="65"/>
        <v>2.2264870365417577</v>
      </c>
      <c r="Q74" s="386">
        <f t="shared" si="66"/>
        <v>4.051308888535166</v>
      </c>
      <c r="R74" s="386">
        <f t="shared" ref="R74:R109" si="101">(Q74^2*Rdcr*(1+Ltc*Ta-Ltc*25))/(1-Q74^2*Rdcr*Ltc*ThetaCa)</f>
        <v>0.22047428159145335</v>
      </c>
      <c r="S74" s="386">
        <f t="shared" si="67"/>
        <v>0.12866297806729823</v>
      </c>
      <c r="T74" s="386">
        <f t="shared" ref="T74:T109" si="102">R74+S74</f>
        <v>0.34913725965875159</v>
      </c>
      <c r="U74" s="4">
        <f t="shared" si="68"/>
        <v>0.64273144494729806</v>
      </c>
      <c r="V74" s="386">
        <f t="shared" ref="V74:V109" si="103">RCoutEsr*U74^2</f>
        <v>1.1153800178749123E-2</v>
      </c>
      <c r="W74" s="386">
        <f t="shared" ref="W74:W109" si="104">V74</f>
        <v>1.1153800178749123E-2</v>
      </c>
      <c r="X74" s="386">
        <f t="shared" si="69"/>
        <v>1.8876378474737561</v>
      </c>
      <c r="Y74" s="386">
        <f t="shared" ref="Y74:Y109" si="105">RCinEsr*X74^2</f>
        <v>0.11402165258289136</v>
      </c>
      <c r="Z74" s="603">
        <f t="shared" ref="Z74:Z109" si="106">Y74</f>
        <v>0.11402165258289136</v>
      </c>
      <c r="AA74" s="386">
        <f t="shared" si="70"/>
        <v>3.3442364445024242</v>
      </c>
      <c r="AB74" s="386">
        <f t="shared" si="71"/>
        <v>0.11183917396738215</v>
      </c>
      <c r="AC74" s="386">
        <f t="shared" si="72"/>
        <v>0.28573938120831255</v>
      </c>
      <c r="AD74">
        <f t="shared" si="73"/>
        <v>0</v>
      </c>
      <c r="AE74" s="386">
        <f t="shared" si="74"/>
        <v>0.40816919405209334</v>
      </c>
      <c r="AF74" s="386">
        <f t="shared" si="75"/>
        <v>2.2867414181725549</v>
      </c>
      <c r="AG74" s="386">
        <f t="shared" si="76"/>
        <v>5.2291863135858277E-2</v>
      </c>
      <c r="AH74" s="386">
        <f t="shared" si="77"/>
        <v>0.19239999999999999</v>
      </c>
      <c r="AI74" s="386">
        <f t="shared" si="78"/>
        <v>0.24769685004522382</v>
      </c>
      <c r="AJ74" s="386">
        <f t="shared" si="79"/>
        <v>0</v>
      </c>
      <c r="AK74" s="386">
        <f t="shared" si="80"/>
        <v>0</v>
      </c>
      <c r="AL74" s="386">
        <f t="shared" si="81"/>
        <v>0</v>
      </c>
      <c r="AM74">
        <f t="shared" si="82"/>
        <v>0</v>
      </c>
      <c r="AN74" s="386">
        <f t="shared" si="83"/>
        <v>0</v>
      </c>
      <c r="AO74" s="386">
        <f t="shared" si="84"/>
        <v>4.051308888535166</v>
      </c>
      <c r="AP74" s="386">
        <f t="shared" si="85"/>
        <v>0.16413103710324042</v>
      </c>
      <c r="AQ74" s="386">
        <f t="shared" si="86"/>
        <v>0</v>
      </c>
      <c r="AR74" s="386">
        <f t="shared" si="87"/>
        <v>0.17062828946451997</v>
      </c>
      <c r="AS74" s="386">
        <f t="shared" si="88"/>
        <v>0.16413103710324042</v>
      </c>
      <c r="AT74" s="386">
        <f t="shared" si="89"/>
        <v>0</v>
      </c>
      <c r="AU74" s="386">
        <f t="shared" si="90"/>
        <v>6.5619499999999997E-2</v>
      </c>
      <c r="AV74" s="386">
        <f t="shared" si="91"/>
        <v>7.8437794703787408E-2</v>
      </c>
      <c r="AW74" s="386">
        <f t="shared" si="92"/>
        <v>6.5920000000000006E-2</v>
      </c>
      <c r="AX74" s="386">
        <f t="shared" si="93"/>
        <v>3.6000000000000004E-2</v>
      </c>
      <c r="AY74" s="386">
        <f t="shared" si="94"/>
        <v>0.40226399999999995</v>
      </c>
      <c r="AZ74" s="386">
        <f t="shared" si="95"/>
        <v>0.30415082926829268</v>
      </c>
      <c r="BA74" s="386">
        <f t="shared" si="56"/>
        <v>0.43826399999999999</v>
      </c>
      <c r="BB74" s="386">
        <f t="shared" si="57"/>
        <v>1.9490483406860164</v>
      </c>
      <c r="BC74">
        <f t="shared" si="96"/>
        <v>48</v>
      </c>
      <c r="BD74" s="604">
        <f t="shared" ref="BD74:BD109" si="107">BC74/(BC74+BB74)</f>
        <v>0.96097926976721959</v>
      </c>
      <c r="BE74" s="614">
        <f t="shared" si="97"/>
        <v>27.479744255021412</v>
      </c>
      <c r="BF74" s="614">
        <f t="shared" si="98"/>
        <v>14.366417302622981</v>
      </c>
      <c r="BG74" s="9"/>
      <c r="BH74" s="4">
        <f t="shared" ref="BH74:BH109" si="108">BD74*100</f>
        <v>96.097926976721965</v>
      </c>
      <c r="BI74" s="386">
        <f t="shared" ref="BI74:BI109" si="109">T74</f>
        <v>0.34913725965875159</v>
      </c>
      <c r="BJ74" s="386">
        <f t="shared" ref="BJ74:BJ109" si="110">AE74+AI74+AN74+AR74+AU74</f>
        <v>0.89211383356183704</v>
      </c>
      <c r="BK74" s="386">
        <f t="shared" ref="BK74:BK109" si="111">AI74+AU74*0.33</f>
        <v>0.26935128504522382</v>
      </c>
      <c r="BL74" s="386">
        <f t="shared" ref="BL74:BL109" si="112">AV74</f>
        <v>7.8437794703787408E-2</v>
      </c>
      <c r="BR74" s="18"/>
      <c r="BS74" s="19"/>
    </row>
    <row r="75" spans="1:71" x14ac:dyDescent="0.2">
      <c r="A75" s="34" t="s">
        <v>119</v>
      </c>
      <c r="B75" s="80">
        <f>BA9</f>
        <v>0.43826399999999999</v>
      </c>
      <c r="C75" s="81" t="s">
        <v>120</v>
      </c>
      <c r="G75">
        <v>66</v>
      </c>
      <c r="H75" s="610">
        <f t="shared" si="59"/>
        <v>17.91</v>
      </c>
      <c r="I75" s="4" t="str">
        <f t="shared" si="60"/>
        <v>BUCK</v>
      </c>
      <c r="J75">
        <f t="shared" si="99"/>
        <v>1</v>
      </c>
      <c r="K75">
        <f t="shared" si="61"/>
        <v>4</v>
      </c>
      <c r="L75" s="4">
        <f t="shared" si="62"/>
        <v>2.9778522240833798</v>
      </c>
      <c r="M75" s="4">
        <f t="shared" si="63"/>
        <v>4</v>
      </c>
      <c r="N75" s="386">
        <f t="shared" si="64"/>
        <v>0.67628269337785196</v>
      </c>
      <c r="O75" s="386">
        <f t="shared" si="100"/>
        <v>0</v>
      </c>
      <c r="P75" s="4">
        <f t="shared" si="65"/>
        <v>2.2622608878192296</v>
      </c>
      <c r="Q75" s="386">
        <f t="shared" si="66"/>
        <v>4.0529600738694329</v>
      </c>
      <c r="R75" s="386">
        <f t="shared" si="101"/>
        <v>0.2206572080082547</v>
      </c>
      <c r="S75" s="386">
        <f t="shared" si="67"/>
        <v>0.13347596729093997</v>
      </c>
      <c r="T75" s="386">
        <f t="shared" si="102"/>
        <v>0.35413317529919464</v>
      </c>
      <c r="U75" s="4">
        <f t="shared" si="68"/>
        <v>0.65305846627979702</v>
      </c>
      <c r="V75" s="386">
        <f t="shared" si="103"/>
        <v>1.1515104730252461E-2</v>
      </c>
      <c r="W75" s="386">
        <f t="shared" si="104"/>
        <v>1.1515104730252461E-2</v>
      </c>
      <c r="X75" s="386">
        <f t="shared" si="69"/>
        <v>1.8963540410486464</v>
      </c>
      <c r="Y75" s="386">
        <f t="shared" si="105"/>
        <v>0.115077076768049</v>
      </c>
      <c r="Z75" s="603">
        <f t="shared" si="106"/>
        <v>0.115077076768049</v>
      </c>
      <c r="AA75" s="386">
        <f t="shared" si="70"/>
        <v>3.3330088152072821</v>
      </c>
      <c r="AB75" s="386">
        <f t="shared" si="71"/>
        <v>0.11108947762249451</v>
      </c>
      <c r="AC75" s="386">
        <f t="shared" si="72"/>
        <v>0.28790955372381871</v>
      </c>
      <c r="AD75">
        <f t="shared" si="73"/>
        <v>0</v>
      </c>
      <c r="AE75" s="386">
        <f t="shared" si="74"/>
        <v>0.40955437753751972</v>
      </c>
      <c r="AF75" s="386">
        <f t="shared" si="75"/>
        <v>2.3059786638497477</v>
      </c>
      <c r="AG75" s="386">
        <f t="shared" si="76"/>
        <v>5.3175375981302675E-2</v>
      </c>
      <c r="AH75" s="386">
        <f t="shared" si="77"/>
        <v>0.19239999999999999</v>
      </c>
      <c r="AI75" s="386">
        <f t="shared" si="78"/>
        <v>0.24864280449172585</v>
      </c>
      <c r="AJ75" s="386">
        <f t="shared" si="79"/>
        <v>0</v>
      </c>
      <c r="AK75" s="386">
        <f t="shared" si="80"/>
        <v>0</v>
      </c>
      <c r="AL75" s="386">
        <f t="shared" si="81"/>
        <v>0</v>
      </c>
      <c r="AM75">
        <f t="shared" si="82"/>
        <v>0</v>
      </c>
      <c r="AN75" s="386">
        <f t="shared" si="83"/>
        <v>0</v>
      </c>
      <c r="AO75" s="386">
        <f t="shared" si="84"/>
        <v>4.0529600738694329</v>
      </c>
      <c r="AP75" s="386">
        <f t="shared" si="85"/>
        <v>0.1642648536037972</v>
      </c>
      <c r="AQ75" s="386">
        <f t="shared" si="86"/>
        <v>0</v>
      </c>
      <c r="AR75" s="386">
        <f t="shared" si="87"/>
        <v>0.17077291478418952</v>
      </c>
      <c r="AS75" s="386">
        <f t="shared" si="88"/>
        <v>0.1642648536037972</v>
      </c>
      <c r="AT75" s="386">
        <f t="shared" si="89"/>
        <v>0</v>
      </c>
      <c r="AU75" s="386">
        <f t="shared" si="90"/>
        <v>6.6119000000000011E-2</v>
      </c>
      <c r="AV75" s="386">
        <f t="shared" si="91"/>
        <v>7.9763063971954012E-2</v>
      </c>
      <c r="AW75" s="386">
        <f t="shared" si="92"/>
        <v>6.5920000000000006E-2</v>
      </c>
      <c r="AX75" s="386">
        <f t="shared" si="93"/>
        <v>3.6000000000000004E-2</v>
      </c>
      <c r="AY75" s="386">
        <f t="shared" si="94"/>
        <v>0.40226399999999995</v>
      </c>
      <c r="AZ75" s="386">
        <f t="shared" si="95"/>
        <v>0.30415082926829268</v>
      </c>
      <c r="BA75" s="386">
        <f t="shared" ref="BA75:BA109" si="113">SUM(AX75:AY75)</f>
        <v>0.43826399999999999</v>
      </c>
      <c r="BB75" s="386">
        <f t="shared" ref="BB75:BB109" si="114">SUM(T75,W75,Z75,AE75,AI75,AN75,AR75, AT75,AU75,BA75,AV75,AW75)</f>
        <v>1.9597615175828851</v>
      </c>
      <c r="BC75">
        <f t="shared" si="96"/>
        <v>48</v>
      </c>
      <c r="BD75" s="604">
        <f t="shared" si="107"/>
        <v>0.96077320111119502</v>
      </c>
      <c r="BE75" s="614">
        <f t="shared" si="97"/>
        <v>27.589055897176141</v>
      </c>
      <c r="BF75" s="614">
        <f t="shared" si="98"/>
        <v>14.421282660520099</v>
      </c>
      <c r="BG75" s="9"/>
      <c r="BH75" s="4">
        <f t="shared" si="108"/>
        <v>96.077320111119505</v>
      </c>
      <c r="BI75" s="386">
        <f t="shared" si="109"/>
        <v>0.35413317529919464</v>
      </c>
      <c r="BJ75" s="386">
        <f t="shared" si="110"/>
        <v>0.89508909681343518</v>
      </c>
      <c r="BK75" s="386">
        <f t="shared" si="111"/>
        <v>0.27046207449172588</v>
      </c>
      <c r="BL75" s="386">
        <f t="shared" si="112"/>
        <v>7.9763063971954012E-2</v>
      </c>
      <c r="BR75" s="18"/>
      <c r="BS75" s="19"/>
    </row>
    <row r="76" spans="1:71" x14ac:dyDescent="0.2">
      <c r="A76" s="34" t="s">
        <v>123</v>
      </c>
      <c r="B76" s="79">
        <f>B75*B62</f>
        <v>13.147919999999999</v>
      </c>
      <c r="C76" s="482" t="s">
        <v>673</v>
      </c>
      <c r="G76">
        <v>67</v>
      </c>
      <c r="H76" s="610">
        <f t="shared" si="59"/>
        <v>18.045000000000002</v>
      </c>
      <c r="I76" s="4" t="str">
        <f t="shared" si="60"/>
        <v>BUCK</v>
      </c>
      <c r="J76">
        <f t="shared" si="99"/>
        <v>1</v>
      </c>
      <c r="K76">
        <f t="shared" si="61"/>
        <v>4</v>
      </c>
      <c r="L76" s="4">
        <f t="shared" si="62"/>
        <v>2.9555740278932299</v>
      </c>
      <c r="M76" s="4">
        <f t="shared" si="63"/>
        <v>4</v>
      </c>
      <c r="N76" s="386">
        <f t="shared" si="64"/>
        <v>0.6712399889533277</v>
      </c>
      <c r="O76" s="386">
        <f t="shared" si="100"/>
        <v>0</v>
      </c>
      <c r="P76" s="4">
        <f t="shared" si="65"/>
        <v>2.2975012433858528</v>
      </c>
      <c r="Q76" s="386">
        <f t="shared" si="66"/>
        <v>4.0546116949649607</v>
      </c>
      <c r="R76" s="386">
        <f t="shared" si="101"/>
        <v>0.22084026253668093</v>
      </c>
      <c r="S76" s="386">
        <f t="shared" si="67"/>
        <v>0.1383152243724014</v>
      </c>
      <c r="T76" s="386">
        <f t="shared" si="102"/>
        <v>0.35915548690908233</v>
      </c>
      <c r="U76" s="4">
        <f t="shared" si="68"/>
        <v>0.663231480666161</v>
      </c>
      <c r="V76" s="386">
        <f t="shared" si="103"/>
        <v>1.1876651917558963E-2</v>
      </c>
      <c r="W76" s="386">
        <f t="shared" si="104"/>
        <v>1.1876651917558963E-2</v>
      </c>
      <c r="X76" s="386">
        <f t="shared" si="69"/>
        <v>1.90470478432949</v>
      </c>
      <c r="Y76" s="386">
        <f t="shared" si="105"/>
        <v>0.11609281009432476</v>
      </c>
      <c r="Z76" s="603">
        <f t="shared" si="106"/>
        <v>0.11609281009432476</v>
      </c>
      <c r="AA76" s="386">
        <f t="shared" si="70"/>
        <v>3.3219124284942452</v>
      </c>
      <c r="AB76" s="386">
        <f t="shared" si="71"/>
        <v>0.11035102182584534</v>
      </c>
      <c r="AC76" s="386">
        <f t="shared" si="72"/>
        <v>0.29007972623932493</v>
      </c>
      <c r="AD76">
        <f t="shared" si="73"/>
        <v>0</v>
      </c>
      <c r="AE76" s="386">
        <f t="shared" si="74"/>
        <v>0.41095170220535843</v>
      </c>
      <c r="AF76" s="386">
        <f t="shared" si="75"/>
        <v>2.3248169421186899</v>
      </c>
      <c r="AG76" s="386">
        <f t="shared" si="76"/>
        <v>5.4047738143620967E-2</v>
      </c>
      <c r="AH76" s="386">
        <f t="shared" si="77"/>
        <v>0.19239999999999999</v>
      </c>
      <c r="AI76" s="386">
        <f t="shared" si="78"/>
        <v>0.24957720550394999</v>
      </c>
      <c r="AJ76" s="386">
        <f t="shared" si="79"/>
        <v>0</v>
      </c>
      <c r="AK76" s="386">
        <f t="shared" si="80"/>
        <v>0</v>
      </c>
      <c r="AL76" s="386">
        <f t="shared" si="81"/>
        <v>0</v>
      </c>
      <c r="AM76">
        <f t="shared" si="82"/>
        <v>0</v>
      </c>
      <c r="AN76" s="386">
        <f t="shared" si="83"/>
        <v>0</v>
      </c>
      <c r="AO76" s="386">
        <f t="shared" si="84"/>
        <v>4.0546116949649607</v>
      </c>
      <c r="AP76" s="386">
        <f t="shared" si="85"/>
        <v>0.16439875996946632</v>
      </c>
      <c r="AQ76" s="386">
        <f t="shared" si="86"/>
        <v>0</v>
      </c>
      <c r="AR76" s="386">
        <f t="shared" si="87"/>
        <v>0.17091764657308159</v>
      </c>
      <c r="AS76" s="386">
        <f t="shared" si="88"/>
        <v>0.16439875996946632</v>
      </c>
      <c r="AT76" s="386">
        <f t="shared" si="89"/>
        <v>0</v>
      </c>
      <c r="AU76" s="386">
        <f t="shared" si="90"/>
        <v>6.6618500000000011E-2</v>
      </c>
      <c r="AV76" s="386">
        <f t="shared" si="91"/>
        <v>8.107160721543144E-2</v>
      </c>
      <c r="AW76" s="386">
        <f t="shared" si="92"/>
        <v>6.5920000000000006E-2</v>
      </c>
      <c r="AX76" s="386">
        <f t="shared" si="93"/>
        <v>3.6000000000000004E-2</v>
      </c>
      <c r="AY76" s="386">
        <f t="shared" si="94"/>
        <v>0.40226399999999995</v>
      </c>
      <c r="AZ76" s="386">
        <f t="shared" si="95"/>
        <v>0.30415082926829268</v>
      </c>
      <c r="BA76" s="386">
        <f t="shared" si="113"/>
        <v>0.43826399999999999</v>
      </c>
      <c r="BB76" s="386">
        <f t="shared" si="114"/>
        <v>1.9704456104187873</v>
      </c>
      <c r="BC76">
        <f t="shared" si="96"/>
        <v>48</v>
      </c>
      <c r="BD76" s="604">
        <f t="shared" si="107"/>
        <v>0.96056777988771924</v>
      </c>
      <c r="BE76" s="614">
        <f t="shared" si="97"/>
        <v>27.699071727910791</v>
      </c>
      <c r="BF76" s="614">
        <f t="shared" si="98"/>
        <v>14.4754779192291</v>
      </c>
      <c r="BG76" s="9"/>
      <c r="BH76" s="4">
        <f t="shared" si="108"/>
        <v>96.056777988771927</v>
      </c>
      <c r="BI76" s="386">
        <f t="shared" si="109"/>
        <v>0.35915548690908233</v>
      </c>
      <c r="BJ76" s="386">
        <f t="shared" si="110"/>
        <v>0.89806505428239003</v>
      </c>
      <c r="BK76" s="386">
        <f t="shared" si="111"/>
        <v>0.27156131050394999</v>
      </c>
      <c r="BL76" s="386">
        <f t="shared" si="112"/>
        <v>8.107160721543144E-2</v>
      </c>
      <c r="BR76" s="18"/>
      <c r="BS76" s="19"/>
    </row>
    <row r="77" spans="1:71" x14ac:dyDescent="0.2">
      <c r="A77" s="34" t="s">
        <v>246</v>
      </c>
      <c r="B77" s="79">
        <f>(Qg_Q1+Qg_Q2)*Fsw+Iq</f>
        <v>3.6521999999999999E-2</v>
      </c>
      <c r="C77" s="21" t="s">
        <v>2</v>
      </c>
      <c r="G77">
        <v>68</v>
      </c>
      <c r="H77" s="610">
        <f t="shared" si="59"/>
        <v>18.18</v>
      </c>
      <c r="I77" s="4" t="str">
        <f t="shared" si="60"/>
        <v>BUCK</v>
      </c>
      <c r="J77">
        <f t="shared" si="99"/>
        <v>1</v>
      </c>
      <c r="K77">
        <f t="shared" si="61"/>
        <v>4</v>
      </c>
      <c r="L77" s="4">
        <f t="shared" si="62"/>
        <v>2.9336266960029334</v>
      </c>
      <c r="M77" s="4">
        <f t="shared" si="63"/>
        <v>4</v>
      </c>
      <c r="N77" s="386">
        <f t="shared" si="64"/>
        <v>0.6662719298245614</v>
      </c>
      <c r="O77" s="386">
        <f t="shared" si="100"/>
        <v>0</v>
      </c>
      <c r="P77" s="4">
        <f t="shared" si="65"/>
        <v>2.3322199489523117</v>
      </c>
      <c r="Q77" s="386">
        <f t="shared" si="66"/>
        <v>4.0562631601254528</v>
      </c>
      <c r="R77" s="386">
        <f t="shared" si="101"/>
        <v>0.22102337962406518</v>
      </c>
      <c r="S77" s="386">
        <f t="shared" si="67"/>
        <v>0.14317845352194603</v>
      </c>
      <c r="T77" s="386">
        <f t="shared" si="102"/>
        <v>0.36420183314601118</v>
      </c>
      <c r="U77" s="4">
        <f t="shared" si="68"/>
        <v>0.67325390766851623</v>
      </c>
      <c r="V77" s="386">
        <f t="shared" si="103"/>
        <v>1.2238312253155028E-2</v>
      </c>
      <c r="W77" s="386">
        <f t="shared" si="104"/>
        <v>1.2238312253155028E-2</v>
      </c>
      <c r="X77" s="386">
        <f t="shared" si="69"/>
        <v>1.9127061315657992</v>
      </c>
      <c r="Y77" s="386">
        <f t="shared" si="105"/>
        <v>0.11707023186334094</v>
      </c>
      <c r="Z77" s="603">
        <f t="shared" si="106"/>
        <v>0.11707023186334094</v>
      </c>
      <c r="AA77" s="386">
        <f t="shared" si="70"/>
        <v>3.3109443522898174</v>
      </c>
      <c r="AB77" s="386">
        <f t="shared" si="71"/>
        <v>0.10962352503959838</v>
      </c>
      <c r="AC77" s="386">
        <f t="shared" si="72"/>
        <v>0.29224989875483109</v>
      </c>
      <c r="AD77">
        <f t="shared" si="73"/>
        <v>0</v>
      </c>
      <c r="AE77" s="386">
        <f t="shared" si="74"/>
        <v>0.41236085634782699</v>
      </c>
      <c r="AF77" s="386">
        <f t="shared" si="75"/>
        <v>2.3432708593398002</v>
      </c>
      <c r="AG77" s="386">
        <f t="shared" si="76"/>
        <v>5.4909183202310863E-2</v>
      </c>
      <c r="AH77" s="386">
        <f t="shared" si="77"/>
        <v>0.19239999999999999</v>
      </c>
      <c r="AI77" s="386">
        <f t="shared" si="78"/>
        <v>0.2505002889745227</v>
      </c>
      <c r="AJ77" s="386">
        <f t="shared" si="79"/>
        <v>0</v>
      </c>
      <c r="AK77" s="386">
        <f t="shared" si="80"/>
        <v>0</v>
      </c>
      <c r="AL77" s="386">
        <f t="shared" si="81"/>
        <v>0</v>
      </c>
      <c r="AM77">
        <f t="shared" si="82"/>
        <v>0</v>
      </c>
      <c r="AN77" s="386">
        <f t="shared" si="83"/>
        <v>0</v>
      </c>
      <c r="AO77" s="386">
        <f t="shared" si="84"/>
        <v>4.0562631601254528</v>
      </c>
      <c r="AP77" s="386">
        <f t="shared" si="85"/>
        <v>0.16453270824190927</v>
      </c>
      <c r="AQ77" s="386">
        <f t="shared" si="86"/>
        <v>0</v>
      </c>
      <c r="AR77" s="386">
        <f t="shared" si="87"/>
        <v>0.17106243301045446</v>
      </c>
      <c r="AS77" s="386">
        <f t="shared" si="88"/>
        <v>0.16453270824190927</v>
      </c>
      <c r="AT77" s="386">
        <f t="shared" si="89"/>
        <v>0</v>
      </c>
      <c r="AU77" s="386">
        <f t="shared" si="90"/>
        <v>6.7118000000000011E-2</v>
      </c>
      <c r="AV77" s="386">
        <f t="shared" si="91"/>
        <v>8.236377480346628E-2</v>
      </c>
      <c r="AW77" s="386">
        <f t="shared" si="92"/>
        <v>6.5920000000000006E-2</v>
      </c>
      <c r="AX77" s="386">
        <f t="shared" si="93"/>
        <v>3.6000000000000004E-2</v>
      </c>
      <c r="AY77" s="386">
        <f t="shared" si="94"/>
        <v>0.40226399999999995</v>
      </c>
      <c r="AZ77" s="386">
        <f t="shared" si="95"/>
        <v>0.30415082926829268</v>
      </c>
      <c r="BA77" s="386">
        <f t="shared" si="113"/>
        <v>0.43826399999999999</v>
      </c>
      <c r="BB77" s="386">
        <f t="shared" si="114"/>
        <v>1.9810997303987774</v>
      </c>
      <c r="BC77">
        <f t="shared" si="96"/>
        <v>48</v>
      </c>
      <c r="BD77" s="604">
        <f t="shared" si="107"/>
        <v>0.96036302240076843</v>
      </c>
      <c r="BE77" s="614">
        <f t="shared" si="97"/>
        <v>27.809773668173968</v>
      </c>
      <c r="BF77" s="614">
        <f t="shared" si="98"/>
        <v>14.529016760522317</v>
      </c>
      <c r="BG77" s="9"/>
      <c r="BH77" s="4">
        <f t="shared" si="108"/>
        <v>96.03630224007685</v>
      </c>
      <c r="BI77" s="386">
        <f t="shared" si="109"/>
        <v>0.36420183314601118</v>
      </c>
      <c r="BJ77" s="386">
        <f t="shared" si="110"/>
        <v>0.90104157833280407</v>
      </c>
      <c r="BK77" s="386">
        <f t="shared" si="111"/>
        <v>0.27264922897452271</v>
      </c>
      <c r="BL77" s="386">
        <f t="shared" si="112"/>
        <v>8.236377480346628E-2</v>
      </c>
      <c r="BR77" s="18"/>
      <c r="BS77" s="19"/>
    </row>
    <row r="78" spans="1:71" x14ac:dyDescent="0.2">
      <c r="A78" s="34" t="s">
        <v>247</v>
      </c>
      <c r="B78" s="78">
        <f>Qrr_Q2*Fsw</f>
        <v>3.7000000000000002E-3</v>
      </c>
      <c r="C78" s="21" t="s">
        <v>2</v>
      </c>
      <c r="G78">
        <v>69</v>
      </c>
      <c r="H78" s="610">
        <f t="shared" si="59"/>
        <v>18.314999999999998</v>
      </c>
      <c r="I78" s="4" t="str">
        <f t="shared" si="60"/>
        <v>BUCK</v>
      </c>
      <c r="J78">
        <f t="shared" si="99"/>
        <v>1</v>
      </c>
      <c r="K78">
        <f t="shared" si="61"/>
        <v>4</v>
      </c>
      <c r="L78" s="4">
        <f t="shared" si="62"/>
        <v>2.9120029120029121</v>
      </c>
      <c r="M78" s="4">
        <f t="shared" si="63"/>
        <v>4</v>
      </c>
      <c r="N78" s="386">
        <f t="shared" si="64"/>
        <v>0.66137687074829943</v>
      </c>
      <c r="O78" s="386">
        <f t="shared" si="100"/>
        <v>0</v>
      </c>
      <c r="P78" s="4">
        <f t="shared" si="65"/>
        <v>2.366428502110447</v>
      </c>
      <c r="Q78" s="386">
        <f t="shared" si="66"/>
        <v>4.057913912504806</v>
      </c>
      <c r="R78" s="386">
        <f t="shared" si="101"/>
        <v>0.22120649747009924</v>
      </c>
      <c r="S78" s="386">
        <f t="shared" si="67"/>
        <v>0.14806345887191572</v>
      </c>
      <c r="T78" s="386">
        <f t="shared" si="102"/>
        <v>0.36926995634201498</v>
      </c>
      <c r="U78" s="4">
        <f t="shared" si="68"/>
        <v>0.68312906635573478</v>
      </c>
      <c r="V78" s="386">
        <f t="shared" si="103"/>
        <v>1.2599963675101564E-2</v>
      </c>
      <c r="W78" s="386">
        <f t="shared" si="104"/>
        <v>1.2599963675101564E-2</v>
      </c>
      <c r="X78" s="386">
        <f t="shared" si="69"/>
        <v>1.9203732165134806</v>
      </c>
      <c r="Y78" s="386">
        <f t="shared" si="105"/>
        <v>0.11801066530247462</v>
      </c>
      <c r="Z78" s="603">
        <f t="shared" si="106"/>
        <v>0.11801066530247462</v>
      </c>
      <c r="AA78" s="386">
        <f t="shared" si="70"/>
        <v>3.3001017532586743</v>
      </c>
      <c r="AB78" s="386">
        <f t="shared" si="71"/>
        <v>0.10890671581860976</v>
      </c>
      <c r="AC78" s="386">
        <f t="shared" si="72"/>
        <v>0.2944200712703372</v>
      </c>
      <c r="AD78">
        <f t="shared" si="73"/>
        <v>0</v>
      </c>
      <c r="AE78" s="386">
        <f t="shared" si="74"/>
        <v>0.41378153963201114</v>
      </c>
      <c r="AF78" s="386">
        <f t="shared" si="75"/>
        <v>2.3613542172742927</v>
      </c>
      <c r="AG78" s="386">
        <f t="shared" si="76"/>
        <v>5.5759937394390877E-2</v>
      </c>
      <c r="AH78" s="386">
        <f t="shared" si="77"/>
        <v>0.19239999999999999</v>
      </c>
      <c r="AI78" s="386">
        <f t="shared" si="78"/>
        <v>0.25141228349396144</v>
      </c>
      <c r="AJ78" s="386">
        <f t="shared" si="79"/>
        <v>0</v>
      </c>
      <c r="AK78" s="386">
        <f t="shared" si="80"/>
        <v>0</v>
      </c>
      <c r="AL78" s="386">
        <f t="shared" si="81"/>
        <v>0</v>
      </c>
      <c r="AM78">
        <f t="shared" si="82"/>
        <v>0</v>
      </c>
      <c r="AN78" s="386">
        <f t="shared" si="83"/>
        <v>0</v>
      </c>
      <c r="AO78" s="386">
        <f t="shared" si="84"/>
        <v>4.057913912504806</v>
      </c>
      <c r="AP78" s="386">
        <f t="shared" si="85"/>
        <v>0.16466665321300064</v>
      </c>
      <c r="AQ78" s="386">
        <f t="shared" si="86"/>
        <v>0</v>
      </c>
      <c r="AR78" s="386">
        <f t="shared" si="87"/>
        <v>0.17120722523520548</v>
      </c>
      <c r="AS78" s="386">
        <f t="shared" si="88"/>
        <v>0.16466665321300064</v>
      </c>
      <c r="AT78" s="386">
        <f t="shared" si="89"/>
        <v>0</v>
      </c>
      <c r="AU78" s="386">
        <f t="shared" si="90"/>
        <v>6.7617499999999997E-2</v>
      </c>
      <c r="AV78" s="386">
        <f t="shared" si="91"/>
        <v>8.3639906091586308E-2</v>
      </c>
      <c r="AW78" s="386">
        <f t="shared" si="92"/>
        <v>6.5920000000000006E-2</v>
      </c>
      <c r="AX78" s="386">
        <f t="shared" si="93"/>
        <v>3.6000000000000004E-2</v>
      </c>
      <c r="AY78" s="386">
        <f t="shared" si="94"/>
        <v>0.40226399999999995</v>
      </c>
      <c r="AZ78" s="386">
        <f t="shared" si="95"/>
        <v>0.30415082926829268</v>
      </c>
      <c r="BA78" s="386">
        <f t="shared" si="113"/>
        <v>0.43826399999999999</v>
      </c>
      <c r="BB78" s="386">
        <f t="shared" si="114"/>
        <v>1.9917230397723553</v>
      </c>
      <c r="BC78">
        <f t="shared" si="96"/>
        <v>48</v>
      </c>
      <c r="BD78" s="604">
        <f t="shared" si="107"/>
        <v>0.96015894394782553</v>
      </c>
      <c r="BE78" s="614">
        <f t="shared" si="97"/>
        <v>27.921144298656646</v>
      </c>
      <c r="BF78" s="614">
        <f t="shared" si="98"/>
        <v>14.581912442649763</v>
      </c>
      <c r="BG78" s="9"/>
      <c r="BH78" s="4">
        <f t="shared" si="108"/>
        <v>96.015894394782549</v>
      </c>
      <c r="BI78" s="386">
        <f t="shared" si="109"/>
        <v>0.36926995634201498</v>
      </c>
      <c r="BJ78" s="386">
        <f t="shared" si="110"/>
        <v>0.90401854836117812</v>
      </c>
      <c r="BK78" s="386">
        <f t="shared" si="111"/>
        <v>0.27372605849396142</v>
      </c>
      <c r="BL78" s="386">
        <f t="shared" si="112"/>
        <v>8.3639906091586308E-2</v>
      </c>
      <c r="BR78" s="18"/>
      <c r="BS78" s="19"/>
    </row>
    <row r="79" spans="1:71" x14ac:dyDescent="0.2">
      <c r="A79" s="34" t="s">
        <v>248</v>
      </c>
      <c r="B79" s="78" t="e">
        <f>C79/Vin</f>
        <v>#NAME?</v>
      </c>
      <c r="C79" s="21" t="e">
        <f>Deadtime*Fsw*(Iripple_Vinnom/2)*(VsdTop+VsdBot)</f>
        <v>#NAME?</v>
      </c>
      <c r="G79">
        <v>70</v>
      </c>
      <c r="H79" s="610">
        <f t="shared" si="59"/>
        <v>18.45</v>
      </c>
      <c r="I79" s="4" t="str">
        <f t="shared" si="60"/>
        <v>BUCK</v>
      </c>
      <c r="J79">
        <f t="shared" si="99"/>
        <v>1</v>
      </c>
      <c r="K79">
        <f t="shared" si="61"/>
        <v>4</v>
      </c>
      <c r="L79" s="4">
        <f t="shared" si="62"/>
        <v>2.8906955736224029</v>
      </c>
      <c r="M79" s="4">
        <f t="shared" si="63"/>
        <v>4</v>
      </c>
      <c r="N79" s="386">
        <f t="shared" si="64"/>
        <v>0.65655321447866022</v>
      </c>
      <c r="O79" s="386">
        <f t="shared" si="100"/>
        <v>0</v>
      </c>
      <c r="P79" s="4">
        <f t="shared" si="65"/>
        <v>2.4001380650280262</v>
      </c>
      <c r="Q79" s="386">
        <f t="shared" si="66"/>
        <v>4.0595634282025586</v>
      </c>
      <c r="R79" s="386">
        <f t="shared" si="101"/>
        <v>0.22138955782389391</v>
      </c>
      <c r="S79" s="386">
        <f t="shared" si="67"/>
        <v>0.15296814055554864</v>
      </c>
      <c r="T79" s="386">
        <f t="shared" si="102"/>
        <v>0.37435769837944255</v>
      </c>
      <c r="U79" s="4">
        <f t="shared" si="68"/>
        <v>0.69286017896809926</v>
      </c>
      <c r="V79" s="386">
        <f t="shared" si="103"/>
        <v>1.2961491145192076E-2</v>
      </c>
      <c r="W79" s="386">
        <f t="shared" si="104"/>
        <v>1.2961491145192076E-2</v>
      </c>
      <c r="X79" s="386">
        <f t="shared" si="69"/>
        <v>1.9277203203814506</v>
      </c>
      <c r="Y79" s="386">
        <f t="shared" si="105"/>
        <v>0.11891538027557</v>
      </c>
      <c r="Z79" s="603">
        <f t="shared" si="106"/>
        <v>0.11891538027557</v>
      </c>
      <c r="AA79" s="386">
        <f t="shared" si="70"/>
        <v>3.2893818924634517</v>
      </c>
      <c r="AB79" s="386">
        <f t="shared" si="71"/>
        <v>0.1082003323446644</v>
      </c>
      <c r="AC79" s="386">
        <f t="shared" si="72"/>
        <v>0.29659024378584342</v>
      </c>
      <c r="AD79">
        <f t="shared" si="73"/>
        <v>0</v>
      </c>
      <c r="AE79" s="386">
        <f t="shared" si="74"/>
        <v>0.41521346256787478</v>
      </c>
      <c r="AF79" s="386">
        <f t="shared" si="75"/>
        <v>2.3790800728712918</v>
      </c>
      <c r="AG79" s="386">
        <f t="shared" si="76"/>
        <v>5.6600219931332713E-2</v>
      </c>
      <c r="AH79" s="386">
        <f t="shared" si="77"/>
        <v>0.19239999999999999</v>
      </c>
      <c r="AI79" s="386">
        <f t="shared" si="78"/>
        <v>0.25231341066349411</v>
      </c>
      <c r="AJ79" s="386">
        <f t="shared" si="79"/>
        <v>0</v>
      </c>
      <c r="AK79" s="386">
        <f t="shared" si="80"/>
        <v>0</v>
      </c>
      <c r="AL79" s="386">
        <f t="shared" si="81"/>
        <v>0</v>
      </c>
      <c r="AM79">
        <f t="shared" si="82"/>
        <v>0</v>
      </c>
      <c r="AN79" s="386">
        <f t="shared" si="83"/>
        <v>0</v>
      </c>
      <c r="AO79" s="386">
        <f t="shared" si="84"/>
        <v>4.0595634282025586</v>
      </c>
      <c r="AP79" s="386">
        <f t="shared" si="85"/>
        <v>0.1648005522759971</v>
      </c>
      <c r="AQ79" s="386">
        <f t="shared" si="86"/>
        <v>0</v>
      </c>
      <c r="AR79" s="386">
        <f t="shared" si="87"/>
        <v>0.17135197718592438</v>
      </c>
      <c r="AS79" s="386">
        <f t="shared" si="88"/>
        <v>0.1648005522759971</v>
      </c>
      <c r="AT79" s="386">
        <f t="shared" si="89"/>
        <v>0</v>
      </c>
      <c r="AU79" s="386">
        <f t="shared" si="90"/>
        <v>6.8116999999999997E-2</v>
      </c>
      <c r="AV79" s="386">
        <f t="shared" si="91"/>
        <v>8.4900329896999069E-2</v>
      </c>
      <c r="AW79" s="386">
        <f t="shared" si="92"/>
        <v>6.5920000000000006E-2</v>
      </c>
      <c r="AX79" s="386">
        <f t="shared" si="93"/>
        <v>3.6000000000000004E-2</v>
      </c>
      <c r="AY79" s="386">
        <f t="shared" si="94"/>
        <v>0.40226399999999995</v>
      </c>
      <c r="AZ79" s="386">
        <f t="shared" si="95"/>
        <v>0.30415082926829268</v>
      </c>
      <c r="BA79" s="386">
        <f t="shared" si="113"/>
        <v>0.43826399999999999</v>
      </c>
      <c r="BB79" s="386">
        <f t="shared" si="114"/>
        <v>2.0023147501144969</v>
      </c>
      <c r="BC79">
        <f t="shared" si="96"/>
        <v>48</v>
      </c>
      <c r="BD79" s="604">
        <f t="shared" si="107"/>
        <v>0.95995555885520467</v>
      </c>
      <c r="BE79" s="614">
        <f t="shared" si="97"/>
        <v>28.033166828936736</v>
      </c>
      <c r="BF79" s="614">
        <f t="shared" si="98"/>
        <v>14.634177818482659</v>
      </c>
      <c r="BG79" s="9"/>
      <c r="BH79" s="4">
        <f t="shared" si="108"/>
        <v>95.995555885520474</v>
      </c>
      <c r="BI79" s="386">
        <f t="shared" si="109"/>
        <v>0.37435769837944255</v>
      </c>
      <c r="BJ79" s="386">
        <f t="shared" si="110"/>
        <v>0.90699585041729325</v>
      </c>
      <c r="BK79" s="386">
        <f t="shared" si="111"/>
        <v>0.27479202066349412</v>
      </c>
      <c r="BL79" s="386">
        <f t="shared" si="112"/>
        <v>8.4900329896999069E-2</v>
      </c>
      <c r="BR79" s="18"/>
      <c r="BS79" s="19"/>
    </row>
    <row r="80" spans="1:71" x14ac:dyDescent="0.2">
      <c r="A80" s="34" t="s">
        <v>49</v>
      </c>
      <c r="B80" s="78" t="e">
        <f>SUM(B77:B79)</f>
        <v>#NAME?</v>
      </c>
      <c r="C80" s="21" t="s">
        <v>2</v>
      </c>
      <c r="G80">
        <v>71</v>
      </c>
      <c r="H80" s="610">
        <f t="shared" si="59"/>
        <v>18.585000000000001</v>
      </c>
      <c r="I80" s="4" t="str">
        <f t="shared" si="60"/>
        <v>BUCK</v>
      </c>
      <c r="J80">
        <f t="shared" si="99"/>
        <v>1</v>
      </c>
      <c r="K80">
        <f t="shared" si="61"/>
        <v>4</v>
      </c>
      <c r="L80" s="4">
        <f t="shared" si="62"/>
        <v>2.869697784952022</v>
      </c>
      <c r="M80" s="4">
        <f t="shared" si="63"/>
        <v>4</v>
      </c>
      <c r="N80" s="386">
        <f t="shared" si="64"/>
        <v>0.65179941002949848</v>
      </c>
      <c r="O80" s="386">
        <f t="shared" si="100"/>
        <v>0</v>
      </c>
      <c r="P80" s="4">
        <f t="shared" si="65"/>
        <v>2.4333594765920128</v>
      </c>
      <c r="Q80" s="386">
        <f t="shared" si="66"/>
        <v>4.0612112144687424</v>
      </c>
      <c r="R80" s="386">
        <f t="shared" si="101"/>
        <v>0.22157250579271337</v>
      </c>
      <c r="S80" s="386">
        <f t="shared" si="67"/>
        <v>0.15789049090985255</v>
      </c>
      <c r="T80" s="386">
        <f t="shared" si="102"/>
        <v>0.37946299670256589</v>
      </c>
      <c r="U80" s="4">
        <f t="shared" si="68"/>
        <v>0.70245037442276281</v>
      </c>
      <c r="V80" s="386">
        <f t="shared" si="103"/>
        <v>1.3322786270220351E-2</v>
      </c>
      <c r="W80" s="386">
        <f t="shared" si="104"/>
        <v>1.3322786270220351E-2</v>
      </c>
      <c r="X80" s="386">
        <f t="shared" si="69"/>
        <v>1.9347609335514648</v>
      </c>
      <c r="Y80" s="386">
        <f t="shared" si="105"/>
        <v>0.11978559583990195</v>
      </c>
      <c r="Z80" s="603">
        <f t="shared" si="106"/>
        <v>0.11978559583990195</v>
      </c>
      <c r="AA80" s="386">
        <f t="shared" si="70"/>
        <v>3.2787821212536628</v>
      </c>
      <c r="AB80" s="386">
        <f t="shared" si="71"/>
        <v>0.10750412198652669</v>
      </c>
      <c r="AC80" s="386">
        <f t="shared" si="72"/>
        <v>0.29876041630134959</v>
      </c>
      <c r="AD80">
        <f t="shared" si="73"/>
        <v>0</v>
      </c>
      <c r="AE80" s="386">
        <f t="shared" si="74"/>
        <v>0.41665634600609625</v>
      </c>
      <c r="AF80" s="386">
        <f t="shared" si="75"/>
        <v>2.3964607924758563</v>
      </c>
      <c r="AG80" s="386">
        <f t="shared" si="76"/>
        <v>5.7430243298740094E-2</v>
      </c>
      <c r="AH80" s="386">
        <f t="shared" si="77"/>
        <v>0.19239999999999999</v>
      </c>
      <c r="AI80" s="386">
        <f t="shared" si="78"/>
        <v>0.25320388539092753</v>
      </c>
      <c r="AJ80" s="386">
        <f t="shared" si="79"/>
        <v>0</v>
      </c>
      <c r="AK80" s="386">
        <f t="shared" si="80"/>
        <v>0</v>
      </c>
      <c r="AL80" s="386">
        <f t="shared" si="81"/>
        <v>0</v>
      </c>
      <c r="AM80">
        <f t="shared" si="82"/>
        <v>0</v>
      </c>
      <c r="AN80" s="386">
        <f t="shared" si="83"/>
        <v>0</v>
      </c>
      <c r="AO80" s="386">
        <f t="shared" si="84"/>
        <v>4.0612112144687424</v>
      </c>
      <c r="AP80" s="386">
        <f t="shared" si="85"/>
        <v>0.16493436528526681</v>
      </c>
      <c r="AQ80" s="386">
        <f t="shared" si="86"/>
        <v>0</v>
      </c>
      <c r="AR80" s="386">
        <f t="shared" si="87"/>
        <v>0.17149664545014931</v>
      </c>
      <c r="AS80" s="386">
        <f t="shared" si="88"/>
        <v>0.16493436528526681</v>
      </c>
      <c r="AT80" s="386">
        <f t="shared" si="89"/>
        <v>0</v>
      </c>
      <c r="AU80" s="386">
        <f t="shared" si="90"/>
        <v>6.8616500000000011E-2</v>
      </c>
      <c r="AV80" s="386">
        <f t="shared" si="91"/>
        <v>8.6145364948110134E-2</v>
      </c>
      <c r="AW80" s="386">
        <f t="shared" si="92"/>
        <v>6.5920000000000006E-2</v>
      </c>
      <c r="AX80" s="386">
        <f t="shared" si="93"/>
        <v>3.6000000000000004E-2</v>
      </c>
      <c r="AY80" s="386">
        <f t="shared" si="94"/>
        <v>0.40226399999999995</v>
      </c>
      <c r="AZ80" s="386">
        <f t="shared" si="95"/>
        <v>0.30415082926829268</v>
      </c>
      <c r="BA80" s="386">
        <f t="shared" si="113"/>
        <v>0.43826399999999999</v>
      </c>
      <c r="BB80" s="386">
        <f t="shared" si="114"/>
        <v>2.0128741206079712</v>
      </c>
      <c r="BC80">
        <f t="shared" si="96"/>
        <v>48</v>
      </c>
      <c r="BD80" s="604">
        <f t="shared" si="107"/>
        <v>0.95975288051324859</v>
      </c>
      <c r="BE80" s="614">
        <f t="shared" si="97"/>
        <v>28.145825068353584</v>
      </c>
      <c r="BF80" s="614">
        <f t="shared" si="98"/>
        <v>14.685825352673797</v>
      </c>
      <c r="BG80" s="9"/>
      <c r="BH80" s="4">
        <f t="shared" si="108"/>
        <v>95.975288051324853</v>
      </c>
      <c r="BI80" s="386">
        <f t="shared" si="109"/>
        <v>0.37946299670256589</v>
      </c>
      <c r="BJ80" s="386">
        <f t="shared" si="110"/>
        <v>0.90997337684717305</v>
      </c>
      <c r="BK80" s="386">
        <f t="shared" si="111"/>
        <v>0.27584733039092751</v>
      </c>
      <c r="BL80" s="386">
        <f t="shared" si="112"/>
        <v>8.6145364948110134E-2</v>
      </c>
      <c r="BR80" s="18"/>
      <c r="BS80" s="19"/>
    </row>
    <row r="81" spans="1:71" x14ac:dyDescent="0.2">
      <c r="A81" s="2"/>
      <c r="G81">
        <v>72</v>
      </c>
      <c r="H81" s="610">
        <f t="shared" si="59"/>
        <v>18.72</v>
      </c>
      <c r="I81" s="4" t="str">
        <f t="shared" si="60"/>
        <v>BUCK</v>
      </c>
      <c r="J81">
        <f t="shared" si="99"/>
        <v>1</v>
      </c>
      <c r="K81">
        <f t="shared" si="61"/>
        <v>4</v>
      </c>
      <c r="L81" s="4">
        <f t="shared" si="62"/>
        <v>2.8490028490028494</v>
      </c>
      <c r="M81" s="4">
        <f t="shared" si="63"/>
        <v>4</v>
      </c>
      <c r="N81" s="386">
        <f t="shared" si="64"/>
        <v>0.64711395101171465</v>
      </c>
      <c r="O81" s="386">
        <f t="shared" si="100"/>
        <v>0</v>
      </c>
      <c r="P81" s="4">
        <f t="shared" si="65"/>
        <v>2.466103264028082</v>
      </c>
      <c r="Q81" s="386">
        <f t="shared" si="66"/>
        <v>4.0628568080113485</v>
      </c>
      <c r="R81" s="386">
        <f t="shared" si="101"/>
        <v>0.2217552896616509</v>
      </c>
      <c r="S81" s="386">
        <f t="shared" si="67"/>
        <v>0.16282859080325573</v>
      </c>
      <c r="T81" s="386">
        <f t="shared" si="102"/>
        <v>0.38458388046490666</v>
      </c>
      <c r="U81" s="4">
        <f t="shared" si="68"/>
        <v>0.71190269166801401</v>
      </c>
      <c r="V81" s="386">
        <f t="shared" si="103"/>
        <v>1.3683746944912414E-2</v>
      </c>
      <c r="W81" s="386">
        <f t="shared" si="104"/>
        <v>1.3683746944912414E-2</v>
      </c>
      <c r="X81" s="386">
        <f t="shared" si="69"/>
        <v>1.941507811755337</v>
      </c>
      <c r="Y81" s="386">
        <f t="shared" si="105"/>
        <v>0.12062248265942391</v>
      </c>
      <c r="Z81" s="603">
        <f t="shared" si="106"/>
        <v>0.12062248265942391</v>
      </c>
      <c r="AA81" s="386">
        <f t="shared" si="70"/>
        <v>3.2682998773698588</v>
      </c>
      <c r="AB81" s="386">
        <f t="shared" si="71"/>
        <v>0.10681784088415835</v>
      </c>
      <c r="AC81" s="386">
        <f t="shared" si="72"/>
        <v>0.30093058881685575</v>
      </c>
      <c r="AD81">
        <f t="shared" si="73"/>
        <v>0</v>
      </c>
      <c r="AE81" s="386">
        <f t="shared" si="74"/>
        <v>0.41810992066380676</v>
      </c>
      <c r="AF81" s="386">
        <f t="shared" si="75"/>
        <v>2.4135081010819772</v>
      </c>
      <c r="AG81" s="386">
        <f t="shared" si="76"/>
        <v>5.8250213539883314E-2</v>
      </c>
      <c r="AH81" s="386">
        <f t="shared" si="77"/>
        <v>0.19239999999999999</v>
      </c>
      <c r="AI81" s="386">
        <f t="shared" si="78"/>
        <v>0.25408391617064902</v>
      </c>
      <c r="AJ81" s="386">
        <f t="shared" si="79"/>
        <v>0</v>
      </c>
      <c r="AK81" s="386">
        <f t="shared" si="80"/>
        <v>0</v>
      </c>
      <c r="AL81" s="386">
        <f t="shared" si="81"/>
        <v>0</v>
      </c>
      <c r="AM81">
        <f t="shared" si="82"/>
        <v>0</v>
      </c>
      <c r="AN81" s="386">
        <f t="shared" si="83"/>
        <v>0</v>
      </c>
      <c r="AO81" s="386">
        <f t="shared" si="84"/>
        <v>4.0628568080113485</v>
      </c>
      <c r="AP81" s="386">
        <f t="shared" si="85"/>
        <v>0.16506805442404165</v>
      </c>
      <c r="AQ81" s="386">
        <f t="shared" si="86"/>
        <v>0</v>
      </c>
      <c r="AR81" s="386">
        <f t="shared" si="87"/>
        <v>0.17164118912224735</v>
      </c>
      <c r="AS81" s="386">
        <f t="shared" si="88"/>
        <v>0.16506805442404165</v>
      </c>
      <c r="AT81" s="386">
        <f t="shared" si="89"/>
        <v>0</v>
      </c>
      <c r="AU81" s="386">
        <f t="shared" si="90"/>
        <v>6.9115999999999997E-2</v>
      </c>
      <c r="AV81" s="386">
        <f t="shared" si="91"/>
        <v>8.7375320309824964E-2</v>
      </c>
      <c r="AW81" s="386">
        <f t="shared" si="92"/>
        <v>6.5920000000000006E-2</v>
      </c>
      <c r="AX81" s="386">
        <f t="shared" si="93"/>
        <v>3.6000000000000004E-2</v>
      </c>
      <c r="AY81" s="386">
        <f t="shared" si="94"/>
        <v>0.40226399999999995</v>
      </c>
      <c r="AZ81" s="386">
        <f t="shared" si="95"/>
        <v>0.30415082926829268</v>
      </c>
      <c r="BA81" s="386">
        <f t="shared" si="113"/>
        <v>0.43826399999999999</v>
      </c>
      <c r="BB81" s="386">
        <f t="shared" si="114"/>
        <v>2.023400456335771</v>
      </c>
      <c r="BC81">
        <f t="shared" si="96"/>
        <v>48</v>
      </c>
      <c r="BD81" s="604">
        <f t="shared" si="107"/>
        <v>0.95955092141123133</v>
      </c>
      <c r="BE81" s="614">
        <f t="shared" si="97"/>
        <v>28.259103398500791</v>
      </c>
      <c r="BF81" s="614">
        <f t="shared" si="98"/>
        <v>14.736867137897644</v>
      </c>
      <c r="BG81" s="9"/>
      <c r="BH81" s="4">
        <f t="shared" si="108"/>
        <v>95.955092141123131</v>
      </c>
      <c r="BI81" s="386">
        <f t="shared" si="109"/>
        <v>0.38458388046490666</v>
      </c>
      <c r="BJ81" s="386">
        <f t="shared" si="110"/>
        <v>0.91295102595670308</v>
      </c>
      <c r="BK81" s="386">
        <f t="shared" si="111"/>
        <v>0.27689219617064903</v>
      </c>
      <c r="BL81" s="386">
        <f t="shared" si="112"/>
        <v>8.7375320309824964E-2</v>
      </c>
      <c r="BR81" s="18"/>
      <c r="BS81" s="19"/>
    </row>
    <row r="82" spans="1:71" x14ac:dyDescent="0.2">
      <c r="A82" s="2"/>
      <c r="G82">
        <v>73</v>
      </c>
      <c r="H82" s="610">
        <f t="shared" si="59"/>
        <v>18.855</v>
      </c>
      <c r="I82" s="4" t="str">
        <f t="shared" si="60"/>
        <v>BUCK</v>
      </c>
      <c r="J82">
        <f t="shared" si="99"/>
        <v>1</v>
      </c>
      <c r="K82">
        <f t="shared" si="61"/>
        <v>4</v>
      </c>
      <c r="L82" s="4">
        <f t="shared" si="62"/>
        <v>2.8286042605851676</v>
      </c>
      <c r="M82" s="4">
        <f t="shared" si="63"/>
        <v>4</v>
      </c>
      <c r="N82" s="386">
        <f t="shared" si="64"/>
        <v>0.64249537404176582</v>
      </c>
      <c r="O82" s="386">
        <f t="shared" si="100"/>
        <v>0</v>
      </c>
      <c r="P82" s="4">
        <f t="shared" si="65"/>
        <v>2.4983796540225582</v>
      </c>
      <c r="Q82" s="386">
        <f t="shared" si="66"/>
        <v>4.0644997734001027</v>
      </c>
      <c r="R82" s="386">
        <f t="shared" si="101"/>
        <v>0.22193786072356564</v>
      </c>
      <c r="S82" s="386">
        <f t="shared" si="67"/>
        <v>0.16778060608787648</v>
      </c>
      <c r="T82" s="386">
        <f t="shared" si="102"/>
        <v>0.38971846681144212</v>
      </c>
      <c r="U82" s="4">
        <f t="shared" si="68"/>
        <v>0.72122008289390405</v>
      </c>
      <c r="V82" s="386">
        <f t="shared" si="103"/>
        <v>1.4044277015176226E-2</v>
      </c>
      <c r="W82" s="386">
        <f t="shared" si="104"/>
        <v>1.4044277015176226E-2</v>
      </c>
      <c r="X82" s="386">
        <f t="shared" si="69"/>
        <v>1.9479730273061846</v>
      </c>
      <c r="Y82" s="386">
        <f t="shared" si="105"/>
        <v>0.1214271652835975</v>
      </c>
      <c r="Z82" s="603">
        <f t="shared" si="106"/>
        <v>0.1214271652835975</v>
      </c>
      <c r="AA82" s="386">
        <f t="shared" si="70"/>
        <v>3.2579326812501175</v>
      </c>
      <c r="AB82" s="386">
        <f t="shared" si="71"/>
        <v>0.1061412535555758</v>
      </c>
      <c r="AC82" s="386">
        <f t="shared" si="72"/>
        <v>0.30310076133236191</v>
      </c>
      <c r="AD82">
        <f t="shared" si="73"/>
        <v>0</v>
      </c>
      <c r="AE82" s="386">
        <f t="shared" si="74"/>
        <v>0.41957392667644589</v>
      </c>
      <c r="AF82" s="386">
        <f t="shared" si="75"/>
        <v>2.4302331271735866</v>
      </c>
      <c r="AG82" s="386">
        <f t="shared" si="76"/>
        <v>5.9060330524119103E-2</v>
      </c>
      <c r="AH82" s="386">
        <f t="shared" si="77"/>
        <v>0.19239999999999999</v>
      </c>
      <c r="AI82" s="386">
        <f t="shared" si="78"/>
        <v>0.25495370534876843</v>
      </c>
      <c r="AJ82" s="386">
        <f t="shared" si="79"/>
        <v>0</v>
      </c>
      <c r="AK82" s="386">
        <f t="shared" si="80"/>
        <v>0</v>
      </c>
      <c r="AL82" s="386">
        <f t="shared" si="81"/>
        <v>0</v>
      </c>
      <c r="AM82">
        <f t="shared" si="82"/>
        <v>0</v>
      </c>
      <c r="AN82" s="386">
        <f t="shared" si="83"/>
        <v>0</v>
      </c>
      <c r="AO82" s="386">
        <f t="shared" si="84"/>
        <v>4.0644997734001027</v>
      </c>
      <c r="AP82" s="386">
        <f t="shared" si="85"/>
        <v>0.16520158407969487</v>
      </c>
      <c r="AQ82" s="386">
        <f t="shared" si="86"/>
        <v>0</v>
      </c>
      <c r="AR82" s="386">
        <f t="shared" si="87"/>
        <v>0.17178556966938313</v>
      </c>
      <c r="AS82" s="386">
        <f t="shared" si="88"/>
        <v>0.16520158407969487</v>
      </c>
      <c r="AT82" s="386">
        <f t="shared" si="89"/>
        <v>0</v>
      </c>
      <c r="AU82" s="386">
        <f t="shared" si="90"/>
        <v>6.9615500000000011E-2</v>
      </c>
      <c r="AV82" s="386">
        <f t="shared" si="91"/>
        <v>8.8590495786178655E-2</v>
      </c>
      <c r="AW82" s="386">
        <f t="shared" si="92"/>
        <v>6.5920000000000006E-2</v>
      </c>
      <c r="AX82" s="386">
        <f t="shared" si="93"/>
        <v>3.6000000000000004E-2</v>
      </c>
      <c r="AY82" s="386">
        <f t="shared" si="94"/>
        <v>0.40226399999999995</v>
      </c>
      <c r="AZ82" s="386">
        <f t="shared" si="95"/>
        <v>0.30415082926829268</v>
      </c>
      <c r="BA82" s="386">
        <f t="shared" si="113"/>
        <v>0.43826399999999999</v>
      </c>
      <c r="BB82" s="386">
        <f t="shared" si="114"/>
        <v>2.033893106590992</v>
      </c>
      <c r="BC82">
        <f t="shared" si="96"/>
        <v>48</v>
      </c>
      <c r="BD82" s="604">
        <f t="shared" si="107"/>
        <v>0.95934969317182583</v>
      </c>
      <c r="BE82" s="614">
        <f t="shared" si="97"/>
        <v>28.37298674723386</v>
      </c>
      <c r="BF82" s="614">
        <f t="shared" si="98"/>
        <v>14.787314910228568</v>
      </c>
      <c r="BG82" s="9"/>
      <c r="BH82" s="4">
        <f t="shared" si="108"/>
        <v>95.934969317182578</v>
      </c>
      <c r="BI82" s="386">
        <f t="shared" si="109"/>
        <v>0.38971846681144212</v>
      </c>
      <c r="BJ82" s="386">
        <f t="shared" si="110"/>
        <v>0.91592870169459739</v>
      </c>
      <c r="BK82" s="386">
        <f t="shared" si="111"/>
        <v>0.27792682034876842</v>
      </c>
      <c r="BL82" s="386">
        <f t="shared" si="112"/>
        <v>8.8590495786178655E-2</v>
      </c>
      <c r="BR82" s="18"/>
      <c r="BS82" s="19"/>
    </row>
    <row r="83" spans="1:71" x14ac:dyDescent="0.2">
      <c r="A83" s="2"/>
      <c r="G83">
        <v>74</v>
      </c>
      <c r="H83" s="610">
        <f t="shared" si="59"/>
        <v>18.990000000000002</v>
      </c>
      <c r="I83" s="4" t="str">
        <f t="shared" si="60"/>
        <v>BUCK</v>
      </c>
      <c r="J83">
        <f t="shared" si="99"/>
        <v>1</v>
      </c>
      <c r="K83">
        <f t="shared" si="61"/>
        <v>4</v>
      </c>
      <c r="L83" s="4">
        <f t="shared" si="62"/>
        <v>2.80849569949096</v>
      </c>
      <c r="M83" s="4">
        <f t="shared" si="63"/>
        <v>4</v>
      </c>
      <c r="N83" s="386">
        <f t="shared" si="64"/>
        <v>0.6379422572178477</v>
      </c>
      <c r="O83" s="386">
        <f t="shared" si="100"/>
        <v>0</v>
      </c>
      <c r="P83" s="4">
        <f t="shared" si="65"/>
        <v>2.5301985833714435</v>
      </c>
      <c r="Q83" s="386">
        <f t="shared" si="66"/>
        <v>4.0661397015606715</v>
      </c>
      <c r="R83" s="386">
        <f t="shared" si="101"/>
        <v>0.22212017311864754</v>
      </c>
      <c r="S83" s="386">
        <f t="shared" si="67"/>
        <v>0.1727447841755321</v>
      </c>
      <c r="T83" s="386">
        <f t="shared" si="102"/>
        <v>0.39486495729417964</v>
      </c>
      <c r="U83" s="4">
        <f t="shared" si="68"/>
        <v>0.73040541660635638</v>
      </c>
      <c r="V83" s="386">
        <f t="shared" si="103"/>
        <v>1.4404285960413434E-2</v>
      </c>
      <c r="W83" s="386">
        <f t="shared" si="104"/>
        <v>1.4404285960413434E-2</v>
      </c>
      <c r="X83" s="386">
        <f t="shared" si="69"/>
        <v>1.9541680159055237</v>
      </c>
      <c r="Y83" s="386">
        <f t="shared" si="105"/>
        <v>0.1222007243004202</v>
      </c>
      <c r="Z83" s="603">
        <f t="shared" si="106"/>
        <v>0.1222007243004202</v>
      </c>
      <c r="AA83" s="386">
        <f t="shared" si="70"/>
        <v>3.247678132526818</v>
      </c>
      <c r="AB83" s="386">
        <f t="shared" si="71"/>
        <v>0.10547413252492881</v>
      </c>
      <c r="AC83" s="386">
        <f t="shared" si="72"/>
        <v>0.30527093384786813</v>
      </c>
      <c r="AD83">
        <f t="shared" si="73"/>
        <v>0</v>
      </c>
      <c r="AE83" s="386">
        <f t="shared" si="74"/>
        <v>0.4210481131740812</v>
      </c>
      <c r="AF83" s="386">
        <f t="shared" si="75"/>
        <v>2.4466464436274866</v>
      </c>
      <c r="AG83" s="386">
        <f t="shared" si="76"/>
        <v>5.9860788201150282E-2</v>
      </c>
      <c r="AH83" s="386">
        <f t="shared" si="77"/>
        <v>0.19239999999999999</v>
      </c>
      <c r="AI83" s="386">
        <f t="shared" si="78"/>
        <v>0.25581344937433492</v>
      </c>
      <c r="AJ83" s="386">
        <f t="shared" si="79"/>
        <v>0</v>
      </c>
      <c r="AK83" s="386">
        <f t="shared" si="80"/>
        <v>0</v>
      </c>
      <c r="AL83" s="386">
        <f t="shared" si="81"/>
        <v>0</v>
      </c>
      <c r="AM83">
        <f t="shared" si="82"/>
        <v>0</v>
      </c>
      <c r="AN83" s="386">
        <f t="shared" si="83"/>
        <v>0</v>
      </c>
      <c r="AO83" s="386">
        <f t="shared" si="84"/>
        <v>4.0661397015606715</v>
      </c>
      <c r="AP83" s="386">
        <f t="shared" si="85"/>
        <v>0.16533492072607905</v>
      </c>
      <c r="AQ83" s="386">
        <f t="shared" si="86"/>
        <v>0</v>
      </c>
      <c r="AR83" s="386">
        <f t="shared" si="87"/>
        <v>0.17192975080507536</v>
      </c>
      <c r="AS83" s="386">
        <f t="shared" si="88"/>
        <v>0.16533492072607905</v>
      </c>
      <c r="AT83" s="386">
        <f t="shared" si="89"/>
        <v>0</v>
      </c>
      <c r="AU83" s="386">
        <f t="shared" si="90"/>
        <v>7.0115000000000011E-2</v>
      </c>
      <c r="AV83" s="386">
        <f t="shared" si="91"/>
        <v>8.979118230172542E-2</v>
      </c>
      <c r="AW83" s="386">
        <f t="shared" si="92"/>
        <v>6.5920000000000006E-2</v>
      </c>
      <c r="AX83" s="386">
        <f t="shared" si="93"/>
        <v>3.6000000000000004E-2</v>
      </c>
      <c r="AY83" s="386">
        <f t="shared" si="94"/>
        <v>0.40226399999999995</v>
      </c>
      <c r="AZ83" s="386">
        <f t="shared" si="95"/>
        <v>0.30415082926829268</v>
      </c>
      <c r="BA83" s="386">
        <f t="shared" si="113"/>
        <v>0.43826399999999999</v>
      </c>
      <c r="BB83" s="386">
        <f t="shared" si="114"/>
        <v>2.0443514632102304</v>
      </c>
      <c r="BC83">
        <f t="shared" si="96"/>
        <v>48</v>
      </c>
      <c r="BD83" s="604">
        <f t="shared" si="107"/>
        <v>0.95914920658502034</v>
      </c>
      <c r="BE83" s="614">
        <f t="shared" si="97"/>
        <v>28.487460564096711</v>
      </c>
      <c r="BF83" s="614">
        <f t="shared" si="98"/>
        <v>14.837180063711426</v>
      </c>
      <c r="BG83" s="9"/>
      <c r="BH83" s="4">
        <f t="shared" si="108"/>
        <v>95.914920658502041</v>
      </c>
      <c r="BI83" s="386">
        <f t="shared" si="109"/>
        <v>0.39486495729417964</v>
      </c>
      <c r="BJ83" s="386">
        <f t="shared" si="110"/>
        <v>0.91890631335349149</v>
      </c>
      <c r="BK83" s="386">
        <f t="shared" si="111"/>
        <v>0.27895139937433494</v>
      </c>
      <c r="BL83" s="386">
        <f t="shared" si="112"/>
        <v>8.979118230172542E-2</v>
      </c>
      <c r="BR83" s="18"/>
      <c r="BS83" s="19"/>
    </row>
    <row r="84" spans="1:71" x14ac:dyDescent="0.2">
      <c r="G84">
        <v>75</v>
      </c>
      <c r="H84" s="610">
        <f t="shared" si="59"/>
        <v>19.125</v>
      </c>
      <c r="I84" s="4" t="str">
        <f t="shared" si="60"/>
        <v>BUCK</v>
      </c>
      <c r="J84">
        <f t="shared" si="99"/>
        <v>1</v>
      </c>
      <c r="K84">
        <f t="shared" si="61"/>
        <v>4</v>
      </c>
      <c r="L84" s="4">
        <f t="shared" si="62"/>
        <v>2.7886710239651413</v>
      </c>
      <c r="M84" s="4">
        <f t="shared" si="63"/>
        <v>4</v>
      </c>
      <c r="N84" s="386">
        <f t="shared" si="64"/>
        <v>0.63345321866041182</v>
      </c>
      <c r="O84" s="386">
        <f t="shared" si="100"/>
        <v>0</v>
      </c>
      <c r="P84" s="4">
        <f t="shared" si="65"/>
        <v>2.5615697091798437</v>
      </c>
      <c r="Q84" s="386">
        <f t="shared" si="66"/>
        <v>4.0677762083537701</v>
      </c>
      <c r="R84" s="386">
        <f t="shared" si="101"/>
        <v>0.22230218368301549</v>
      </c>
      <c r="S84" s="386">
        <f t="shared" si="67"/>
        <v>0.17771945073601464</v>
      </c>
      <c r="T84" s="386">
        <f t="shared" si="102"/>
        <v>0.40002163441903016</v>
      </c>
      <c r="U84" s="4">
        <f t="shared" si="68"/>
        <v>0.73946148057148708</v>
      </c>
      <c r="V84" s="386">
        <f t="shared" si="103"/>
        <v>1.4763688593722346E-2</v>
      </c>
      <c r="W84" s="386">
        <f t="shared" si="104"/>
        <v>1.4763688593722346E-2</v>
      </c>
      <c r="X84" s="386">
        <f t="shared" si="69"/>
        <v>1.9601036194838977</v>
      </c>
      <c r="Y84" s="386">
        <f t="shared" si="105"/>
        <v>0.12294419837164404</v>
      </c>
      <c r="Z84" s="603">
        <f t="shared" si="106"/>
        <v>0.12294419837164404</v>
      </c>
      <c r="AA84" s="386">
        <f t="shared" si="70"/>
        <v>3.2375339067024189</v>
      </c>
      <c r="AB84" s="386">
        <f t="shared" si="71"/>
        <v>0.10481625797047826</v>
      </c>
      <c r="AC84" s="386">
        <f t="shared" si="72"/>
        <v>0.30744110636337429</v>
      </c>
      <c r="AD84">
        <f t="shared" si="73"/>
        <v>0</v>
      </c>
      <c r="AE84" s="386">
        <f t="shared" si="74"/>
        <v>0.42253223788065025</v>
      </c>
      <c r="AF84" s="386">
        <f t="shared" si="75"/>
        <v>2.4627581050929765</v>
      </c>
      <c r="AG84" s="386">
        <f t="shared" si="76"/>
        <v>6.0651774842011487E-2</v>
      </c>
      <c r="AH84" s="386">
        <f t="shared" si="77"/>
        <v>0.19239999999999999</v>
      </c>
      <c r="AI84" s="386">
        <f t="shared" si="78"/>
        <v>0.25666333903749572</v>
      </c>
      <c r="AJ84" s="386">
        <f t="shared" si="79"/>
        <v>0</v>
      </c>
      <c r="AK84" s="386">
        <f t="shared" si="80"/>
        <v>0</v>
      </c>
      <c r="AL84" s="386">
        <f t="shared" si="81"/>
        <v>0</v>
      </c>
      <c r="AM84">
        <f t="shared" si="82"/>
        <v>0</v>
      </c>
      <c r="AN84" s="386">
        <f t="shared" si="83"/>
        <v>0</v>
      </c>
      <c r="AO84" s="386">
        <f t="shared" si="84"/>
        <v>4.0677762083537701</v>
      </c>
      <c r="AP84" s="386">
        <f t="shared" si="85"/>
        <v>0.16546803281248973</v>
      </c>
      <c r="AQ84" s="386">
        <f t="shared" si="86"/>
        <v>0</v>
      </c>
      <c r="AR84" s="386">
        <f t="shared" si="87"/>
        <v>0.1720736983698733</v>
      </c>
      <c r="AS84" s="386">
        <f t="shared" si="88"/>
        <v>0.16546803281248973</v>
      </c>
      <c r="AT84" s="386">
        <f t="shared" si="89"/>
        <v>0</v>
      </c>
      <c r="AU84" s="386">
        <f t="shared" si="90"/>
        <v>7.0614500000000011E-2</v>
      </c>
      <c r="AV84" s="386">
        <f t="shared" si="91"/>
        <v>9.0977662263017234E-2</v>
      </c>
      <c r="AW84" s="386">
        <f t="shared" si="92"/>
        <v>6.5920000000000006E-2</v>
      </c>
      <c r="AX84" s="386">
        <f t="shared" si="93"/>
        <v>3.6000000000000004E-2</v>
      </c>
      <c r="AY84" s="386">
        <f t="shared" si="94"/>
        <v>0.40226399999999995</v>
      </c>
      <c r="AZ84" s="386">
        <f t="shared" si="95"/>
        <v>0.30415082926829268</v>
      </c>
      <c r="BA84" s="386">
        <f t="shared" si="113"/>
        <v>0.43826399999999999</v>
      </c>
      <c r="BB84" s="386">
        <f t="shared" si="114"/>
        <v>2.0547749589354334</v>
      </c>
      <c r="BC84">
        <f t="shared" si="96"/>
        <v>48</v>
      </c>
      <c r="BD84" s="604">
        <f t="shared" si="107"/>
        <v>0.95894947164139377</v>
      </c>
      <c r="BE84" s="614">
        <f t="shared" si="97"/>
        <v>28.602510797077716</v>
      </c>
      <c r="BF84" s="614">
        <f t="shared" si="98"/>
        <v>14.886473664174751</v>
      </c>
      <c r="BG84" s="9"/>
      <c r="BH84" s="4">
        <f t="shared" si="108"/>
        <v>95.894947164139381</v>
      </c>
      <c r="BI84" s="386">
        <f t="shared" si="109"/>
        <v>0.40002163441903016</v>
      </c>
      <c r="BJ84" s="386">
        <f t="shared" si="110"/>
        <v>0.92188377528801924</v>
      </c>
      <c r="BK84" s="386">
        <f t="shared" si="111"/>
        <v>0.27996612403749571</v>
      </c>
      <c r="BL84" s="386">
        <f t="shared" si="112"/>
        <v>9.0977662263017234E-2</v>
      </c>
      <c r="BR84" s="18"/>
      <c r="BS84" s="19"/>
    </row>
    <row r="85" spans="1:71" x14ac:dyDescent="0.2">
      <c r="G85">
        <v>76</v>
      </c>
      <c r="H85" s="610">
        <f t="shared" si="59"/>
        <v>19.259999999999998</v>
      </c>
      <c r="I85" s="4" t="str">
        <f t="shared" si="60"/>
        <v>BUCK</v>
      </c>
      <c r="J85">
        <f t="shared" si="99"/>
        <v>1</v>
      </c>
      <c r="K85">
        <f t="shared" si="61"/>
        <v>4</v>
      </c>
      <c r="L85" s="4">
        <f t="shared" si="62"/>
        <v>2.7691242644513672</v>
      </c>
      <c r="M85" s="4">
        <f t="shared" si="63"/>
        <v>4</v>
      </c>
      <c r="N85" s="386">
        <f t="shared" si="64"/>
        <v>0.62902691511387165</v>
      </c>
      <c r="O85" s="386">
        <f t="shared" si="100"/>
        <v>0</v>
      </c>
      <c r="P85" s="4">
        <f t="shared" si="65"/>
        <v>2.5925024186337779</v>
      </c>
      <c r="Q85" s="386">
        <f t="shared" si="66"/>
        <v>4.0694089332340591</v>
      </c>
      <c r="R85" s="386">
        <f t="shared" si="101"/>
        <v>0.22248385180580041</v>
      </c>
      <c r="S85" s="386">
        <f t="shared" si="67"/>
        <v>0.18270300651569715</v>
      </c>
      <c r="T85" s="386">
        <f t="shared" si="102"/>
        <v>0.40518685832149759</v>
      </c>
      <c r="U85" s="4">
        <f t="shared" si="68"/>
        <v>0.74839098463648379</v>
      </c>
      <c r="V85" s="386">
        <f t="shared" si="103"/>
        <v>1.5122404778899473E-2</v>
      </c>
      <c r="W85" s="386">
        <f t="shared" si="104"/>
        <v>1.5122404778899473E-2</v>
      </c>
      <c r="X85" s="386">
        <f t="shared" si="69"/>
        <v>1.965790125477586</v>
      </c>
      <c r="Y85" s="386">
        <f t="shared" si="105"/>
        <v>0.12365858615760587</v>
      </c>
      <c r="Z85" s="603">
        <f t="shared" si="106"/>
        <v>0.12365858615760587</v>
      </c>
      <c r="AA85" s="386">
        <f t="shared" si="70"/>
        <v>3.2274977519937487</v>
      </c>
      <c r="AB85" s="386">
        <f t="shared" si="71"/>
        <v>0.10416741739124702</v>
      </c>
      <c r="AC85" s="386">
        <f t="shared" si="72"/>
        <v>0.3096112788788804</v>
      </c>
      <c r="AD85">
        <f t="shared" si="73"/>
        <v>0</v>
      </c>
      <c r="AE85" s="386">
        <f t="shared" si="74"/>
        <v>0.42402606673469811</v>
      </c>
      <c r="AF85" s="386">
        <f t="shared" si="75"/>
        <v>2.4785776822122125</v>
      </c>
      <c r="AG85" s="386">
        <f t="shared" si="76"/>
        <v>6.1433473267604635E-2</v>
      </c>
      <c r="AH85" s="386">
        <f t="shared" si="77"/>
        <v>0.19239999999999999</v>
      </c>
      <c r="AI85" s="386">
        <f t="shared" si="78"/>
        <v>0.25750355969540434</v>
      </c>
      <c r="AJ85" s="386">
        <f t="shared" si="79"/>
        <v>0</v>
      </c>
      <c r="AK85" s="386">
        <f t="shared" si="80"/>
        <v>0</v>
      </c>
      <c r="AL85" s="386">
        <f t="shared" si="81"/>
        <v>0</v>
      </c>
      <c r="AM85">
        <f t="shared" si="82"/>
        <v>0</v>
      </c>
      <c r="AN85" s="386">
        <f t="shared" si="83"/>
        <v>0</v>
      </c>
      <c r="AO85" s="386">
        <f t="shared" si="84"/>
        <v>4.0694089332340591</v>
      </c>
      <c r="AP85" s="386">
        <f t="shared" si="85"/>
        <v>0.16560089065885161</v>
      </c>
      <c r="AQ85" s="386">
        <f t="shared" si="86"/>
        <v>0</v>
      </c>
      <c r="AR85" s="386">
        <f t="shared" si="87"/>
        <v>0.17221738021871935</v>
      </c>
      <c r="AS85" s="386">
        <f t="shared" si="88"/>
        <v>0.16560089065885161</v>
      </c>
      <c r="AT85" s="386">
        <f t="shared" si="89"/>
        <v>0</v>
      </c>
      <c r="AU85" s="386">
        <f t="shared" si="90"/>
        <v>7.1113999999999997E-2</v>
      </c>
      <c r="AV85" s="386">
        <f t="shared" si="91"/>
        <v>9.2150209901406946E-2</v>
      </c>
      <c r="AW85" s="386">
        <f t="shared" si="92"/>
        <v>6.5920000000000006E-2</v>
      </c>
      <c r="AX85" s="386">
        <f t="shared" si="93"/>
        <v>3.6000000000000004E-2</v>
      </c>
      <c r="AY85" s="386">
        <f t="shared" si="94"/>
        <v>0.40226399999999995</v>
      </c>
      <c r="AZ85" s="386">
        <f t="shared" si="95"/>
        <v>0.30415082926829268</v>
      </c>
      <c r="BA85" s="386">
        <f t="shared" si="113"/>
        <v>0.43826399999999999</v>
      </c>
      <c r="BB85" s="386">
        <f t="shared" si="114"/>
        <v>2.0651630658082314</v>
      </c>
      <c r="BC85">
        <f t="shared" si="96"/>
        <v>48</v>
      </c>
      <c r="BD85" s="604">
        <f t="shared" si="107"/>
        <v>0.95875049756467046</v>
      </c>
      <c r="BE85" s="614">
        <f t="shared" si="97"/>
        <v>28.718123870612491</v>
      </c>
      <c r="BF85" s="614">
        <f t="shared" si="98"/>
        <v>14.935206462333452</v>
      </c>
      <c r="BG85" s="9"/>
      <c r="BH85" s="4">
        <f t="shared" si="108"/>
        <v>95.87504975646705</v>
      </c>
      <c r="BI85" s="386">
        <f t="shared" si="109"/>
        <v>0.40518685832149759</v>
      </c>
      <c r="BJ85" s="386">
        <f t="shared" si="110"/>
        <v>0.92486100664882187</v>
      </c>
      <c r="BK85" s="386">
        <f t="shared" si="111"/>
        <v>0.28097117969540436</v>
      </c>
      <c r="BL85" s="386">
        <f t="shared" si="112"/>
        <v>9.2150209901406946E-2</v>
      </c>
      <c r="BR85" s="18"/>
      <c r="BS85" s="19"/>
    </row>
    <row r="86" spans="1:71" x14ac:dyDescent="0.2">
      <c r="G86">
        <v>77</v>
      </c>
      <c r="H86" s="610">
        <f t="shared" si="59"/>
        <v>19.395</v>
      </c>
      <c r="I86" s="4" t="str">
        <f t="shared" si="60"/>
        <v>BUCK</v>
      </c>
      <c r="J86">
        <f t="shared" si="99"/>
        <v>1</v>
      </c>
      <c r="K86">
        <f t="shared" si="61"/>
        <v>4</v>
      </c>
      <c r="L86" s="4">
        <f t="shared" si="62"/>
        <v>2.7498496175990375</v>
      </c>
      <c r="M86" s="4">
        <f t="shared" si="63"/>
        <v>4</v>
      </c>
      <c r="N86" s="386">
        <f t="shared" si="64"/>
        <v>0.62466204060652786</v>
      </c>
      <c r="O86" s="386">
        <f t="shared" si="100"/>
        <v>0</v>
      </c>
      <c r="P86" s="4">
        <f t="shared" si="65"/>
        <v>2.6230058383651453</v>
      </c>
      <c r="Q86" s="386">
        <f t="shared" si="66"/>
        <v>4.0710375379839965</v>
      </c>
      <c r="R86" s="386">
        <f t="shared" si="101"/>
        <v>0.22266513929419421</v>
      </c>
      <c r="S86" s="386">
        <f t="shared" si="67"/>
        <v>0.18769392427413772</v>
      </c>
      <c r="T86" s="386">
        <f t="shared" si="102"/>
        <v>0.41035906356833196</v>
      </c>
      <c r="U86" s="4">
        <f t="shared" si="68"/>
        <v>0.75719656343303843</v>
      </c>
      <c r="V86" s="386">
        <f t="shared" si="103"/>
        <v>1.548035916321969E-2</v>
      </c>
      <c r="W86" s="386">
        <f t="shared" si="104"/>
        <v>1.548035916321969E-2</v>
      </c>
      <c r="X86" s="386">
        <f t="shared" si="69"/>
        <v>1.9712373028963253</v>
      </c>
      <c r="Y86" s="386">
        <f t="shared" si="105"/>
        <v>0.12434484813855931</v>
      </c>
      <c r="Z86" s="603">
        <f t="shared" si="106"/>
        <v>0.12434484813855931</v>
      </c>
      <c r="AA86" s="386">
        <f t="shared" si="70"/>
        <v>3.2175674863349726</v>
      </c>
      <c r="AB86" s="386">
        <f t="shared" si="71"/>
        <v>0.10352740529119954</v>
      </c>
      <c r="AC86" s="386">
        <f t="shared" si="72"/>
        <v>0.31178145139438662</v>
      </c>
      <c r="AD86">
        <f t="shared" si="73"/>
        <v>0</v>
      </c>
      <c r="AE86" s="386">
        <f t="shared" si="74"/>
        <v>0.42552937353027898</v>
      </c>
      <c r="AF86" s="386">
        <f t="shared" si="75"/>
        <v>2.4941142930015952</v>
      </c>
      <c r="AG86" s="386">
        <f t="shared" si="76"/>
        <v>6.2206061065548469E-2</v>
      </c>
      <c r="AH86" s="386">
        <f t="shared" si="77"/>
        <v>0.19239999999999999</v>
      </c>
      <c r="AI86" s="386">
        <f t="shared" si="78"/>
        <v>0.25833429148662629</v>
      </c>
      <c r="AJ86" s="386">
        <f t="shared" si="79"/>
        <v>0</v>
      </c>
      <c r="AK86" s="386">
        <f t="shared" si="80"/>
        <v>0</v>
      </c>
      <c r="AL86" s="386">
        <f t="shared" si="81"/>
        <v>0</v>
      </c>
      <c r="AM86">
        <f t="shared" si="82"/>
        <v>0</v>
      </c>
      <c r="AN86" s="386">
        <f t="shared" si="83"/>
        <v>0</v>
      </c>
      <c r="AO86" s="386">
        <f t="shared" si="84"/>
        <v>4.0710375379839965</v>
      </c>
      <c r="AP86" s="386">
        <f t="shared" si="85"/>
        <v>0.16573346635674799</v>
      </c>
      <c r="AQ86" s="386">
        <f t="shared" si="86"/>
        <v>0</v>
      </c>
      <c r="AR86" s="386">
        <f t="shared" si="87"/>
        <v>0.17236076611458953</v>
      </c>
      <c r="AS86" s="386">
        <f t="shared" si="88"/>
        <v>0.16573346635674799</v>
      </c>
      <c r="AT86" s="386">
        <f t="shared" si="89"/>
        <v>0</v>
      </c>
      <c r="AU86" s="386">
        <f t="shared" si="90"/>
        <v>7.161350000000001E-2</v>
      </c>
      <c r="AV86" s="386">
        <f t="shared" si="91"/>
        <v>9.3309091598322694E-2</v>
      </c>
      <c r="AW86" s="386">
        <f t="shared" si="92"/>
        <v>6.5920000000000006E-2</v>
      </c>
      <c r="AX86" s="386">
        <f t="shared" si="93"/>
        <v>3.6000000000000004E-2</v>
      </c>
      <c r="AY86" s="386">
        <f t="shared" si="94"/>
        <v>0.40226399999999995</v>
      </c>
      <c r="AZ86" s="386">
        <f t="shared" si="95"/>
        <v>0.30415082926829268</v>
      </c>
      <c r="BA86" s="386">
        <f t="shared" si="113"/>
        <v>0.43826399999999999</v>
      </c>
      <c r="BB86" s="386">
        <f t="shared" si="114"/>
        <v>2.0755152935999286</v>
      </c>
      <c r="BC86">
        <f t="shared" si="96"/>
        <v>48</v>
      </c>
      <c r="BD86" s="604">
        <f t="shared" si="107"/>
        <v>0.95855229284350074</v>
      </c>
      <c r="BE86" s="614">
        <f t="shared" si="97"/>
        <v>28.834286664756181</v>
      </c>
      <c r="BF86" s="614">
        <f t="shared" si="98"/>
        <v>14.983388906224326</v>
      </c>
      <c r="BG86" s="9"/>
      <c r="BH86" s="4">
        <f t="shared" si="108"/>
        <v>95.855229284350074</v>
      </c>
      <c r="BI86" s="386">
        <f t="shared" si="109"/>
        <v>0.41035906356833196</v>
      </c>
      <c r="BJ86" s="386">
        <f t="shared" si="110"/>
        <v>0.92783793113149471</v>
      </c>
      <c r="BK86" s="386">
        <f t="shared" si="111"/>
        <v>0.28196674648662629</v>
      </c>
      <c r="BL86" s="386">
        <f t="shared" si="112"/>
        <v>9.3309091598322694E-2</v>
      </c>
      <c r="BR86" s="18"/>
      <c r="BS86" s="19"/>
    </row>
    <row r="87" spans="1:71" x14ac:dyDescent="0.2">
      <c r="G87">
        <v>78</v>
      </c>
      <c r="H87" s="610">
        <f t="shared" si="59"/>
        <v>19.53</v>
      </c>
      <c r="I87" s="4" t="str">
        <f t="shared" si="60"/>
        <v>BUCK</v>
      </c>
      <c r="J87">
        <f t="shared" si="99"/>
        <v>1</v>
      </c>
      <c r="K87">
        <f t="shared" si="61"/>
        <v>4</v>
      </c>
      <c r="L87" s="4">
        <f t="shared" si="62"/>
        <v>2.7308414405188595</v>
      </c>
      <c r="M87" s="4">
        <f t="shared" si="63"/>
        <v>4</v>
      </c>
      <c r="N87" s="386">
        <f t="shared" si="64"/>
        <v>0.62035732516590092</v>
      </c>
      <c r="O87" s="386">
        <f t="shared" si="100"/>
        <v>0</v>
      </c>
      <c r="P87" s="4">
        <f t="shared" si="65"/>
        <v>2.6530888434294648</v>
      </c>
      <c r="Q87" s="386">
        <f t="shared" si="66"/>
        <v>4.0726617055181684</v>
      </c>
      <c r="R87" s="386">
        <f t="shared" si="101"/>
        <v>0.22284601024598633</v>
      </c>
      <c r="S87" s="386">
        <f t="shared" si="67"/>
        <v>0.19269074583607271</v>
      </c>
      <c r="T87" s="386">
        <f t="shared" si="102"/>
        <v>0.41553675608205903</v>
      </c>
      <c r="U87" s="4">
        <f t="shared" si="68"/>
        <v>0.7658807789689972</v>
      </c>
      <c r="V87" s="386">
        <f t="shared" si="103"/>
        <v>1.5837480925042263E-2</v>
      </c>
      <c r="W87" s="386">
        <f t="shared" si="104"/>
        <v>1.5837480925042263E-2</v>
      </c>
      <c r="X87" s="386">
        <f t="shared" si="69"/>
        <v>1.9764544354958169</v>
      </c>
      <c r="Y87" s="386">
        <f t="shared" si="105"/>
        <v>0.12500390833891484</v>
      </c>
      <c r="Z87" s="603">
        <f t="shared" si="106"/>
        <v>0.12500390833891484</v>
      </c>
      <c r="AA87" s="386">
        <f t="shared" si="70"/>
        <v>3.2077409945300572</v>
      </c>
      <c r="AB87" s="386">
        <f t="shared" si="71"/>
        <v>0.10289602287988681</v>
      </c>
      <c r="AC87" s="386">
        <f t="shared" si="72"/>
        <v>0.31395162390989279</v>
      </c>
      <c r="AD87">
        <f t="shared" si="73"/>
        <v>0</v>
      </c>
      <c r="AE87" s="386">
        <f t="shared" si="74"/>
        <v>0.42704193957678405</v>
      </c>
      <c r="AF87" s="386">
        <f t="shared" si="75"/>
        <v>2.5093766316767749</v>
      </c>
      <c r="AG87" s="386">
        <f t="shared" si="76"/>
        <v>6.2969710796054776E-2</v>
      </c>
      <c r="AH87" s="386">
        <f t="shared" si="77"/>
        <v>0.19239999999999999</v>
      </c>
      <c r="AI87" s="386">
        <f t="shared" si="78"/>
        <v>0.25915570953474215</v>
      </c>
      <c r="AJ87" s="386">
        <f t="shared" si="79"/>
        <v>0</v>
      </c>
      <c r="AK87" s="386">
        <f t="shared" si="80"/>
        <v>0</v>
      </c>
      <c r="AL87" s="386">
        <f t="shared" si="81"/>
        <v>0</v>
      </c>
      <c r="AM87">
        <f t="shared" si="82"/>
        <v>0</v>
      </c>
      <c r="AN87" s="386">
        <f t="shared" si="83"/>
        <v>0</v>
      </c>
      <c r="AO87" s="386">
        <f t="shared" si="84"/>
        <v>4.0726617055181684</v>
      </c>
      <c r="AP87" s="386">
        <f t="shared" si="85"/>
        <v>0.16586573367594157</v>
      </c>
      <c r="AQ87" s="386">
        <f t="shared" si="86"/>
        <v>0</v>
      </c>
      <c r="AR87" s="386">
        <f t="shared" si="87"/>
        <v>0.17250382762803379</v>
      </c>
      <c r="AS87" s="386">
        <f t="shared" si="88"/>
        <v>0.16586573367594157</v>
      </c>
      <c r="AT87" s="386">
        <f t="shared" si="89"/>
        <v>0</v>
      </c>
      <c r="AU87" s="386">
        <f t="shared" si="90"/>
        <v>7.211300000000001E-2</v>
      </c>
      <c r="AV87" s="386">
        <f t="shared" si="91"/>
        <v>9.4454566194082157E-2</v>
      </c>
      <c r="AW87" s="386">
        <f t="shared" si="92"/>
        <v>6.5920000000000006E-2</v>
      </c>
      <c r="AX87" s="386">
        <f t="shared" si="93"/>
        <v>3.6000000000000004E-2</v>
      </c>
      <c r="AY87" s="386">
        <f t="shared" si="94"/>
        <v>0.40226399999999995</v>
      </c>
      <c r="AZ87" s="386">
        <f t="shared" si="95"/>
        <v>0.30415082926829268</v>
      </c>
      <c r="BA87" s="386">
        <f t="shared" si="113"/>
        <v>0.43826399999999999</v>
      </c>
      <c r="BB87" s="386">
        <f t="shared" si="114"/>
        <v>2.0858311882796587</v>
      </c>
      <c r="BC87">
        <f t="shared" si="96"/>
        <v>48</v>
      </c>
      <c r="BD87" s="604">
        <f t="shared" si="107"/>
        <v>0.95835486526241875</v>
      </c>
      <c r="BE87" s="614">
        <f t="shared" si="97"/>
        <v>28.950986495453474</v>
      </c>
      <c r="BF87" s="614">
        <f t="shared" si="98"/>
        <v>15.031031153015045</v>
      </c>
      <c r="BG87" s="9"/>
      <c r="BH87" s="4">
        <f t="shared" si="108"/>
        <v>95.83548652624188</v>
      </c>
      <c r="BI87" s="386">
        <f t="shared" si="109"/>
        <v>0.41553675608205903</v>
      </c>
      <c r="BJ87" s="386">
        <f t="shared" si="110"/>
        <v>0.93081447673955997</v>
      </c>
      <c r="BK87" s="386">
        <f t="shared" si="111"/>
        <v>0.28295299953474218</v>
      </c>
      <c r="BL87" s="386">
        <f t="shared" si="112"/>
        <v>9.4454566194082157E-2</v>
      </c>
      <c r="BR87" s="18"/>
      <c r="BS87" s="19"/>
    </row>
    <row r="88" spans="1:71" x14ac:dyDescent="0.2">
      <c r="G88">
        <v>79</v>
      </c>
      <c r="H88" s="610">
        <f t="shared" si="59"/>
        <v>19.664999999999999</v>
      </c>
      <c r="I88" s="4" t="str">
        <f t="shared" si="60"/>
        <v>BUCK</v>
      </c>
      <c r="J88">
        <f t="shared" si="99"/>
        <v>1</v>
      </c>
      <c r="K88">
        <f t="shared" si="61"/>
        <v>4</v>
      </c>
      <c r="L88" s="4">
        <f t="shared" si="62"/>
        <v>2.7120942452750234</v>
      </c>
      <c r="M88" s="4">
        <f t="shared" si="63"/>
        <v>4</v>
      </c>
      <c r="N88" s="386">
        <f t="shared" si="64"/>
        <v>0.6161115335868188</v>
      </c>
      <c r="O88" s="386">
        <f t="shared" si="100"/>
        <v>0</v>
      </c>
      <c r="P88" s="4">
        <f t="shared" si="65"/>
        <v>2.6827600659149562</v>
      </c>
      <c r="Q88" s="386">
        <f t="shared" si="66"/>
        <v>4.0742811387538866</v>
      </c>
      <c r="R88" s="386">
        <f t="shared" si="101"/>
        <v>0.22302643092913582</v>
      </c>
      <c r="S88" s="386">
        <f t="shared" si="67"/>
        <v>0.19769207925594764</v>
      </c>
      <c r="T88" s="386">
        <f t="shared" si="102"/>
        <v>0.42071851018508344</v>
      </c>
      <c r="U88" s="4">
        <f t="shared" si="68"/>
        <v>0.77444612311358907</v>
      </c>
      <c r="V88" s="386">
        <f t="shared" si="103"/>
        <v>1.6193703535353043E-2</v>
      </c>
      <c r="W88" s="386">
        <f t="shared" si="104"/>
        <v>1.6193703535353043E-2</v>
      </c>
      <c r="X88" s="386">
        <f t="shared" si="69"/>
        <v>1.981450352333052</v>
      </c>
      <c r="Y88" s="386">
        <f t="shared" si="105"/>
        <v>0.12563665596034482</v>
      </c>
      <c r="Z88" s="603">
        <f t="shared" si="106"/>
        <v>0.12563665596034482</v>
      </c>
      <c r="AA88" s="386">
        <f t="shared" si="70"/>
        <v>3.1980162255461404</v>
      </c>
      <c r="AB88" s="386">
        <f t="shared" si="71"/>
        <v>0.10227307778856382</v>
      </c>
      <c r="AC88" s="386">
        <f t="shared" si="72"/>
        <v>0.31612179642539895</v>
      </c>
      <c r="AD88">
        <f t="shared" si="73"/>
        <v>0</v>
      </c>
      <c r="AE88" s="386">
        <f t="shared" si="74"/>
        <v>0.42856355337654567</v>
      </c>
      <c r="AF88" s="386">
        <f t="shared" si="75"/>
        <v>2.524372995171134</v>
      </c>
      <c r="AG88" s="386">
        <f t="shared" si="76"/>
        <v>6.3724590187492824E-2</v>
      </c>
      <c r="AH88" s="386">
        <f t="shared" si="77"/>
        <v>0.19239999999999999</v>
      </c>
      <c r="AI88" s="386">
        <f t="shared" si="78"/>
        <v>0.25996798414179545</v>
      </c>
      <c r="AJ88" s="386">
        <f t="shared" si="79"/>
        <v>0</v>
      </c>
      <c r="AK88" s="386">
        <f t="shared" si="80"/>
        <v>0</v>
      </c>
      <c r="AL88" s="386">
        <f t="shared" si="81"/>
        <v>0</v>
      </c>
      <c r="AM88">
        <f t="shared" si="82"/>
        <v>0</v>
      </c>
      <c r="AN88" s="386">
        <f t="shared" si="83"/>
        <v>0</v>
      </c>
      <c r="AO88" s="386">
        <f t="shared" si="84"/>
        <v>4.0742811387538866</v>
      </c>
      <c r="AP88" s="386">
        <f t="shared" si="85"/>
        <v>0.16599766797605667</v>
      </c>
      <c r="AQ88" s="386">
        <f t="shared" si="86"/>
        <v>0</v>
      </c>
      <c r="AR88" s="386">
        <f t="shared" si="87"/>
        <v>0.1726465380422606</v>
      </c>
      <c r="AS88" s="386">
        <f t="shared" si="88"/>
        <v>0.16599766797605667</v>
      </c>
      <c r="AT88" s="386">
        <f t="shared" si="89"/>
        <v>0</v>
      </c>
      <c r="AU88" s="386">
        <f t="shared" si="90"/>
        <v>7.2612499999999996E-2</v>
      </c>
      <c r="AV88" s="386">
        <f t="shared" si="91"/>
        <v>9.5586885281239237E-2</v>
      </c>
      <c r="AW88" s="386">
        <f t="shared" si="92"/>
        <v>6.5920000000000006E-2</v>
      </c>
      <c r="AX88" s="386">
        <f t="shared" si="93"/>
        <v>3.6000000000000004E-2</v>
      </c>
      <c r="AY88" s="386">
        <f t="shared" si="94"/>
        <v>0.40226399999999995</v>
      </c>
      <c r="AZ88" s="386">
        <f t="shared" si="95"/>
        <v>0.30415082926829268</v>
      </c>
      <c r="BA88" s="386">
        <f t="shared" si="113"/>
        <v>0.43826399999999999</v>
      </c>
      <c r="BB88" s="386">
        <f t="shared" si="114"/>
        <v>2.0961103305226225</v>
      </c>
      <c r="BC88">
        <f t="shared" si="96"/>
        <v>48</v>
      </c>
      <c r="BD88" s="604">
        <f t="shared" si="107"/>
        <v>0.95815822193194311</v>
      </c>
      <c r="BE88" s="614">
        <f t="shared" si="97"/>
        <v>29.068211095839651</v>
      </c>
      <c r="BF88" s="614">
        <f t="shared" si="98"/>
        <v>15.078143080224136</v>
      </c>
      <c r="BG88" s="9"/>
      <c r="BH88" s="4">
        <f t="shared" si="108"/>
        <v>95.815822193194307</v>
      </c>
      <c r="BI88" s="386">
        <f t="shared" si="109"/>
        <v>0.42071851018508344</v>
      </c>
      <c r="BJ88" s="386">
        <f t="shared" si="110"/>
        <v>0.93379057556060174</v>
      </c>
      <c r="BK88" s="386">
        <f t="shared" si="111"/>
        <v>0.28393010914179545</v>
      </c>
      <c r="BL88" s="386">
        <f t="shared" si="112"/>
        <v>9.5586885281239237E-2</v>
      </c>
      <c r="BR88" s="18"/>
      <c r="BS88" s="19"/>
    </row>
    <row r="89" spans="1:71" x14ac:dyDescent="0.2">
      <c r="G89">
        <v>80</v>
      </c>
      <c r="H89" s="610">
        <f t="shared" si="59"/>
        <v>19.8</v>
      </c>
      <c r="I89" s="4" t="str">
        <f t="shared" si="60"/>
        <v>BUCK</v>
      </c>
      <c r="J89">
        <f t="shared" si="99"/>
        <v>1</v>
      </c>
      <c r="K89">
        <f t="shared" si="61"/>
        <v>4</v>
      </c>
      <c r="L89" s="4">
        <f t="shared" si="62"/>
        <v>2.6936026936026938</v>
      </c>
      <c r="M89" s="4">
        <f t="shared" si="63"/>
        <v>4</v>
      </c>
      <c r="N89" s="386">
        <f t="shared" si="64"/>
        <v>0.61192346424974819</v>
      </c>
      <c r="O89" s="386">
        <f t="shared" si="100"/>
        <v>0</v>
      </c>
      <c r="P89" s="4">
        <f t="shared" si="65"/>
        <v>2.7120279032004944</v>
      </c>
      <c r="Q89" s="386">
        <f t="shared" si="66"/>
        <v>4.075895559544124</v>
      </c>
      <c r="R89" s="386">
        <f t="shared" si="101"/>
        <v>0.2232063696679612</v>
      </c>
      <c r="S89" s="386">
        <f t="shared" si="67"/>
        <v>0.20269659609196242</v>
      </c>
      <c r="T89" s="386">
        <f t="shared" si="102"/>
        <v>0.42590296575992359</v>
      </c>
      <c r="U89" s="4">
        <f t="shared" si="68"/>
        <v>0.78289501998129096</v>
      </c>
      <c r="V89" s="386">
        <f t="shared" si="103"/>
        <v>1.654896453241066E-2</v>
      </c>
      <c r="W89" s="386">
        <f t="shared" si="104"/>
        <v>1.654896453241066E-2</v>
      </c>
      <c r="X89" s="386">
        <f t="shared" si="69"/>
        <v>1.9862334559513786</v>
      </c>
      <c r="Y89" s="386">
        <f t="shared" si="105"/>
        <v>0.12624394692929783</v>
      </c>
      <c r="Z89" s="603">
        <f t="shared" si="106"/>
        <v>0.12624394692929783</v>
      </c>
      <c r="AA89" s="386">
        <f t="shared" si="70"/>
        <v>3.188391189939773</v>
      </c>
      <c r="AB89" s="386">
        <f t="shared" si="71"/>
        <v>0.10165838380085562</v>
      </c>
      <c r="AC89" s="386">
        <f t="shared" si="72"/>
        <v>0.31829196894090511</v>
      </c>
      <c r="AD89">
        <f t="shared" si="73"/>
        <v>0</v>
      </c>
      <c r="AE89" s="386">
        <f t="shared" si="74"/>
        <v>0.43009401031914235</v>
      </c>
      <c r="AF89" s="386">
        <f t="shared" si="75"/>
        <v>2.5391113075692338</v>
      </c>
      <c r="AG89" s="386">
        <f t="shared" si="76"/>
        <v>6.4470862322259445E-2</v>
      </c>
      <c r="AH89" s="386">
        <f t="shared" si="77"/>
        <v>0.19239999999999999</v>
      </c>
      <c r="AI89" s="386">
        <f t="shared" si="78"/>
        <v>0.26077128097219193</v>
      </c>
      <c r="AJ89" s="386">
        <f t="shared" si="79"/>
        <v>0</v>
      </c>
      <c r="AK89" s="386">
        <f t="shared" si="80"/>
        <v>0</v>
      </c>
      <c r="AL89" s="386">
        <f t="shared" si="81"/>
        <v>0</v>
      </c>
      <c r="AM89">
        <f t="shared" si="82"/>
        <v>0</v>
      </c>
      <c r="AN89" s="386">
        <f t="shared" si="83"/>
        <v>0</v>
      </c>
      <c r="AO89" s="386">
        <f t="shared" si="84"/>
        <v>4.075895559544124</v>
      </c>
      <c r="AP89" s="386">
        <f t="shared" si="85"/>
        <v>0.16612924612311505</v>
      </c>
      <c r="AQ89" s="386">
        <f t="shared" si="86"/>
        <v>0</v>
      </c>
      <c r="AR89" s="386">
        <f t="shared" si="87"/>
        <v>0.17278887226343542</v>
      </c>
      <c r="AS89" s="386">
        <f t="shared" si="88"/>
        <v>0.16612924612311505</v>
      </c>
      <c r="AT89" s="386">
        <f t="shared" si="89"/>
        <v>0</v>
      </c>
      <c r="AU89" s="386">
        <f t="shared" si="90"/>
        <v>7.311200000000001E-2</v>
      </c>
      <c r="AV89" s="386">
        <f t="shared" si="91"/>
        <v>9.6706293483389161E-2</v>
      </c>
      <c r="AW89" s="386">
        <f t="shared" si="92"/>
        <v>6.5920000000000006E-2</v>
      </c>
      <c r="AX89" s="386">
        <f t="shared" si="93"/>
        <v>3.6000000000000004E-2</v>
      </c>
      <c r="AY89" s="386">
        <f t="shared" si="94"/>
        <v>0.40226399999999995</v>
      </c>
      <c r="AZ89" s="386">
        <f t="shared" si="95"/>
        <v>0.30415082926829268</v>
      </c>
      <c r="BA89" s="386">
        <f t="shared" si="113"/>
        <v>0.43826399999999999</v>
      </c>
      <c r="BB89" s="386">
        <f t="shared" si="114"/>
        <v>2.1063523342597912</v>
      </c>
      <c r="BC89">
        <f t="shared" si="96"/>
        <v>48</v>
      </c>
      <c r="BD89" s="604">
        <f t="shared" si="107"/>
        <v>0.95796236931780032</v>
      </c>
      <c r="BE89" s="614">
        <f t="shared" si="97"/>
        <v>29.185948598510258</v>
      </c>
      <c r="BF89" s="614">
        <f t="shared" si="98"/>
        <v>15.124734296387132</v>
      </c>
      <c r="BG89" s="9"/>
      <c r="BH89" s="4">
        <f t="shared" si="108"/>
        <v>95.79623693178003</v>
      </c>
      <c r="BI89" s="386">
        <f t="shared" si="109"/>
        <v>0.42590296575992359</v>
      </c>
      <c r="BJ89" s="386">
        <f t="shared" si="110"/>
        <v>0.93676616355476972</v>
      </c>
      <c r="BK89" s="386">
        <f t="shared" si="111"/>
        <v>0.28489824097219196</v>
      </c>
      <c r="BL89" s="386">
        <f t="shared" si="112"/>
        <v>9.6706293483389161E-2</v>
      </c>
      <c r="BR89" s="18"/>
      <c r="BS89" s="19"/>
    </row>
    <row r="90" spans="1:71" x14ac:dyDescent="0.2">
      <c r="G90">
        <v>81</v>
      </c>
      <c r="H90" s="610">
        <f t="shared" si="59"/>
        <v>19.935000000000002</v>
      </c>
      <c r="I90" s="4" t="str">
        <f t="shared" si="60"/>
        <v>BUCK</v>
      </c>
      <c r="J90">
        <f t="shared" si="99"/>
        <v>1</v>
      </c>
      <c r="K90">
        <f t="shared" si="61"/>
        <v>4</v>
      </c>
      <c r="L90" s="4">
        <f t="shared" si="62"/>
        <v>2.6753615918401468</v>
      </c>
      <c r="M90" s="4">
        <f t="shared" si="63"/>
        <v>4</v>
      </c>
      <c r="N90" s="386">
        <f t="shared" si="64"/>
        <v>0.60779194798699665</v>
      </c>
      <c r="O90" s="386">
        <f t="shared" si="100"/>
        <v>0</v>
      </c>
      <c r="P90" s="4">
        <f t="shared" si="65"/>
        <v>2.740900525879026</v>
      </c>
      <c r="Q90" s="386">
        <f t="shared" si="66"/>
        <v>4.0775047076690987</v>
      </c>
      <c r="R90" s="386">
        <f t="shared" si="101"/>
        <v>0.22338579673555267</v>
      </c>
      <c r="S90" s="386">
        <f t="shared" si="67"/>
        <v>0.20770302878649261</v>
      </c>
      <c r="T90" s="386">
        <f t="shared" si="102"/>
        <v>0.4310888255220453</v>
      </c>
      <c r="U90" s="4">
        <f t="shared" si="68"/>
        <v>0.79122982821912125</v>
      </c>
      <c r="V90" s="386">
        <f t="shared" si="103"/>
        <v>1.6903205308718822E-2</v>
      </c>
      <c r="W90" s="386">
        <f t="shared" si="104"/>
        <v>1.6903205308718822E-2</v>
      </c>
      <c r="X90" s="386">
        <f t="shared" si="69"/>
        <v>1.9908117484151107</v>
      </c>
      <c r="Y90" s="386">
        <f t="shared" si="105"/>
        <v>0.12682660536408416</v>
      </c>
      <c r="Z90" s="603">
        <f t="shared" si="106"/>
        <v>0.12682660536408416</v>
      </c>
      <c r="AA90" s="386">
        <f t="shared" si="70"/>
        <v>3.1788639574085034</v>
      </c>
      <c r="AB90" s="386">
        <f t="shared" si="71"/>
        <v>0.10105176059710852</v>
      </c>
      <c r="AC90" s="386">
        <f t="shared" si="72"/>
        <v>0.32046214145641133</v>
      </c>
      <c r="AD90">
        <f t="shared" si="73"/>
        <v>0</v>
      </c>
      <c r="AE90" s="386">
        <f t="shared" si="74"/>
        <v>0.43163311239140523</v>
      </c>
      <c r="AF90" s="386">
        <f t="shared" si="75"/>
        <v>2.5535991426519571</v>
      </c>
      <c r="AG90" s="386">
        <f t="shared" si="76"/>
        <v>6.5208685813528108E-2</v>
      </c>
      <c r="AH90" s="386">
        <f t="shared" si="77"/>
        <v>0.19239999999999999</v>
      </c>
      <c r="AI90" s="386">
        <f t="shared" si="78"/>
        <v>0.2615657612276126</v>
      </c>
      <c r="AJ90" s="386">
        <f t="shared" si="79"/>
        <v>0</v>
      </c>
      <c r="AK90" s="386">
        <f t="shared" si="80"/>
        <v>0</v>
      </c>
      <c r="AL90" s="386">
        <f t="shared" si="81"/>
        <v>0</v>
      </c>
      <c r="AM90">
        <f t="shared" si="82"/>
        <v>0</v>
      </c>
      <c r="AN90" s="386">
        <f t="shared" si="83"/>
        <v>0</v>
      </c>
      <c r="AO90" s="386">
        <f t="shared" si="84"/>
        <v>4.0775047076690987</v>
      </c>
      <c r="AP90" s="386">
        <f t="shared" si="85"/>
        <v>0.16626044641063661</v>
      </c>
      <c r="AQ90" s="386">
        <f t="shared" si="86"/>
        <v>0</v>
      </c>
      <c r="AR90" s="386">
        <f t="shared" si="87"/>
        <v>0.17293080673588238</v>
      </c>
      <c r="AS90" s="386">
        <f t="shared" si="88"/>
        <v>0.16626044641063661</v>
      </c>
      <c r="AT90" s="386">
        <f t="shared" si="89"/>
        <v>0</v>
      </c>
      <c r="AU90" s="386">
        <f t="shared" si="90"/>
        <v>7.361150000000001E-2</v>
      </c>
      <c r="AV90" s="386">
        <f t="shared" si="91"/>
        <v>9.7813028720292156E-2</v>
      </c>
      <c r="AW90" s="386">
        <f t="shared" si="92"/>
        <v>6.5920000000000006E-2</v>
      </c>
      <c r="AX90" s="386">
        <f t="shared" si="93"/>
        <v>3.6000000000000004E-2</v>
      </c>
      <c r="AY90" s="386">
        <f t="shared" si="94"/>
        <v>0.40226399999999995</v>
      </c>
      <c r="AZ90" s="386">
        <f t="shared" si="95"/>
        <v>0.30415082926829268</v>
      </c>
      <c r="BA90" s="386">
        <f t="shared" si="113"/>
        <v>0.43826399999999999</v>
      </c>
      <c r="BB90" s="386">
        <f t="shared" si="114"/>
        <v>2.1165568452700407</v>
      </c>
      <c r="BC90">
        <f t="shared" si="96"/>
        <v>48</v>
      </c>
      <c r="BD90" s="604">
        <f t="shared" si="107"/>
        <v>0.95776731326925146</v>
      </c>
      <c r="BE90" s="614">
        <f t="shared" si="97"/>
        <v>29.304187518701507</v>
      </c>
      <c r="BF90" s="614">
        <f t="shared" si="98"/>
        <v>15.170814151201531</v>
      </c>
      <c r="BG90" s="9"/>
      <c r="BH90" s="4">
        <f t="shared" si="108"/>
        <v>95.776731326925145</v>
      </c>
      <c r="BI90" s="386">
        <f t="shared" si="109"/>
        <v>0.4310888255220453</v>
      </c>
      <c r="BJ90" s="386">
        <f t="shared" si="110"/>
        <v>0.93974118035490017</v>
      </c>
      <c r="BK90" s="386">
        <f t="shared" si="111"/>
        <v>0.28585755622761261</v>
      </c>
      <c r="BL90" s="386">
        <f t="shared" si="112"/>
        <v>9.7813028720292156E-2</v>
      </c>
      <c r="BR90" s="18"/>
      <c r="BS90" s="19"/>
    </row>
    <row r="91" spans="1:71" x14ac:dyDescent="0.2">
      <c r="G91">
        <v>82</v>
      </c>
      <c r="H91" s="610">
        <f t="shared" si="59"/>
        <v>20.07</v>
      </c>
      <c r="I91" s="4" t="str">
        <f t="shared" si="60"/>
        <v>BUCK</v>
      </c>
      <c r="J91">
        <f t="shared" si="99"/>
        <v>1</v>
      </c>
      <c r="K91">
        <f t="shared" si="61"/>
        <v>4</v>
      </c>
      <c r="L91" s="4">
        <f t="shared" si="62"/>
        <v>2.6573658860654374</v>
      </c>
      <c r="M91" s="4">
        <f t="shared" si="63"/>
        <v>4</v>
      </c>
      <c r="N91" s="386">
        <f t="shared" si="64"/>
        <v>0.60371584699453551</v>
      </c>
      <c r="O91" s="386">
        <f t="shared" si="100"/>
        <v>0</v>
      </c>
      <c r="P91" s="4">
        <f t="shared" si="65"/>
        <v>2.7693858853621673</v>
      </c>
      <c r="Q91" s="386">
        <f t="shared" si="66"/>
        <v>4.0791083398830681</v>
      </c>
      <c r="R91" s="386">
        <f t="shared" si="101"/>
        <v>0.22356468425204071</v>
      </c>
      <c r="S91" s="386">
        <f t="shared" si="67"/>
        <v>0.21271016814965743</v>
      </c>
      <c r="T91" s="386">
        <f t="shared" si="102"/>
        <v>0.43627485240169817</v>
      </c>
      <c r="U91" s="4">
        <f t="shared" si="68"/>
        <v>0.79945284320189869</v>
      </c>
      <c r="V91" s="386">
        <f t="shared" si="103"/>
        <v>1.7256370909597189E-2</v>
      </c>
      <c r="W91" s="386">
        <f t="shared" si="104"/>
        <v>1.7256370909597189E-2</v>
      </c>
      <c r="X91" s="386">
        <f t="shared" si="69"/>
        <v>1.995192855389738</v>
      </c>
      <c r="Y91" s="386">
        <f t="shared" si="105"/>
        <v>0.1273854249663442</v>
      </c>
      <c r="Z91" s="603">
        <f t="shared" si="106"/>
        <v>0.1273854249663442</v>
      </c>
      <c r="AA91" s="386">
        <f t="shared" si="70"/>
        <v>3.1694326544607589</v>
      </c>
      <c r="AB91" s="386">
        <f t="shared" si="71"/>
        <v>0.10045303351162171</v>
      </c>
      <c r="AC91" s="386">
        <f t="shared" si="72"/>
        <v>0.32263231397191749</v>
      </c>
      <c r="AD91">
        <f t="shared" si="73"/>
        <v>0</v>
      </c>
      <c r="AE91" s="386">
        <f t="shared" si="74"/>
        <v>0.43318066790219201</v>
      </c>
      <c r="AF91" s="386">
        <f t="shared" si="75"/>
        <v>2.5678437447285272</v>
      </c>
      <c r="AG91" s="386">
        <f t="shared" si="76"/>
        <v>6.5938214973414247E-2</v>
      </c>
      <c r="AH91" s="386">
        <f t="shared" si="77"/>
        <v>0.19239999999999999</v>
      </c>
      <c r="AI91" s="386">
        <f t="shared" si="78"/>
        <v>0.26235158181346802</v>
      </c>
      <c r="AJ91" s="386">
        <f t="shared" si="79"/>
        <v>0</v>
      </c>
      <c r="AK91" s="386">
        <f t="shared" si="80"/>
        <v>0</v>
      </c>
      <c r="AL91" s="386">
        <f t="shared" si="81"/>
        <v>0</v>
      </c>
      <c r="AM91">
        <f t="shared" si="82"/>
        <v>0</v>
      </c>
      <c r="AN91" s="386">
        <f t="shared" si="83"/>
        <v>0</v>
      </c>
      <c r="AO91" s="386">
        <f t="shared" si="84"/>
        <v>4.0791083398830681</v>
      </c>
      <c r="AP91" s="386">
        <f t="shared" si="85"/>
        <v>0.166391248485036</v>
      </c>
      <c r="AQ91" s="386">
        <f t="shared" si="86"/>
        <v>0</v>
      </c>
      <c r="AR91" s="386">
        <f t="shared" si="87"/>
        <v>0.17307231936189996</v>
      </c>
      <c r="AS91" s="386">
        <f t="shared" si="88"/>
        <v>0.166391248485036</v>
      </c>
      <c r="AT91" s="386">
        <f t="shared" si="89"/>
        <v>0</v>
      </c>
      <c r="AU91" s="386">
        <f t="shared" si="90"/>
        <v>7.411100000000001E-2</v>
      </c>
      <c r="AV91" s="386">
        <f t="shared" si="91"/>
        <v>9.8907322460121377E-2</v>
      </c>
      <c r="AW91" s="386">
        <f t="shared" si="92"/>
        <v>6.5920000000000006E-2</v>
      </c>
      <c r="AX91" s="386">
        <f t="shared" si="93"/>
        <v>3.6000000000000004E-2</v>
      </c>
      <c r="AY91" s="386">
        <f t="shared" si="94"/>
        <v>0.40226399999999995</v>
      </c>
      <c r="AZ91" s="386">
        <f t="shared" si="95"/>
        <v>0.30415082926829268</v>
      </c>
      <c r="BA91" s="386">
        <f t="shared" si="113"/>
        <v>0.43826399999999999</v>
      </c>
      <c r="BB91" s="386">
        <f t="shared" si="114"/>
        <v>2.1267235398153215</v>
      </c>
      <c r="BC91">
        <f t="shared" si="96"/>
        <v>48</v>
      </c>
      <c r="BD91" s="604">
        <f t="shared" si="107"/>
        <v>0.95757305904651679</v>
      </c>
      <c r="BE91" s="614">
        <f t="shared" si="97"/>
        <v>29.422916738327139</v>
      </c>
      <c r="BF91" s="614">
        <f t="shared" si="98"/>
        <v>15.216391745181145</v>
      </c>
      <c r="BG91" s="9"/>
      <c r="BH91" s="4">
        <f t="shared" si="108"/>
        <v>95.757305904651673</v>
      </c>
      <c r="BI91" s="386">
        <f t="shared" si="109"/>
        <v>0.43627485240169817</v>
      </c>
      <c r="BJ91" s="386">
        <f t="shared" si="110"/>
        <v>0.94271556907755993</v>
      </c>
      <c r="BK91" s="386">
        <f t="shared" si="111"/>
        <v>0.28680821181346799</v>
      </c>
      <c r="BL91" s="386">
        <f t="shared" si="112"/>
        <v>9.8907322460121377E-2</v>
      </c>
      <c r="BR91" s="18"/>
      <c r="BS91" s="19"/>
    </row>
    <row r="92" spans="1:71" x14ac:dyDescent="0.2">
      <c r="G92">
        <v>83</v>
      </c>
      <c r="H92" s="610">
        <f t="shared" si="59"/>
        <v>20.204999999999998</v>
      </c>
      <c r="I92" s="4" t="str">
        <f t="shared" si="60"/>
        <v>BUCK</v>
      </c>
      <c r="J92">
        <f t="shared" si="99"/>
        <v>1</v>
      </c>
      <c r="K92">
        <f t="shared" si="61"/>
        <v>4</v>
      </c>
      <c r="L92" s="4">
        <f t="shared" si="62"/>
        <v>2.6396106574280296</v>
      </c>
      <c r="M92" s="4">
        <f t="shared" si="63"/>
        <v>4</v>
      </c>
      <c r="N92" s="386">
        <f t="shared" si="64"/>
        <v>0.5996940537873181</v>
      </c>
      <c r="O92" s="386">
        <f t="shared" si="100"/>
        <v>0</v>
      </c>
      <c r="P92" s="4">
        <f t="shared" si="65"/>
        <v>2.7974917211808403</v>
      </c>
      <c r="Q92" s="386">
        <f t="shared" si="66"/>
        <v>4.0807062290130958</v>
      </c>
      <c r="R92" s="386">
        <f t="shared" si="101"/>
        <v>0.22374300608837697</v>
      </c>
      <c r="S92" s="386">
        <f t="shared" si="67"/>
        <v>0.2177168609427601</v>
      </c>
      <c r="T92" s="386">
        <f t="shared" si="102"/>
        <v>0.44145986703113704</v>
      </c>
      <c r="U92" s="4">
        <f t="shared" si="68"/>
        <v>0.80756629913975386</v>
      </c>
      <c r="V92" s="386">
        <f t="shared" si="103"/>
        <v>1.7608409842669516E-2</v>
      </c>
      <c r="W92" s="386">
        <f t="shared" si="104"/>
        <v>1.7608409842669516E-2</v>
      </c>
      <c r="X92" s="386">
        <f t="shared" si="69"/>
        <v>1.9993840484429823</v>
      </c>
      <c r="Y92" s="386">
        <f t="shared" si="105"/>
        <v>0.12792117034138401</v>
      </c>
      <c r="Z92" s="603">
        <f t="shared" si="106"/>
        <v>0.12792117034138401</v>
      </c>
      <c r="AA92" s="386">
        <f t="shared" si="70"/>
        <v>3.1600954621974249</v>
      </c>
      <c r="AB92" s="386">
        <f t="shared" si="71"/>
        <v>9.9862033302007575E-2</v>
      </c>
      <c r="AC92" s="386">
        <f t="shared" si="72"/>
        <v>0.3248024864874236</v>
      </c>
      <c r="AD92">
        <f t="shared" si="73"/>
        <v>0</v>
      </c>
      <c r="AE92" s="386">
        <f t="shared" si="74"/>
        <v>0.43473649122105956</v>
      </c>
      <c r="AF92" s="386">
        <f t="shared" si="75"/>
        <v>2.5818520479116387</v>
      </c>
      <c r="AG92" s="386">
        <f t="shared" si="76"/>
        <v>6.6659599973055234E-2</v>
      </c>
      <c r="AH92" s="386">
        <f t="shared" si="77"/>
        <v>0.19239999999999999</v>
      </c>
      <c r="AI92" s="386">
        <f t="shared" si="78"/>
        <v>0.26312889549738339</v>
      </c>
      <c r="AJ92" s="386">
        <f t="shared" si="79"/>
        <v>0</v>
      </c>
      <c r="AK92" s="386">
        <f t="shared" si="80"/>
        <v>0</v>
      </c>
      <c r="AL92" s="386">
        <f t="shared" si="81"/>
        <v>0</v>
      </c>
      <c r="AM92">
        <f t="shared" si="82"/>
        <v>0</v>
      </c>
      <c r="AN92" s="386">
        <f t="shared" si="83"/>
        <v>0</v>
      </c>
      <c r="AO92" s="386">
        <f t="shared" si="84"/>
        <v>4.0807062290130958</v>
      </c>
      <c r="AP92" s="386">
        <f t="shared" si="85"/>
        <v>0.16652163327506281</v>
      </c>
      <c r="AQ92" s="386">
        <f t="shared" si="86"/>
        <v>0</v>
      </c>
      <c r="AR92" s="386">
        <f t="shared" si="87"/>
        <v>0.17321338942591957</v>
      </c>
      <c r="AS92" s="386">
        <f t="shared" si="88"/>
        <v>0.16652163327506281</v>
      </c>
      <c r="AT92" s="386">
        <f t="shared" si="89"/>
        <v>0</v>
      </c>
      <c r="AU92" s="386">
        <f t="shared" si="90"/>
        <v>7.4610499999999996E-2</v>
      </c>
      <c r="AV92" s="386">
        <f t="shared" si="91"/>
        <v>9.9989399959582836E-2</v>
      </c>
      <c r="AW92" s="386">
        <f t="shared" si="92"/>
        <v>6.5920000000000006E-2</v>
      </c>
      <c r="AX92" s="386">
        <f t="shared" si="93"/>
        <v>3.6000000000000004E-2</v>
      </c>
      <c r="AY92" s="386">
        <f t="shared" si="94"/>
        <v>0.40226399999999995</v>
      </c>
      <c r="AZ92" s="386">
        <f t="shared" si="95"/>
        <v>0.30415082926829268</v>
      </c>
      <c r="BA92" s="386">
        <f t="shared" si="113"/>
        <v>0.43826399999999999</v>
      </c>
      <c r="BB92" s="386">
        <f t="shared" si="114"/>
        <v>2.136852123319136</v>
      </c>
      <c r="BC92">
        <f t="shared" si="96"/>
        <v>48</v>
      </c>
      <c r="BD92" s="604">
        <f t="shared" si="107"/>
        <v>0.95737961134729344</v>
      </c>
      <c r="BE92" s="614">
        <f t="shared" si="97"/>
        <v>29.542125490821451</v>
      </c>
      <c r="BF92" s="614">
        <f t="shared" si="98"/>
        <v>15.261475938848236</v>
      </c>
      <c r="BG92" s="9"/>
      <c r="BH92" s="4">
        <f t="shared" si="108"/>
        <v>95.737961134729346</v>
      </c>
      <c r="BI92" s="386">
        <f t="shared" si="109"/>
        <v>0.44145986703113704</v>
      </c>
      <c r="BJ92" s="386">
        <f t="shared" si="110"/>
        <v>0.9456892761443626</v>
      </c>
      <c r="BK92" s="386">
        <f t="shared" si="111"/>
        <v>0.2877503604973834</v>
      </c>
      <c r="BL92" s="386">
        <f t="shared" si="112"/>
        <v>9.9989399959582836E-2</v>
      </c>
      <c r="BR92" s="18"/>
      <c r="BS92" s="19"/>
    </row>
    <row r="93" spans="1:71" x14ac:dyDescent="0.2">
      <c r="G93">
        <v>84</v>
      </c>
      <c r="H93" s="610">
        <f t="shared" si="59"/>
        <v>20.34</v>
      </c>
      <c r="I93" s="4" t="str">
        <f t="shared" si="60"/>
        <v>BUCK</v>
      </c>
      <c r="J93">
        <f t="shared" si="99"/>
        <v>1</v>
      </c>
      <c r="K93">
        <f t="shared" si="61"/>
        <v>4</v>
      </c>
      <c r="L93" s="4">
        <f t="shared" si="62"/>
        <v>2.6220911176663386</v>
      </c>
      <c r="M93" s="4">
        <f t="shared" si="63"/>
        <v>4</v>
      </c>
      <c r="N93" s="386">
        <f t="shared" si="64"/>
        <v>0.59572549019607846</v>
      </c>
      <c r="O93" s="386">
        <f t="shared" si="100"/>
        <v>0</v>
      </c>
      <c r="P93" s="4">
        <f t="shared" si="65"/>
        <v>2.8252255679960312</v>
      </c>
      <c r="Q93" s="386">
        <f t="shared" si="66"/>
        <v>4.0822981631067661</v>
      </c>
      <c r="R93" s="386">
        <f t="shared" si="101"/>
        <v>0.22392073777530427</v>
      </c>
      <c r="S93" s="386">
        <f t="shared" si="67"/>
        <v>0.22272200755830135</v>
      </c>
      <c r="T93" s="386">
        <f t="shared" si="102"/>
        <v>0.4466427453336056</v>
      </c>
      <c r="U93" s="4">
        <f t="shared" si="68"/>
        <v>0.81557237110196101</v>
      </c>
      <c r="V93" s="386">
        <f t="shared" si="103"/>
        <v>1.795927389763162E-2</v>
      </c>
      <c r="W93" s="386">
        <f t="shared" si="104"/>
        <v>1.795927389763162E-2</v>
      </c>
      <c r="X93" s="386">
        <f t="shared" si="69"/>
        <v>2.0033922657236425</v>
      </c>
      <c r="Y93" s="386">
        <f t="shared" si="105"/>
        <v>0.1284345782515619</v>
      </c>
      <c r="Z93" s="603">
        <f t="shared" si="106"/>
        <v>0.1284345782515619</v>
      </c>
      <c r="AA93" s="386">
        <f t="shared" si="70"/>
        <v>3.1508506141989199</v>
      </c>
      <c r="AB93" s="386">
        <f t="shared" si="71"/>
        <v>9.927859592997712E-2</v>
      </c>
      <c r="AC93" s="386">
        <f t="shared" si="72"/>
        <v>0.32697265900292982</v>
      </c>
      <c r="AD93">
        <f t="shared" si="73"/>
        <v>0</v>
      </c>
      <c r="AE93" s="386">
        <f t="shared" si="74"/>
        <v>0.43630040253001945</v>
      </c>
      <c r="AF93" s="386">
        <f t="shared" si="75"/>
        <v>2.5956306939753908</v>
      </c>
      <c r="AG93" s="386">
        <f t="shared" si="76"/>
        <v>6.7372986995071688E-2</v>
      </c>
      <c r="AH93" s="386">
        <f t="shared" si="77"/>
        <v>0.19239999999999999</v>
      </c>
      <c r="AI93" s="386">
        <f t="shared" si="78"/>
        <v>0.26389785106017272</v>
      </c>
      <c r="AJ93" s="386">
        <f t="shared" si="79"/>
        <v>0</v>
      </c>
      <c r="AK93" s="386">
        <f t="shared" si="80"/>
        <v>0</v>
      </c>
      <c r="AL93" s="386">
        <f t="shared" si="81"/>
        <v>0</v>
      </c>
      <c r="AM93">
        <f t="shared" si="82"/>
        <v>0</v>
      </c>
      <c r="AN93" s="386">
        <f t="shared" si="83"/>
        <v>0</v>
      </c>
      <c r="AO93" s="386">
        <f t="shared" si="84"/>
        <v>4.0822981631067661</v>
      </c>
      <c r="AP93" s="386">
        <f t="shared" si="85"/>
        <v>0.16665158292504878</v>
      </c>
      <c r="AQ93" s="386">
        <f t="shared" si="86"/>
        <v>0</v>
      </c>
      <c r="AR93" s="386">
        <f t="shared" si="87"/>
        <v>0.17335399752275277</v>
      </c>
      <c r="AS93" s="386">
        <f t="shared" si="88"/>
        <v>0.16665158292504878</v>
      </c>
      <c r="AT93" s="386">
        <f t="shared" si="89"/>
        <v>0</v>
      </c>
      <c r="AU93" s="386">
        <f t="shared" si="90"/>
        <v>7.511000000000001E-2</v>
      </c>
      <c r="AV93" s="386">
        <f t="shared" si="91"/>
        <v>0.10105948049260753</v>
      </c>
      <c r="AW93" s="386">
        <f t="shared" si="92"/>
        <v>6.5920000000000006E-2</v>
      </c>
      <c r="AX93" s="386">
        <f t="shared" si="93"/>
        <v>3.6000000000000004E-2</v>
      </c>
      <c r="AY93" s="386">
        <f t="shared" si="94"/>
        <v>0.40226399999999995</v>
      </c>
      <c r="AZ93" s="386">
        <f t="shared" si="95"/>
        <v>0.30415082926829268</v>
      </c>
      <c r="BA93" s="386">
        <f t="shared" si="113"/>
        <v>0.43826399999999999</v>
      </c>
      <c r="BB93" s="386">
        <f t="shared" si="114"/>
        <v>2.1469423290883518</v>
      </c>
      <c r="BC93">
        <f t="shared" si="96"/>
        <v>48</v>
      </c>
      <c r="BD93" s="604">
        <f t="shared" si="107"/>
        <v>0.95718697433237132</v>
      </c>
      <c r="BE93" s="614">
        <f t="shared" si="97"/>
        <v>29.661803346741127</v>
      </c>
      <c r="BF93" s="614">
        <f t="shared" si="98"/>
        <v>15.306075361490018</v>
      </c>
      <c r="BG93" s="9"/>
      <c r="BH93" s="4">
        <f t="shared" si="108"/>
        <v>95.718697433237139</v>
      </c>
      <c r="BI93" s="386">
        <f t="shared" si="109"/>
        <v>0.4466427453336056</v>
      </c>
      <c r="BJ93" s="386">
        <f t="shared" si="110"/>
        <v>0.948662251112945</v>
      </c>
      <c r="BK93" s="386">
        <f t="shared" si="111"/>
        <v>0.2886841510601727</v>
      </c>
      <c r="BL93" s="386">
        <f t="shared" si="112"/>
        <v>0.10105948049260753</v>
      </c>
      <c r="BR93" s="18"/>
      <c r="BS93" s="19"/>
    </row>
    <row r="94" spans="1:71" x14ac:dyDescent="0.2">
      <c r="G94">
        <v>85</v>
      </c>
      <c r="H94" s="610">
        <f t="shared" si="59"/>
        <v>20.475000000000001</v>
      </c>
      <c r="I94" s="4" t="str">
        <f t="shared" si="60"/>
        <v>BUCK</v>
      </c>
      <c r="J94">
        <f t="shared" si="99"/>
        <v>1</v>
      </c>
      <c r="K94">
        <f t="shared" si="61"/>
        <v>4</v>
      </c>
      <c r="L94" s="4">
        <f t="shared" si="62"/>
        <v>2.6048026048026047</v>
      </c>
      <c r="M94" s="4">
        <f t="shared" si="63"/>
        <v>4</v>
      </c>
      <c r="N94" s="386">
        <f t="shared" si="64"/>
        <v>0.59180910640370099</v>
      </c>
      <c r="O94" s="386">
        <f t="shared" si="100"/>
        <v>0</v>
      </c>
      <c r="P94" s="4">
        <f t="shared" si="65"/>
        <v>2.8525947623330095</v>
      </c>
      <c r="Q94" s="386">
        <f t="shared" si="66"/>
        <v>4.0838839446260158</v>
      </c>
      <c r="R94" s="386">
        <f t="shared" si="101"/>
        <v>0.22409785641721613</v>
      </c>
      <c r="S94" s="386">
        <f t="shared" si="67"/>
        <v>0.22772455979326986</v>
      </c>
      <c r="T94" s="386">
        <f t="shared" si="102"/>
        <v>0.45182241621048602</v>
      </c>
      <c r="U94" s="4">
        <f t="shared" si="68"/>
        <v>0.8234731769609398</v>
      </c>
      <c r="V94" s="386">
        <f t="shared" si="103"/>
        <v>1.8308917975701867E-2</v>
      </c>
      <c r="W94" s="386">
        <f t="shared" si="104"/>
        <v>1.8308917975701867E-2</v>
      </c>
      <c r="X94" s="386">
        <f t="shared" si="69"/>
        <v>2.0072241311590693</v>
      </c>
      <c r="Y94" s="386">
        <f t="shared" si="105"/>
        <v>0.12892635880663297</v>
      </c>
      <c r="Z94" s="603">
        <f t="shared" si="106"/>
        <v>0.12892635880663297</v>
      </c>
      <c r="AA94" s="386">
        <f t="shared" si="70"/>
        <v>3.1416963945119747</v>
      </c>
      <c r="AB94" s="386">
        <f t="shared" si="71"/>
        <v>9.8702562352895429E-2</v>
      </c>
      <c r="AC94" s="386">
        <f t="shared" si="72"/>
        <v>0.32914283151843604</v>
      </c>
      <c r="AD94">
        <f t="shared" si="73"/>
        <v>0</v>
      </c>
      <c r="AE94" s="386">
        <f t="shared" si="74"/>
        <v>0.43787222758761929</v>
      </c>
      <c r="AF94" s="386">
        <f t="shared" si="75"/>
        <v>2.6091860489211198</v>
      </c>
      <c r="AG94" s="386">
        <f t="shared" si="76"/>
        <v>6.8078518378846042E-2</v>
      </c>
      <c r="AH94" s="386">
        <f t="shared" si="77"/>
        <v>0.19239999999999999</v>
      </c>
      <c r="AI94" s="386">
        <f t="shared" si="78"/>
        <v>0.26465859343973069</v>
      </c>
      <c r="AJ94" s="386">
        <f t="shared" si="79"/>
        <v>0</v>
      </c>
      <c r="AK94" s="386">
        <f t="shared" si="80"/>
        <v>0</v>
      </c>
      <c r="AL94" s="386">
        <f t="shared" si="81"/>
        <v>0</v>
      </c>
      <c r="AM94">
        <f t="shared" si="82"/>
        <v>0</v>
      </c>
      <c r="AN94" s="386">
        <f t="shared" si="83"/>
        <v>0</v>
      </c>
      <c r="AO94" s="386">
        <f t="shared" si="84"/>
        <v>4.0838839446260158</v>
      </c>
      <c r="AP94" s="386">
        <f t="shared" si="85"/>
        <v>0.16678108073174147</v>
      </c>
      <c r="AQ94" s="386">
        <f t="shared" si="86"/>
        <v>0</v>
      </c>
      <c r="AR94" s="386">
        <f t="shared" si="87"/>
        <v>0.17349412548969018</v>
      </c>
      <c r="AS94" s="386">
        <f t="shared" si="88"/>
        <v>0.16678108073174147</v>
      </c>
      <c r="AT94" s="386">
        <f t="shared" si="89"/>
        <v>0</v>
      </c>
      <c r="AU94" s="386">
        <f t="shared" si="90"/>
        <v>7.560950000000001E-2</v>
      </c>
      <c r="AV94" s="386">
        <f t="shared" si="91"/>
        <v>0.10211777756826906</v>
      </c>
      <c r="AW94" s="386">
        <f t="shared" si="92"/>
        <v>6.5920000000000006E-2</v>
      </c>
      <c r="AX94" s="386">
        <f t="shared" si="93"/>
        <v>3.6000000000000004E-2</v>
      </c>
      <c r="AY94" s="386">
        <f t="shared" si="94"/>
        <v>0.40226399999999995</v>
      </c>
      <c r="AZ94" s="386">
        <f t="shared" si="95"/>
        <v>0.30415082926829268</v>
      </c>
      <c r="BA94" s="386">
        <f t="shared" si="113"/>
        <v>0.43826399999999999</v>
      </c>
      <c r="BB94" s="386">
        <f t="shared" si="114"/>
        <v>2.1569939170781303</v>
      </c>
      <c r="BC94">
        <f t="shared" si="96"/>
        <v>48</v>
      </c>
      <c r="BD94" s="604">
        <f t="shared" si="107"/>
        <v>0.95699515165035265</v>
      </c>
      <c r="BE94" s="614">
        <f t="shared" si="97"/>
        <v>29.781940200081923</v>
      </c>
      <c r="BF94" s="614">
        <f t="shared" si="98"/>
        <v>15.35019841950438</v>
      </c>
      <c r="BG94" s="9"/>
      <c r="BH94" s="4">
        <f t="shared" si="108"/>
        <v>95.699515165035265</v>
      </c>
      <c r="BI94" s="386">
        <f t="shared" si="109"/>
        <v>0.45182241621048602</v>
      </c>
      <c r="BJ94" s="386">
        <f t="shared" si="110"/>
        <v>0.95163444651704021</v>
      </c>
      <c r="BK94" s="386">
        <f t="shared" si="111"/>
        <v>0.28960972843973071</v>
      </c>
      <c r="BL94" s="386">
        <f t="shared" si="112"/>
        <v>0.10211777756826906</v>
      </c>
      <c r="BR94" s="18"/>
      <c r="BS94" s="19"/>
    </row>
    <row r="95" spans="1:71" x14ac:dyDescent="0.2">
      <c r="G95">
        <v>86</v>
      </c>
      <c r="H95" s="610">
        <f t="shared" si="59"/>
        <v>20.61</v>
      </c>
      <c r="I95" s="4" t="str">
        <f t="shared" si="60"/>
        <v>BUCK</v>
      </c>
      <c r="J95">
        <f t="shared" si="99"/>
        <v>1</v>
      </c>
      <c r="K95">
        <f t="shared" si="61"/>
        <v>4</v>
      </c>
      <c r="L95" s="4">
        <f t="shared" si="62"/>
        <v>2.5877405790069545</v>
      </c>
      <c r="M95" s="4">
        <f t="shared" si="63"/>
        <v>4</v>
      </c>
      <c r="N95" s="386">
        <f t="shared" si="64"/>
        <v>0.58794388001935172</v>
      </c>
      <c r="O95" s="386">
        <f t="shared" si="100"/>
        <v>0</v>
      </c>
      <c r="P95" s="4">
        <f t="shared" si="65"/>
        <v>2.8796064490516513</v>
      </c>
      <c r="Q95" s="386">
        <f t="shared" si="66"/>
        <v>4.0854633896844135</v>
      </c>
      <c r="R95" s="386">
        <f t="shared" si="101"/>
        <v>0.2242743406106209</v>
      </c>
      <c r="S95" s="386">
        <f t="shared" si="67"/>
        <v>0.23272351871244254</v>
      </c>
      <c r="T95" s="386">
        <f t="shared" si="102"/>
        <v>0.45699785932306347</v>
      </c>
      <c r="U95" s="4">
        <f t="shared" si="68"/>
        <v>0.83127077926007664</v>
      </c>
      <c r="V95" s="386">
        <f t="shared" si="103"/>
        <v>1.8657299928194686E-2</v>
      </c>
      <c r="W95" s="386">
        <f t="shared" si="104"/>
        <v>1.8657299928194686E-2</v>
      </c>
      <c r="X95" s="386">
        <f t="shared" si="69"/>
        <v>2.0108859722978609</v>
      </c>
      <c r="Y95" s="386">
        <f t="shared" si="105"/>
        <v>0.12939719659469806</v>
      </c>
      <c r="Z95" s="603">
        <f t="shared" si="106"/>
        <v>0.12939719659469806</v>
      </c>
      <c r="AA95" s="386">
        <f t="shared" si="70"/>
        <v>3.1326311357306604</v>
      </c>
      <c r="AB95" s="386">
        <f t="shared" si="71"/>
        <v>9.813377832549168E-2</v>
      </c>
      <c r="AC95" s="386">
        <f t="shared" si="72"/>
        <v>0.33131300403394215</v>
      </c>
      <c r="AD95">
        <f t="shared" si="73"/>
        <v>0</v>
      </c>
      <c r="AE95" s="386">
        <f t="shared" si="74"/>
        <v>0.43945179750463953</v>
      </c>
      <c r="AF95" s="386">
        <f t="shared" si="75"/>
        <v>2.6225242183633859</v>
      </c>
      <c r="AG95" s="386">
        <f t="shared" si="76"/>
        <v>6.877633275902488E-2</v>
      </c>
      <c r="AH95" s="386">
        <f t="shared" si="77"/>
        <v>0.19239999999999999</v>
      </c>
      <c r="AI95" s="386">
        <f t="shared" si="78"/>
        <v>0.26541126386824138</v>
      </c>
      <c r="AJ95" s="386">
        <f t="shared" si="79"/>
        <v>0</v>
      </c>
      <c r="AK95" s="386">
        <f t="shared" si="80"/>
        <v>0</v>
      </c>
      <c r="AL95" s="386">
        <f t="shared" si="81"/>
        <v>0</v>
      </c>
      <c r="AM95">
        <f t="shared" si="82"/>
        <v>0</v>
      </c>
      <c r="AN95" s="386">
        <f t="shared" si="83"/>
        <v>0</v>
      </c>
      <c r="AO95" s="386">
        <f t="shared" si="84"/>
        <v>4.0854633896844135</v>
      </c>
      <c r="AP95" s="386">
        <f t="shared" si="85"/>
        <v>0.16691011108451659</v>
      </c>
      <c r="AQ95" s="386">
        <f t="shared" si="86"/>
        <v>0</v>
      </c>
      <c r="AR95" s="386">
        <f t="shared" si="87"/>
        <v>0.17363375634222855</v>
      </c>
      <c r="AS95" s="386">
        <f t="shared" si="88"/>
        <v>0.16691011108451659</v>
      </c>
      <c r="AT95" s="386">
        <f t="shared" si="89"/>
        <v>0</v>
      </c>
      <c r="AU95" s="386">
        <f t="shared" si="90"/>
        <v>7.610900000000001E-2</v>
      </c>
      <c r="AV95" s="386">
        <f t="shared" si="91"/>
        <v>0.10316449913853731</v>
      </c>
      <c r="AW95" s="386">
        <f t="shared" si="92"/>
        <v>6.5920000000000006E-2</v>
      </c>
      <c r="AX95" s="386">
        <f t="shared" si="93"/>
        <v>3.6000000000000004E-2</v>
      </c>
      <c r="AY95" s="386">
        <f t="shared" si="94"/>
        <v>0.40226399999999995</v>
      </c>
      <c r="AZ95" s="386">
        <f t="shared" si="95"/>
        <v>0.30415082926829268</v>
      </c>
      <c r="BA95" s="386">
        <f t="shared" si="113"/>
        <v>0.43826399999999999</v>
      </c>
      <c r="BB95" s="386">
        <f t="shared" si="114"/>
        <v>2.1670066726996029</v>
      </c>
      <c r="BC95">
        <f t="shared" si="96"/>
        <v>48</v>
      </c>
      <c r="BD95" s="604">
        <f t="shared" si="107"/>
        <v>0.95680414646148571</v>
      </c>
      <c r="BE95" s="614">
        <f t="shared" si="97"/>
        <v>29.902526255269095</v>
      </c>
      <c r="BF95" s="614">
        <f t="shared" si="98"/>
        <v>15.393853304358</v>
      </c>
      <c r="BG95" s="9"/>
      <c r="BH95" s="4">
        <f t="shared" si="108"/>
        <v>95.680414646148577</v>
      </c>
      <c r="BI95" s="386">
        <f t="shared" si="109"/>
        <v>0.45699785932306347</v>
      </c>
      <c r="BJ95" s="386">
        <f t="shared" si="110"/>
        <v>0.95460581771510944</v>
      </c>
      <c r="BK95" s="386">
        <f t="shared" si="111"/>
        <v>0.29052723386824136</v>
      </c>
      <c r="BL95" s="386">
        <f t="shared" si="112"/>
        <v>0.10316449913853731</v>
      </c>
      <c r="BR95" s="18"/>
      <c r="BS95" s="19"/>
    </row>
    <row r="96" spans="1:71" x14ac:dyDescent="0.2">
      <c r="G96">
        <v>87</v>
      </c>
      <c r="H96" s="610">
        <f t="shared" si="59"/>
        <v>20.744999999999997</v>
      </c>
      <c r="I96" s="4" t="str">
        <f t="shared" si="60"/>
        <v>BUCK</v>
      </c>
      <c r="J96">
        <f t="shared" si="99"/>
        <v>1</v>
      </c>
      <c r="K96">
        <f t="shared" si="61"/>
        <v>4</v>
      </c>
      <c r="L96" s="4">
        <f t="shared" si="62"/>
        <v>2.5709006186229617</v>
      </c>
      <c r="M96" s="4">
        <f t="shared" si="63"/>
        <v>4</v>
      </c>
      <c r="N96" s="386">
        <f t="shared" si="64"/>
        <v>0.58412881518865667</v>
      </c>
      <c r="O96" s="386">
        <f t="shared" si="100"/>
        <v>0</v>
      </c>
      <c r="P96" s="4">
        <f t="shared" si="65"/>
        <v>2.9062675875648614</v>
      </c>
      <c r="Q96" s="386">
        <f t="shared" si="66"/>
        <v>4.0870363273254018</v>
      </c>
      <c r="R96" s="386">
        <f t="shared" si="101"/>
        <v>0.22445017036694787</v>
      </c>
      <c r="S96" s="386">
        <f t="shared" si="67"/>
        <v>0.23771793259844778</v>
      </c>
      <c r="T96" s="386">
        <f t="shared" si="102"/>
        <v>0.46216810296539568</v>
      </c>
      <c r="U96" s="4">
        <f t="shared" si="68"/>
        <v>0.83896718700882855</v>
      </c>
      <c r="V96" s="386">
        <f t="shared" si="103"/>
        <v>1.9004380403692678E-2</v>
      </c>
      <c r="W96" s="386">
        <f t="shared" si="104"/>
        <v>1.9004380403692678E-2</v>
      </c>
      <c r="X96" s="386">
        <f t="shared" si="69"/>
        <v>2.014383836911791</v>
      </c>
      <c r="Y96" s="386">
        <f t="shared" si="105"/>
        <v>0.12984775175716701</v>
      </c>
      <c r="Z96" s="603">
        <f t="shared" si="106"/>
        <v>0.12984775175716701</v>
      </c>
      <c r="AA96" s="386">
        <f t="shared" si="70"/>
        <v>3.1236532171665496</v>
      </c>
      <c r="AB96" s="386">
        <f t="shared" si="71"/>
        <v>9.757209421114936E-2</v>
      </c>
      <c r="AC96" s="386">
        <f t="shared" si="72"/>
        <v>0.33348317654944831</v>
      </c>
      <c r="AD96">
        <f t="shared" si="73"/>
        <v>0</v>
      </c>
      <c r="AE96" s="386">
        <f t="shared" si="74"/>
        <v>0.44103894853074171</v>
      </c>
      <c r="AF96" s="386">
        <f t="shared" si="75"/>
        <v>2.635651061837013</v>
      </c>
      <c r="AG96" s="386">
        <f t="shared" si="76"/>
        <v>6.9466565197625743E-2</v>
      </c>
      <c r="AH96" s="386">
        <f t="shared" si="77"/>
        <v>0.19239999999999999</v>
      </c>
      <c r="AI96" s="386">
        <f t="shared" si="78"/>
        <v>0.26615600000307887</v>
      </c>
      <c r="AJ96" s="386">
        <f t="shared" si="79"/>
        <v>0</v>
      </c>
      <c r="AK96" s="386">
        <f t="shared" si="80"/>
        <v>0</v>
      </c>
      <c r="AL96" s="386">
        <f t="shared" si="81"/>
        <v>0</v>
      </c>
      <c r="AM96">
        <f t="shared" si="82"/>
        <v>0</v>
      </c>
      <c r="AN96" s="386">
        <f t="shared" si="83"/>
        <v>0</v>
      </c>
      <c r="AO96" s="386">
        <f t="shared" si="84"/>
        <v>4.0870363273254018</v>
      </c>
      <c r="AP96" s="386">
        <f t="shared" si="85"/>
        <v>0.1670386594087751</v>
      </c>
      <c r="AQ96" s="386">
        <f t="shared" si="86"/>
        <v>0</v>
      </c>
      <c r="AR96" s="386">
        <f t="shared" si="87"/>
        <v>0.17377287421321819</v>
      </c>
      <c r="AS96" s="386">
        <f t="shared" si="88"/>
        <v>0.1670386594087751</v>
      </c>
      <c r="AT96" s="386">
        <f t="shared" si="89"/>
        <v>0</v>
      </c>
      <c r="AU96" s="386">
        <f t="shared" si="90"/>
        <v>7.6608499999999996E-2</v>
      </c>
      <c r="AV96" s="386">
        <f t="shared" si="91"/>
        <v>0.10419984779643861</v>
      </c>
      <c r="AW96" s="386">
        <f t="shared" si="92"/>
        <v>6.5920000000000006E-2</v>
      </c>
      <c r="AX96" s="386">
        <f t="shared" si="93"/>
        <v>3.6000000000000004E-2</v>
      </c>
      <c r="AY96" s="386">
        <f t="shared" si="94"/>
        <v>0.40226399999999995</v>
      </c>
      <c r="AZ96" s="386">
        <f t="shared" si="95"/>
        <v>0.30415082926829268</v>
      </c>
      <c r="BA96" s="386">
        <f t="shared" si="113"/>
        <v>0.43826399999999999</v>
      </c>
      <c r="BB96" s="386">
        <f t="shared" si="114"/>
        <v>2.1769804056697333</v>
      </c>
      <c r="BC96">
        <f t="shared" si="96"/>
        <v>48</v>
      </c>
      <c r="BD96" s="604">
        <f t="shared" si="107"/>
        <v>0.95661396146062738</v>
      </c>
      <c r="BE96" s="614">
        <f t="shared" si="97"/>
        <v>30.023552014783021</v>
      </c>
      <c r="BF96" s="614">
        <f t="shared" si="98"/>
        <v>15.437048000178574</v>
      </c>
      <c r="BG96" s="9"/>
      <c r="BH96" s="4">
        <f t="shared" si="108"/>
        <v>95.661396146062742</v>
      </c>
      <c r="BI96" s="386">
        <f t="shared" si="109"/>
        <v>0.46216810296539568</v>
      </c>
      <c r="BJ96" s="386">
        <f t="shared" si="110"/>
        <v>0.95757632274703874</v>
      </c>
      <c r="BK96" s="386">
        <f t="shared" si="111"/>
        <v>0.29143680500307889</v>
      </c>
      <c r="BL96" s="386">
        <f t="shared" si="112"/>
        <v>0.10419984779643861</v>
      </c>
      <c r="BR96" s="18"/>
      <c r="BS96" s="19"/>
    </row>
    <row r="97" spans="7:71" x14ac:dyDescent="0.2">
      <c r="G97">
        <v>88</v>
      </c>
      <c r="H97" s="610">
        <f t="shared" si="59"/>
        <v>20.880000000000003</v>
      </c>
      <c r="I97" s="4" t="str">
        <f t="shared" si="60"/>
        <v>BUCK</v>
      </c>
      <c r="J97">
        <f t="shared" si="99"/>
        <v>1</v>
      </c>
      <c r="K97">
        <f t="shared" si="61"/>
        <v>4</v>
      </c>
      <c r="L97" s="4">
        <f t="shared" si="62"/>
        <v>2.5542784163473815</v>
      </c>
      <c r="M97" s="4">
        <f t="shared" si="63"/>
        <v>4</v>
      </c>
      <c r="N97" s="386">
        <f t="shared" si="64"/>
        <v>0.58036294173829983</v>
      </c>
      <c r="O97" s="386">
        <f t="shared" si="100"/>
        <v>0</v>
      </c>
      <c r="P97" s="4">
        <f t="shared" si="65"/>
        <v>2.9325849578164407</v>
      </c>
      <c r="Q97" s="386">
        <f t="shared" si="66"/>
        <v>4.0886025988391523</v>
      </c>
      <c r="R97" s="386">
        <f t="shared" si="101"/>
        <v>0.22462532703944549</v>
      </c>
      <c r="S97" s="386">
        <f t="shared" si="67"/>
        <v>0.24270689498541104</v>
      </c>
      <c r="T97" s="386">
        <f t="shared" si="102"/>
        <v>0.46733222202485653</v>
      </c>
      <c r="U97" s="4">
        <f t="shared" si="68"/>
        <v>0.84656435740838476</v>
      </c>
      <c r="V97" s="386">
        <f t="shared" si="103"/>
        <v>1.9350122703325329E-2</v>
      </c>
      <c r="W97" s="386">
        <f t="shared" si="104"/>
        <v>1.9350122703325329E-2</v>
      </c>
      <c r="X97" s="386">
        <f t="shared" si="69"/>
        <v>2.0177235084598104</v>
      </c>
      <c r="Y97" s="386">
        <f t="shared" si="105"/>
        <v>0.13027866101092375</v>
      </c>
      <c r="Z97" s="603">
        <f t="shared" si="106"/>
        <v>0.13027866101092375</v>
      </c>
      <c r="AA97" s="386">
        <f t="shared" si="70"/>
        <v>3.1147610631032148</v>
      </c>
      <c r="AB97" s="386">
        <f t="shared" si="71"/>
        <v>9.7017364802238687E-2</v>
      </c>
      <c r="AC97" s="386">
        <f t="shared" si="72"/>
        <v>0.33565334906495453</v>
      </c>
      <c r="AD97">
        <f t="shared" si="73"/>
        <v>0</v>
      </c>
      <c r="AE97" s="386">
        <f t="shared" si="74"/>
        <v>0.44263352185144672</v>
      </c>
      <c r="AF97" s="386">
        <f t="shared" si="75"/>
        <v>2.648572206116043</v>
      </c>
      <c r="AG97" s="386">
        <f t="shared" si="76"/>
        <v>7.014934731010404E-2</v>
      </c>
      <c r="AH97" s="386">
        <f t="shared" si="77"/>
        <v>0.19239999999999999</v>
      </c>
      <c r="AI97" s="386">
        <f t="shared" si="78"/>
        <v>0.26689293605174819</v>
      </c>
      <c r="AJ97" s="386">
        <f t="shared" si="79"/>
        <v>0</v>
      </c>
      <c r="AK97" s="386">
        <f t="shared" si="80"/>
        <v>0</v>
      </c>
      <c r="AL97" s="386">
        <f t="shared" si="81"/>
        <v>0</v>
      </c>
      <c r="AM97">
        <f t="shared" si="82"/>
        <v>0</v>
      </c>
      <c r="AN97" s="386">
        <f t="shared" si="83"/>
        <v>0</v>
      </c>
      <c r="AO97" s="386">
        <f t="shared" si="84"/>
        <v>4.0886025988391523</v>
      </c>
      <c r="AP97" s="386">
        <f t="shared" si="85"/>
        <v>0.16716671211234271</v>
      </c>
      <c r="AQ97" s="386">
        <f t="shared" si="86"/>
        <v>0</v>
      </c>
      <c r="AR97" s="386">
        <f t="shared" si="87"/>
        <v>0.17391146429523427</v>
      </c>
      <c r="AS97" s="386">
        <f t="shared" si="88"/>
        <v>0.16716671211234271</v>
      </c>
      <c r="AT97" s="386">
        <f t="shared" si="89"/>
        <v>0</v>
      </c>
      <c r="AU97" s="386">
        <f t="shared" si="90"/>
        <v>7.710800000000001E-2</v>
      </c>
      <c r="AV97" s="386">
        <f t="shared" si="91"/>
        <v>0.10522402096515605</v>
      </c>
      <c r="AW97" s="386">
        <f t="shared" si="92"/>
        <v>6.5920000000000006E-2</v>
      </c>
      <c r="AX97" s="386">
        <f t="shared" si="93"/>
        <v>3.6000000000000004E-2</v>
      </c>
      <c r="AY97" s="386">
        <f t="shared" si="94"/>
        <v>0.40226399999999995</v>
      </c>
      <c r="AZ97" s="386">
        <f t="shared" si="95"/>
        <v>0.30415082926829268</v>
      </c>
      <c r="BA97" s="386">
        <f t="shared" si="113"/>
        <v>0.43826399999999999</v>
      </c>
      <c r="BB97" s="386">
        <f t="shared" si="114"/>
        <v>2.1869149489026909</v>
      </c>
      <c r="BC97">
        <f t="shared" si="96"/>
        <v>48</v>
      </c>
      <c r="BD97" s="604">
        <f t="shared" si="107"/>
        <v>0.95642459889934905</v>
      </c>
      <c r="BE97" s="614">
        <f t="shared" si="97"/>
        <v>30.145008267383911</v>
      </c>
      <c r="BF97" s="614">
        <f t="shared" si="98"/>
        <v>15.479790291001395</v>
      </c>
      <c r="BG97" s="9"/>
      <c r="BH97" s="4">
        <f t="shared" si="108"/>
        <v>95.642459889934912</v>
      </c>
      <c r="BI97" s="386">
        <f t="shared" si="109"/>
        <v>0.46733222202485653</v>
      </c>
      <c r="BJ97" s="386">
        <f t="shared" si="110"/>
        <v>0.96054592219842916</v>
      </c>
      <c r="BK97" s="386">
        <f t="shared" si="111"/>
        <v>0.29233857605174818</v>
      </c>
      <c r="BL97" s="386">
        <f t="shared" si="112"/>
        <v>0.10522402096515605</v>
      </c>
      <c r="BR97" s="18"/>
      <c r="BS97" s="19"/>
    </row>
    <row r="98" spans="7:71" x14ac:dyDescent="0.2">
      <c r="G98">
        <v>89</v>
      </c>
      <c r="H98" s="610">
        <f t="shared" si="59"/>
        <v>21.015000000000001</v>
      </c>
      <c r="I98" s="4" t="str">
        <f t="shared" si="60"/>
        <v>BUCK</v>
      </c>
      <c r="J98">
        <f t="shared" si="99"/>
        <v>1</v>
      </c>
      <c r="K98">
        <f t="shared" si="61"/>
        <v>4</v>
      </c>
      <c r="L98" s="4">
        <f t="shared" si="62"/>
        <v>2.5378697755571413</v>
      </c>
      <c r="M98" s="4">
        <f t="shared" si="63"/>
        <v>4</v>
      </c>
      <c r="N98" s="386">
        <f t="shared" si="64"/>
        <v>0.57664531435349942</v>
      </c>
      <c r="O98" s="386">
        <f t="shared" si="100"/>
        <v>0</v>
      </c>
      <c r="P98" s="4">
        <f t="shared" si="65"/>
        <v>2.9585651660292083</v>
      </c>
      <c r="Q98" s="386">
        <f t="shared" si="66"/>
        <v>4.0901620571158448</v>
      </c>
      <c r="R98" s="386">
        <f t="shared" si="101"/>
        <v>0.22479979325393962</v>
      </c>
      <c r="S98" s="386">
        <f t="shared" si="67"/>
        <v>0.24768954277305444</v>
      </c>
      <c r="T98" s="386">
        <f t="shared" si="102"/>
        <v>0.47248933602699406</v>
      </c>
      <c r="U98" s="4">
        <f t="shared" si="68"/>
        <v>0.85406419751100671</v>
      </c>
      <c r="V98" s="386">
        <f t="shared" si="103"/>
        <v>1.9694492643693239E-2</v>
      </c>
      <c r="W98" s="386">
        <f t="shared" si="104"/>
        <v>1.9694492643693239E-2</v>
      </c>
      <c r="X98" s="386">
        <f t="shared" si="69"/>
        <v>2.0209105205070506</v>
      </c>
      <c r="Y98" s="386">
        <f t="shared" si="105"/>
        <v>0.13069053862067448</v>
      </c>
      <c r="Z98" s="603">
        <f t="shared" si="106"/>
        <v>0.13069053862067448</v>
      </c>
      <c r="AA98" s="386">
        <f t="shared" si="70"/>
        <v>3.1059531411305574</v>
      </c>
      <c r="AB98" s="386">
        <f t="shared" si="71"/>
        <v>9.6469449148987765E-2</v>
      </c>
      <c r="AC98" s="386">
        <f t="shared" si="72"/>
        <v>0.3378235215804607</v>
      </c>
      <c r="AD98">
        <f t="shared" si="73"/>
        <v>0</v>
      </c>
      <c r="AE98" s="386">
        <f t="shared" si="74"/>
        <v>0.44423536339486347</v>
      </c>
      <c r="AF98" s="386">
        <f t="shared" si="75"/>
        <v>2.6612930576265637</v>
      </c>
      <c r="AG98" s="386">
        <f t="shared" si="76"/>
        <v>7.0824807385713437E-2</v>
      </c>
      <c r="AH98" s="386">
        <f t="shared" si="77"/>
        <v>0.19239999999999999</v>
      </c>
      <c r="AI98" s="386">
        <f t="shared" si="78"/>
        <v>0.26762220289119637</v>
      </c>
      <c r="AJ98" s="386">
        <f t="shared" si="79"/>
        <v>0</v>
      </c>
      <c r="AK98" s="386">
        <f t="shared" si="80"/>
        <v>0</v>
      </c>
      <c r="AL98" s="386">
        <f t="shared" si="81"/>
        <v>0</v>
      </c>
      <c r="AM98">
        <f t="shared" si="82"/>
        <v>0</v>
      </c>
      <c r="AN98" s="386">
        <f t="shared" si="83"/>
        <v>0</v>
      </c>
      <c r="AO98" s="386">
        <f t="shared" si="84"/>
        <v>4.0901620571158448</v>
      </c>
      <c r="AP98" s="386">
        <f t="shared" si="85"/>
        <v>0.1672942565347012</v>
      </c>
      <c r="AQ98" s="386">
        <f t="shared" si="86"/>
        <v>0</v>
      </c>
      <c r="AR98" s="386">
        <f t="shared" si="87"/>
        <v>0.17404951278598932</v>
      </c>
      <c r="AS98" s="386">
        <f t="shared" si="88"/>
        <v>0.1672942565347012</v>
      </c>
      <c r="AT98" s="386">
        <f t="shared" si="89"/>
        <v>0</v>
      </c>
      <c r="AU98" s="386">
        <f t="shared" si="90"/>
        <v>7.760750000000001E-2</v>
      </c>
      <c r="AV98" s="386">
        <f t="shared" si="91"/>
        <v>0.10623721107857016</v>
      </c>
      <c r="AW98" s="386">
        <f t="shared" si="92"/>
        <v>6.5920000000000006E-2</v>
      </c>
      <c r="AX98" s="386">
        <f t="shared" si="93"/>
        <v>3.6000000000000004E-2</v>
      </c>
      <c r="AY98" s="386">
        <f t="shared" si="94"/>
        <v>0.40226399999999995</v>
      </c>
      <c r="AZ98" s="386">
        <f t="shared" si="95"/>
        <v>0.30415082926829268</v>
      </c>
      <c r="BA98" s="386">
        <f t="shared" si="113"/>
        <v>0.43826399999999999</v>
      </c>
      <c r="BB98" s="386">
        <f t="shared" si="114"/>
        <v>2.1968101574419814</v>
      </c>
      <c r="BC98">
        <f t="shared" si="96"/>
        <v>48</v>
      </c>
      <c r="BD98" s="604">
        <f t="shared" si="107"/>
        <v>0.9562360606072039</v>
      </c>
      <c r="BE98" s="614">
        <f t="shared" si="97"/>
        <v>30.266886076902082</v>
      </c>
      <c r="BF98" s="614">
        <f t="shared" si="98"/>
        <v>15.52208776768939</v>
      </c>
      <c r="BG98" s="9"/>
      <c r="BH98" s="4">
        <f t="shared" si="108"/>
        <v>95.623606060720391</v>
      </c>
      <c r="BI98" s="386">
        <f t="shared" si="109"/>
        <v>0.47248933602699406</v>
      </c>
      <c r="BJ98" s="386">
        <f t="shared" si="110"/>
        <v>0.96351457907204918</v>
      </c>
      <c r="BK98" s="386">
        <f t="shared" si="111"/>
        <v>0.29323267789119639</v>
      </c>
      <c r="BL98" s="386">
        <f t="shared" si="112"/>
        <v>0.10623721107857016</v>
      </c>
      <c r="BR98" s="18"/>
      <c r="BS98" s="19"/>
    </row>
    <row r="99" spans="7:71" x14ac:dyDescent="0.2">
      <c r="G99">
        <v>90</v>
      </c>
      <c r="H99" s="610">
        <f t="shared" si="59"/>
        <v>21.15</v>
      </c>
      <c r="I99" s="4" t="str">
        <f t="shared" si="60"/>
        <v>BUCK</v>
      </c>
      <c r="J99">
        <f t="shared" si="99"/>
        <v>1</v>
      </c>
      <c r="K99">
        <f t="shared" si="61"/>
        <v>4</v>
      </c>
      <c r="L99" s="4">
        <f t="shared" si="62"/>
        <v>2.5216706067769898</v>
      </c>
      <c r="M99" s="4">
        <f t="shared" si="63"/>
        <v>4</v>
      </c>
      <c r="N99" s="386">
        <f t="shared" si="64"/>
        <v>0.57297501178689303</v>
      </c>
      <c r="O99" s="386">
        <f t="shared" si="100"/>
        <v>0</v>
      </c>
      <c r="P99" s="4">
        <f t="shared" si="65"/>
        <v>2.9842146502336098</v>
      </c>
      <c r="Q99" s="386">
        <f t="shared" si="66"/>
        <v>4.0917145660332999</v>
      </c>
      <c r="R99" s="386">
        <f t="shared" si="101"/>
        <v>0.22497355284323281</v>
      </c>
      <c r="S99" s="386">
        <f t="shared" si="67"/>
        <v>0.25266505441819059</v>
      </c>
      <c r="T99" s="386">
        <f t="shared" si="102"/>
        <v>0.47763860726142338</v>
      </c>
      <c r="U99" s="4">
        <f t="shared" si="68"/>
        <v>0.86146856581599984</v>
      </c>
      <c r="V99" s="386">
        <f t="shared" si="103"/>
        <v>2.0037458427005043E-2</v>
      </c>
      <c r="W99" s="386">
        <f t="shared" si="104"/>
        <v>2.0037458427005043E-2</v>
      </c>
      <c r="X99" s="386">
        <f t="shared" si="69"/>
        <v>2.0239501701829301</v>
      </c>
      <c r="Y99" s="386">
        <f t="shared" si="105"/>
        <v>0.13108397732427238</v>
      </c>
      <c r="Z99" s="603">
        <f t="shared" si="106"/>
        <v>0.13108397732427238</v>
      </c>
      <c r="AA99" s="386">
        <f t="shared" si="70"/>
        <v>3.0972279605547062</v>
      </c>
      <c r="AB99" s="386">
        <f t="shared" si="71"/>
        <v>9.5928210396418634E-2</v>
      </c>
      <c r="AC99" s="386">
        <f t="shared" si="72"/>
        <v>0.3399936940959668</v>
      </c>
      <c r="AD99">
        <f t="shared" si="73"/>
        <v>0</v>
      </c>
      <c r="AE99" s="386">
        <f t="shared" si="74"/>
        <v>0.44584432364762244</v>
      </c>
      <c r="AF99" s="386">
        <f t="shared" si="75"/>
        <v>2.673818814027459</v>
      </c>
      <c r="AG99" s="386">
        <f t="shared" si="76"/>
        <v>7.1493070502472084E-2</v>
      </c>
      <c r="AH99" s="386">
        <f t="shared" si="77"/>
        <v>0.19239999999999999</v>
      </c>
      <c r="AI99" s="386">
        <f t="shared" si="78"/>
        <v>0.26834392818179958</v>
      </c>
      <c r="AJ99" s="386">
        <f t="shared" si="79"/>
        <v>0</v>
      </c>
      <c r="AK99" s="386">
        <f t="shared" si="80"/>
        <v>0</v>
      </c>
      <c r="AL99" s="386">
        <f t="shared" si="81"/>
        <v>0</v>
      </c>
      <c r="AM99">
        <f t="shared" si="82"/>
        <v>0</v>
      </c>
      <c r="AN99" s="386">
        <f t="shared" si="83"/>
        <v>0</v>
      </c>
      <c r="AO99" s="386">
        <f t="shared" si="84"/>
        <v>4.0917145660332999</v>
      </c>
      <c r="AP99" s="386">
        <f t="shared" si="85"/>
        <v>0.16742128089889075</v>
      </c>
      <c r="AQ99" s="386">
        <f t="shared" si="86"/>
        <v>0</v>
      </c>
      <c r="AR99" s="386">
        <f t="shared" si="87"/>
        <v>0.17418700683661364</v>
      </c>
      <c r="AS99" s="386">
        <f t="shared" si="88"/>
        <v>0.16742128089889075</v>
      </c>
      <c r="AT99" s="386">
        <f t="shared" si="89"/>
        <v>0</v>
      </c>
      <c r="AU99" s="386">
        <f t="shared" si="90"/>
        <v>7.8106999999999996E-2</v>
      </c>
      <c r="AV99" s="386">
        <f t="shared" si="91"/>
        <v>0.10723960575370811</v>
      </c>
      <c r="AW99" s="386">
        <f t="shared" si="92"/>
        <v>6.5920000000000006E-2</v>
      </c>
      <c r="AX99" s="386">
        <f t="shared" si="93"/>
        <v>3.6000000000000004E-2</v>
      </c>
      <c r="AY99" s="386">
        <f t="shared" si="94"/>
        <v>0.40226399999999995</v>
      </c>
      <c r="AZ99" s="386">
        <f t="shared" si="95"/>
        <v>0.30415082926829268</v>
      </c>
      <c r="BA99" s="386">
        <f t="shared" si="113"/>
        <v>0.43826399999999999</v>
      </c>
      <c r="BB99" s="386">
        <f t="shared" si="114"/>
        <v>2.2066659074324444</v>
      </c>
      <c r="BC99">
        <f t="shared" si="96"/>
        <v>48</v>
      </c>
      <c r="BD99" s="604">
        <f t="shared" si="107"/>
        <v>0.95604834801217553</v>
      </c>
      <c r="BE99" s="614">
        <f t="shared" si="97"/>
        <v>30.389176771562102</v>
      </c>
      <c r="BF99" s="614">
        <f t="shared" si="98"/>
        <v>15.563947834544376</v>
      </c>
      <c r="BG99" s="9"/>
      <c r="BH99" s="4">
        <f t="shared" si="108"/>
        <v>95.60483480121755</v>
      </c>
      <c r="BI99" s="386">
        <f t="shared" si="109"/>
        <v>0.47763860726142338</v>
      </c>
      <c r="BJ99" s="386">
        <f t="shared" si="110"/>
        <v>0.96648225866603565</v>
      </c>
      <c r="BK99" s="386">
        <f t="shared" si="111"/>
        <v>0.29411923818179958</v>
      </c>
      <c r="BL99" s="386">
        <f t="shared" si="112"/>
        <v>0.10723960575370811</v>
      </c>
      <c r="BR99" s="18"/>
      <c r="BS99" s="19"/>
    </row>
    <row r="100" spans="7:71" x14ac:dyDescent="0.2">
      <c r="G100">
        <v>91</v>
      </c>
      <c r="H100" s="610">
        <f t="shared" si="59"/>
        <v>21.285</v>
      </c>
      <c r="I100" s="4" t="str">
        <f t="shared" si="60"/>
        <v>BUCK</v>
      </c>
      <c r="J100">
        <f t="shared" si="99"/>
        <v>1</v>
      </c>
      <c r="K100">
        <f t="shared" si="61"/>
        <v>4</v>
      </c>
      <c r="L100" s="4">
        <f t="shared" si="62"/>
        <v>2.5056769242815751</v>
      </c>
      <c r="M100" s="4">
        <f t="shared" si="63"/>
        <v>4</v>
      </c>
      <c r="N100" s="386">
        <f t="shared" si="64"/>
        <v>0.5693511360974467</v>
      </c>
      <c r="O100" s="386">
        <f t="shared" si="100"/>
        <v>0</v>
      </c>
      <c r="P100" s="4">
        <f t="shared" si="65"/>
        <v>3.0095396855865149</v>
      </c>
      <c r="Q100" s="386">
        <f t="shared" si="66"/>
        <v>4.093259999877036</v>
      </c>
      <c r="R100" s="386">
        <f t="shared" si="101"/>
        <v>0.22514659078493987</v>
      </c>
      <c r="S100" s="386">
        <f t="shared" si="67"/>
        <v>0.2576326482006252</v>
      </c>
      <c r="T100" s="386">
        <f t="shared" si="102"/>
        <v>0.48277923898556507</v>
      </c>
      <c r="U100" s="4">
        <f t="shared" si="68"/>
        <v>0.8687792738051181</v>
      </c>
      <c r="V100" s="386">
        <f t="shared" si="103"/>
        <v>2.0378990518020404E-2</v>
      </c>
      <c r="W100" s="386">
        <f t="shared" si="104"/>
        <v>2.0378990518020404E-2</v>
      </c>
      <c r="X100" s="386">
        <f t="shared" si="69"/>
        <v>2.0268475307545857</v>
      </c>
      <c r="Y100" s="386">
        <f t="shared" si="105"/>
        <v>0.13145954921363076</v>
      </c>
      <c r="Z100" s="603">
        <f t="shared" si="106"/>
        <v>0.13145954921363076</v>
      </c>
      <c r="AA100" s="386">
        <f t="shared" si="70"/>
        <v>3.0885840708795316</v>
      </c>
      <c r="AB100" s="386">
        <f t="shared" si="71"/>
        <v>9.5393515628907799E-2</v>
      </c>
      <c r="AC100" s="386">
        <f t="shared" si="72"/>
        <v>0.34216386661147302</v>
      </c>
      <c r="AD100">
        <f t="shared" si="73"/>
        <v>0</v>
      </c>
      <c r="AE100" s="386">
        <f t="shared" si="74"/>
        <v>0.44746025747950402</v>
      </c>
      <c r="AF100" s="386">
        <f t="shared" si="75"/>
        <v>2.6861544750260684</v>
      </c>
      <c r="AG100" s="386">
        <f t="shared" si="76"/>
        <v>7.2154258637025737E-2</v>
      </c>
      <c r="AH100" s="386">
        <f t="shared" si="77"/>
        <v>0.19239999999999999</v>
      </c>
      <c r="AI100" s="386">
        <f t="shared" si="78"/>
        <v>0.26905823647631283</v>
      </c>
      <c r="AJ100" s="386">
        <f t="shared" si="79"/>
        <v>0</v>
      </c>
      <c r="AK100" s="386">
        <f t="shared" si="80"/>
        <v>0</v>
      </c>
      <c r="AL100" s="386">
        <f t="shared" si="81"/>
        <v>0</v>
      </c>
      <c r="AM100">
        <f t="shared" si="82"/>
        <v>0</v>
      </c>
      <c r="AN100" s="386">
        <f t="shared" si="83"/>
        <v>0</v>
      </c>
      <c r="AO100" s="386">
        <f t="shared" si="84"/>
        <v>4.093259999877036</v>
      </c>
      <c r="AP100" s="386">
        <f t="shared" si="85"/>
        <v>0.16754777426593354</v>
      </c>
      <c r="AQ100" s="386">
        <f t="shared" si="86"/>
        <v>0</v>
      </c>
      <c r="AR100" s="386">
        <f t="shared" si="87"/>
        <v>0.17432393450264355</v>
      </c>
      <c r="AS100" s="386">
        <f t="shared" si="88"/>
        <v>0.16754777426593354</v>
      </c>
      <c r="AT100" s="386">
        <f t="shared" si="89"/>
        <v>0</v>
      </c>
      <c r="AU100" s="386">
        <f t="shared" si="90"/>
        <v>7.860650000000001E-2</v>
      </c>
      <c r="AV100" s="386">
        <f t="shared" si="91"/>
        <v>0.10823138795553859</v>
      </c>
      <c r="AW100" s="386">
        <f t="shared" si="92"/>
        <v>6.5920000000000006E-2</v>
      </c>
      <c r="AX100" s="386">
        <f t="shared" si="93"/>
        <v>3.6000000000000004E-2</v>
      </c>
      <c r="AY100" s="386">
        <f t="shared" si="94"/>
        <v>0.40226399999999995</v>
      </c>
      <c r="AZ100" s="386">
        <f t="shared" si="95"/>
        <v>0.30415082926829268</v>
      </c>
      <c r="BA100" s="386">
        <f t="shared" si="113"/>
        <v>0.43826399999999999</v>
      </c>
      <c r="BB100" s="386">
        <f t="shared" si="114"/>
        <v>2.2164820951312159</v>
      </c>
      <c r="BC100">
        <f t="shared" si="96"/>
        <v>48</v>
      </c>
      <c r="BD100" s="604">
        <f t="shared" si="107"/>
        <v>0.95586146216032697</v>
      </c>
      <c r="BE100" s="614">
        <f t="shared" si="97"/>
        <v>30.511871933811236</v>
      </c>
      <c r="BF100" s="614">
        <f t="shared" si="98"/>
        <v>15.605377715626144</v>
      </c>
      <c r="BG100" s="9"/>
      <c r="BH100" s="4">
        <f t="shared" si="108"/>
        <v>95.586146216032702</v>
      </c>
      <c r="BI100" s="386">
        <f t="shared" si="109"/>
        <v>0.48277923898556507</v>
      </c>
      <c r="BJ100" s="386">
        <f t="shared" si="110"/>
        <v>0.96944892845846042</v>
      </c>
      <c r="BK100" s="386">
        <f t="shared" si="111"/>
        <v>0.29499838147631285</v>
      </c>
      <c r="BL100" s="386">
        <f t="shared" si="112"/>
        <v>0.10823138795553859</v>
      </c>
      <c r="BR100" s="18"/>
      <c r="BS100" s="19"/>
    </row>
    <row r="101" spans="7:71" x14ac:dyDescent="0.2">
      <c r="G101">
        <v>92</v>
      </c>
      <c r="H101" s="610">
        <f t="shared" si="59"/>
        <v>21.42</v>
      </c>
      <c r="I101" s="4" t="str">
        <f t="shared" si="60"/>
        <v>BUCK</v>
      </c>
      <c r="J101">
        <f t="shared" si="99"/>
        <v>1</v>
      </c>
      <c r="K101">
        <f t="shared" si="61"/>
        <v>4</v>
      </c>
      <c r="L101" s="4">
        <f t="shared" si="62"/>
        <v>2.4898848428260192</v>
      </c>
      <c r="M101" s="4">
        <f t="shared" si="63"/>
        <v>4</v>
      </c>
      <c r="N101" s="386">
        <f t="shared" si="64"/>
        <v>0.56577281191806328</v>
      </c>
      <c r="O101" s="386">
        <f t="shared" si="100"/>
        <v>0</v>
      </c>
      <c r="P101" s="4">
        <f t="shared" si="65"/>
        <v>3.0345463894894538</v>
      </c>
      <c r="Q101" s="386">
        <f t="shared" si="66"/>
        <v>4.0947982427909215</v>
      </c>
      <c r="R101" s="386">
        <f t="shared" si="101"/>
        <v>0.22531889314256651</v>
      </c>
      <c r="S101" s="386">
        <f t="shared" si="67"/>
        <v>0.26259158056056908</v>
      </c>
      <c r="T101" s="386">
        <f t="shared" si="102"/>
        <v>0.48791047370313556</v>
      </c>
      <c r="U101" s="4">
        <f t="shared" si="68"/>
        <v>0.87599808742007157</v>
      </c>
      <c r="V101" s="386">
        <f t="shared" si="103"/>
        <v>2.0719061527417832E-2</v>
      </c>
      <c r="W101" s="386">
        <f t="shared" si="104"/>
        <v>2.0719061527417832E-2</v>
      </c>
      <c r="X101" s="386">
        <f t="shared" si="69"/>
        <v>2.0296074633848256</v>
      </c>
      <c r="Y101" s="386">
        <f t="shared" si="105"/>
        <v>0.13181780657367637</v>
      </c>
      <c r="Z101" s="603">
        <f t="shared" si="106"/>
        <v>0.13181780657367637</v>
      </c>
      <c r="AA101" s="386">
        <f t="shared" si="70"/>
        <v>3.080020060355992</v>
      </c>
      <c r="AB101" s="386">
        <f t="shared" si="71"/>
        <v>9.4865235721953281E-2</v>
      </c>
      <c r="AC101" s="386">
        <f t="shared" si="72"/>
        <v>0.34433403912697924</v>
      </c>
      <c r="AD101">
        <f t="shared" si="73"/>
        <v>0</v>
      </c>
      <c r="AE101" s="386">
        <f t="shared" si="74"/>
        <v>0.44908302397628369</v>
      </c>
      <c r="AF101" s="386">
        <f t="shared" si="75"/>
        <v>2.6983048524894833</v>
      </c>
      <c r="AG101" s="386">
        <f t="shared" si="76"/>
        <v>7.2808490769682918E-2</v>
      </c>
      <c r="AH101" s="386">
        <f t="shared" si="77"/>
        <v>0.19239999999999999</v>
      </c>
      <c r="AI101" s="386">
        <f t="shared" si="78"/>
        <v>0.26976524932405371</v>
      </c>
      <c r="AJ101" s="386">
        <f t="shared" si="79"/>
        <v>0</v>
      </c>
      <c r="AK101" s="386">
        <f t="shared" si="80"/>
        <v>0</v>
      </c>
      <c r="AL101" s="386">
        <f t="shared" si="81"/>
        <v>0</v>
      </c>
      <c r="AM101">
        <f t="shared" si="82"/>
        <v>0</v>
      </c>
      <c r="AN101" s="386">
        <f t="shared" si="83"/>
        <v>0</v>
      </c>
      <c r="AO101" s="386">
        <f t="shared" si="84"/>
        <v>4.0947982427909215</v>
      </c>
      <c r="AP101" s="386">
        <f t="shared" si="85"/>
        <v>0.1676737264916362</v>
      </c>
      <c r="AQ101" s="386">
        <f t="shared" si="86"/>
        <v>0</v>
      </c>
      <c r="AR101" s="386">
        <f t="shared" si="87"/>
        <v>0.17446028469756369</v>
      </c>
      <c r="AS101" s="386">
        <f t="shared" si="88"/>
        <v>0.1676737264916362</v>
      </c>
      <c r="AT101" s="386">
        <f t="shared" si="89"/>
        <v>0</v>
      </c>
      <c r="AU101" s="386">
        <f t="shared" si="90"/>
        <v>7.910600000000001E-2</v>
      </c>
      <c r="AV101" s="386">
        <f t="shared" si="91"/>
        <v>0.10921273615452438</v>
      </c>
      <c r="AW101" s="386">
        <f t="shared" si="92"/>
        <v>6.5920000000000006E-2</v>
      </c>
      <c r="AX101" s="386">
        <f t="shared" si="93"/>
        <v>3.6000000000000004E-2</v>
      </c>
      <c r="AY101" s="386">
        <f t="shared" si="94"/>
        <v>0.40226399999999995</v>
      </c>
      <c r="AZ101" s="386">
        <f t="shared" si="95"/>
        <v>0.30415082926829268</v>
      </c>
      <c r="BA101" s="386">
        <f t="shared" si="113"/>
        <v>0.43826399999999999</v>
      </c>
      <c r="BB101" s="386">
        <f t="shared" si="114"/>
        <v>2.226258635956655</v>
      </c>
      <c r="BC101">
        <f t="shared" si="96"/>
        <v>48</v>
      </c>
      <c r="BD101" s="604">
        <f t="shared" si="107"/>
        <v>0.95567540373467341</v>
      </c>
      <c r="BE101" s="614">
        <f t="shared" si="97"/>
        <v>30.634963390624453</v>
      </c>
      <c r="BF101" s="614">
        <f t="shared" si="98"/>
        <v>15.646384460795115</v>
      </c>
      <c r="BG101" s="9"/>
      <c r="BH101" s="4">
        <f t="shared" si="108"/>
        <v>95.567540373467338</v>
      </c>
      <c r="BI101" s="386">
        <f t="shared" si="109"/>
        <v>0.48791047370313556</v>
      </c>
      <c r="BJ101" s="386">
        <f t="shared" si="110"/>
        <v>0.97241455799790111</v>
      </c>
      <c r="BK101" s="386">
        <f t="shared" si="111"/>
        <v>0.29587022932405371</v>
      </c>
      <c r="BL101" s="386">
        <f t="shared" si="112"/>
        <v>0.10921273615452438</v>
      </c>
      <c r="BR101" s="18"/>
      <c r="BS101" s="19"/>
    </row>
    <row r="102" spans="7:71" x14ac:dyDescent="0.2">
      <c r="G102">
        <v>93</v>
      </c>
      <c r="H102" s="610">
        <f t="shared" si="59"/>
        <v>21.555</v>
      </c>
      <c r="I102" s="4" t="str">
        <f t="shared" si="60"/>
        <v>BUCK</v>
      </c>
      <c r="J102">
        <f t="shared" si="99"/>
        <v>1</v>
      </c>
      <c r="K102">
        <f t="shared" si="61"/>
        <v>4</v>
      </c>
      <c r="L102" s="4">
        <f t="shared" si="62"/>
        <v>2.4742905744993426</v>
      </c>
      <c r="M102" s="4">
        <f t="shared" si="63"/>
        <v>4</v>
      </c>
      <c r="N102" s="386">
        <f t="shared" si="64"/>
        <v>0.56223918575063614</v>
      </c>
      <c r="O102" s="386">
        <f t="shared" si="100"/>
        <v>0</v>
      </c>
      <c r="P102" s="4">
        <f t="shared" si="65"/>
        <v>3.0592407265150485</v>
      </c>
      <c r="Q102" s="386">
        <f t="shared" si="66"/>
        <v>4.0963291882567283</v>
      </c>
      <c r="R102" s="386">
        <f t="shared" si="101"/>
        <v>0.22549044700965165</v>
      </c>
      <c r="S102" s="386">
        <f t="shared" si="67"/>
        <v>0.26754114450472638</v>
      </c>
      <c r="T102" s="386">
        <f t="shared" si="102"/>
        <v>0.49303159151437803</v>
      </c>
      <c r="U102" s="4">
        <f t="shared" si="68"/>
        <v>0.88312672848466478</v>
      </c>
      <c r="V102" s="386">
        <f t="shared" si="103"/>
        <v>2.1057646101228723E-2</v>
      </c>
      <c r="W102" s="386">
        <f t="shared" si="104"/>
        <v>2.1057646101228723E-2</v>
      </c>
      <c r="X102" s="386">
        <f t="shared" si="69"/>
        <v>2.0322346281375219</v>
      </c>
      <c r="Y102" s="386">
        <f t="shared" si="105"/>
        <v>0.13215928268164007</v>
      </c>
      <c r="Z102" s="603">
        <f t="shared" si="106"/>
        <v>0.13215928268164007</v>
      </c>
      <c r="AA102" s="386">
        <f t="shared" si="70"/>
        <v>3.071534554595813</v>
      </c>
      <c r="AB102" s="386">
        <f t="shared" si="71"/>
        <v>9.4343245200760997E-2</v>
      </c>
      <c r="AC102" s="386">
        <f t="shared" si="72"/>
        <v>0.34650421164248535</v>
      </c>
      <c r="AD102">
        <f t="shared" si="73"/>
        <v>0</v>
      </c>
      <c r="AE102" s="386">
        <f t="shared" si="74"/>
        <v>0.45071248628034677</v>
      </c>
      <c r="AF102" s="386">
        <f t="shared" si="75"/>
        <v>2.7102745799066055</v>
      </c>
      <c r="AG102" s="386">
        <f t="shared" si="76"/>
        <v>7.3455882984879275E-2</v>
      </c>
      <c r="AH102" s="386">
        <f t="shared" si="77"/>
        <v>0.19239999999999999</v>
      </c>
      <c r="AI102" s="386">
        <f t="shared" si="78"/>
        <v>0.27046508537057379</v>
      </c>
      <c r="AJ102" s="386">
        <f t="shared" si="79"/>
        <v>0</v>
      </c>
      <c r="AK102" s="386">
        <f t="shared" si="80"/>
        <v>0</v>
      </c>
      <c r="AL102" s="386">
        <f t="shared" si="81"/>
        <v>0</v>
      </c>
      <c r="AM102">
        <f t="shared" si="82"/>
        <v>0</v>
      </c>
      <c r="AN102" s="386">
        <f t="shared" si="83"/>
        <v>0</v>
      </c>
      <c r="AO102" s="386">
        <f t="shared" si="84"/>
        <v>4.0963291882567283</v>
      </c>
      <c r="AP102" s="386">
        <f t="shared" si="85"/>
        <v>0.1677991281856403</v>
      </c>
      <c r="AQ102" s="386">
        <f t="shared" si="86"/>
        <v>0</v>
      </c>
      <c r="AR102" s="386">
        <f t="shared" si="87"/>
        <v>0.1745960471487637</v>
      </c>
      <c r="AS102" s="386">
        <f t="shared" si="88"/>
        <v>0.1677991281856403</v>
      </c>
      <c r="AT102" s="386">
        <f t="shared" si="89"/>
        <v>0</v>
      </c>
      <c r="AU102" s="386">
        <f t="shared" si="90"/>
        <v>7.960550000000001E-2</v>
      </c>
      <c r="AV102" s="386">
        <f t="shared" si="91"/>
        <v>0.11018382447731891</v>
      </c>
      <c r="AW102" s="386">
        <f t="shared" si="92"/>
        <v>6.5920000000000006E-2</v>
      </c>
      <c r="AX102" s="386">
        <f t="shared" si="93"/>
        <v>3.6000000000000004E-2</v>
      </c>
      <c r="AY102" s="386">
        <f t="shared" si="94"/>
        <v>0.40226399999999995</v>
      </c>
      <c r="AZ102" s="386">
        <f t="shared" si="95"/>
        <v>0.30415082926829268</v>
      </c>
      <c r="BA102" s="386">
        <f t="shared" si="113"/>
        <v>0.43826399999999999</v>
      </c>
      <c r="BB102" s="386">
        <f t="shared" si="114"/>
        <v>2.2359954635742505</v>
      </c>
      <c r="BC102">
        <f t="shared" si="96"/>
        <v>48</v>
      </c>
      <c r="BD102" s="604">
        <f t="shared" si="107"/>
        <v>0.95549017307329853</v>
      </c>
      <c r="BE102" s="614">
        <f t="shared" si="97"/>
        <v>30.758443204260111</v>
      </c>
      <c r="BF102" s="614">
        <f t="shared" si="98"/>
        <v>15.68697495149328</v>
      </c>
      <c r="BG102" s="9"/>
      <c r="BH102" s="4">
        <f t="shared" si="108"/>
        <v>95.549017307329848</v>
      </c>
      <c r="BI102" s="386">
        <f t="shared" si="109"/>
        <v>0.49303159151437803</v>
      </c>
      <c r="BJ102" s="386">
        <f t="shared" si="110"/>
        <v>0.97537911879968431</v>
      </c>
      <c r="BK102" s="386">
        <f t="shared" si="111"/>
        <v>0.29673490037057382</v>
      </c>
      <c r="BL102" s="386">
        <f t="shared" si="112"/>
        <v>0.11018382447731891</v>
      </c>
      <c r="BR102" s="18"/>
      <c r="BS102" s="19"/>
    </row>
    <row r="103" spans="7:71" x14ac:dyDescent="0.2">
      <c r="G103">
        <v>94</v>
      </c>
      <c r="H103" s="610">
        <f t="shared" si="59"/>
        <v>21.689999999999998</v>
      </c>
      <c r="I103" s="4" t="str">
        <f t="shared" si="60"/>
        <v>BUCK</v>
      </c>
      <c r="J103">
        <f t="shared" si="99"/>
        <v>1</v>
      </c>
      <c r="K103">
        <f t="shared" si="61"/>
        <v>4</v>
      </c>
      <c r="L103" s="4">
        <f t="shared" si="62"/>
        <v>2.4588904256954054</v>
      </c>
      <c r="M103" s="4">
        <f t="shared" si="63"/>
        <v>4</v>
      </c>
      <c r="N103" s="386">
        <f t="shared" si="64"/>
        <v>0.55874942528735638</v>
      </c>
      <c r="O103" s="386">
        <f t="shared" si="100"/>
        <v>0</v>
      </c>
      <c r="P103" s="4">
        <f t="shared" si="65"/>
        <v>3.0836285131499803</v>
      </c>
      <c r="Q103" s="386">
        <f t="shared" si="66"/>
        <v>4.0978527386009489</v>
      </c>
      <c r="R103" s="386">
        <f t="shared" si="101"/>
        <v>0.2256612404568003</v>
      </c>
      <c r="S103" s="386">
        <f t="shared" si="67"/>
        <v>0.27248066807833915</v>
      </c>
      <c r="T103" s="386">
        <f t="shared" si="102"/>
        <v>0.49814190853513945</v>
      </c>
      <c r="U103" s="4">
        <f t="shared" si="68"/>
        <v>0.89016687607397338</v>
      </c>
      <c r="V103" s="386">
        <f t="shared" si="103"/>
        <v>2.1394720816001012E-2</v>
      </c>
      <c r="W103" s="386">
        <f t="shared" si="104"/>
        <v>2.1394720816001012E-2</v>
      </c>
      <c r="X103" s="386">
        <f t="shared" si="69"/>
        <v>2.0347334942876811</v>
      </c>
      <c r="Y103" s="386">
        <f t="shared" si="105"/>
        <v>0.13248449256883704</v>
      </c>
      <c r="Z103" s="603">
        <f t="shared" si="106"/>
        <v>0.13248449256883704</v>
      </c>
      <c r="AA103" s="386">
        <f t="shared" si="70"/>
        <v>3.0631262152461529</v>
      </c>
      <c r="AB103" s="386">
        <f t="shared" si="71"/>
        <v>9.3827422105282207E-2</v>
      </c>
      <c r="AC103" s="386">
        <f t="shared" si="72"/>
        <v>0.34867438415799151</v>
      </c>
      <c r="AD103">
        <f t="shared" si="73"/>
        <v>0</v>
      </c>
      <c r="AE103" s="386">
        <f t="shared" si="74"/>
        <v>0.45234851143865018</v>
      </c>
      <c r="AF103" s="386">
        <f t="shared" si="75"/>
        <v>2.7220681212510236</v>
      </c>
      <c r="AG103" s="386">
        <f t="shared" si="76"/>
        <v>7.4096548567310766E-2</v>
      </c>
      <c r="AH103" s="386">
        <f t="shared" si="77"/>
        <v>0.19239999999999999</v>
      </c>
      <c r="AI103" s="386">
        <f t="shared" si="78"/>
        <v>0.27115786045305124</v>
      </c>
      <c r="AJ103" s="386">
        <f t="shared" si="79"/>
        <v>0</v>
      </c>
      <c r="AK103" s="386">
        <f t="shared" si="80"/>
        <v>0</v>
      </c>
      <c r="AL103" s="386">
        <f t="shared" si="81"/>
        <v>0</v>
      </c>
      <c r="AM103">
        <f t="shared" si="82"/>
        <v>0</v>
      </c>
      <c r="AN103" s="386">
        <f t="shared" si="83"/>
        <v>0</v>
      </c>
      <c r="AO103" s="386">
        <f t="shared" si="84"/>
        <v>4.0978527386009489</v>
      </c>
      <c r="AP103" s="386">
        <f t="shared" si="85"/>
        <v>0.16792397067259299</v>
      </c>
      <c r="AQ103" s="386">
        <f t="shared" si="86"/>
        <v>0</v>
      </c>
      <c r="AR103" s="386">
        <f t="shared" si="87"/>
        <v>0.17473121235577138</v>
      </c>
      <c r="AS103" s="386">
        <f t="shared" si="88"/>
        <v>0.16792397067259299</v>
      </c>
      <c r="AT103" s="386">
        <f t="shared" si="89"/>
        <v>0</v>
      </c>
      <c r="AU103" s="386">
        <f t="shared" si="90"/>
        <v>8.0104999999999996E-2</v>
      </c>
      <c r="AV103" s="386">
        <f t="shared" si="91"/>
        <v>0.11114482285096615</v>
      </c>
      <c r="AW103" s="386">
        <f t="shared" si="92"/>
        <v>6.5920000000000006E-2</v>
      </c>
      <c r="AX103" s="386">
        <f t="shared" si="93"/>
        <v>3.6000000000000004E-2</v>
      </c>
      <c r="AY103" s="386">
        <f t="shared" si="94"/>
        <v>0.40226399999999995</v>
      </c>
      <c r="AZ103" s="386">
        <f t="shared" si="95"/>
        <v>0.30415082926829268</v>
      </c>
      <c r="BA103" s="386">
        <f t="shared" si="113"/>
        <v>0.43826399999999999</v>
      </c>
      <c r="BB103" s="386">
        <f t="shared" si="114"/>
        <v>2.2456925290184162</v>
      </c>
      <c r="BC103">
        <f t="shared" si="96"/>
        <v>48</v>
      </c>
      <c r="BD103" s="604">
        <f t="shared" si="107"/>
        <v>0.95530577018673879</v>
      </c>
      <c r="BE103" s="614">
        <f t="shared" si="97"/>
        <v>30.882303663441711</v>
      </c>
      <c r="BF103" s="614">
        <f t="shared" si="98"/>
        <v>15.727155906276971</v>
      </c>
      <c r="BG103" s="9"/>
      <c r="BH103" s="4">
        <f t="shared" si="108"/>
        <v>95.530577018673881</v>
      </c>
      <c r="BI103" s="386">
        <f t="shared" si="109"/>
        <v>0.49814190853513945</v>
      </c>
      <c r="BJ103" s="386">
        <f t="shared" si="110"/>
        <v>0.97834258424747278</v>
      </c>
      <c r="BK103" s="386">
        <f t="shared" si="111"/>
        <v>0.29759251045305124</v>
      </c>
      <c r="BL103" s="386">
        <f t="shared" si="112"/>
        <v>0.11114482285096615</v>
      </c>
      <c r="BR103" s="18"/>
      <c r="BS103" s="19"/>
    </row>
    <row r="104" spans="7:71" x14ac:dyDescent="0.2">
      <c r="G104">
        <v>95</v>
      </c>
      <c r="H104" s="610">
        <f t="shared" si="59"/>
        <v>21.824999999999999</v>
      </c>
      <c r="I104" s="4" t="str">
        <f t="shared" si="60"/>
        <v>BUCK</v>
      </c>
      <c r="J104">
        <f t="shared" si="99"/>
        <v>1</v>
      </c>
      <c r="K104">
        <f t="shared" si="61"/>
        <v>4</v>
      </c>
      <c r="L104" s="4">
        <f t="shared" si="62"/>
        <v>2.4436807941962582</v>
      </c>
      <c r="M104" s="4">
        <f t="shared" si="63"/>
        <v>4</v>
      </c>
      <c r="N104" s="386">
        <f t="shared" si="64"/>
        <v>0.55530271875713966</v>
      </c>
      <c r="O104" s="386">
        <f t="shared" si="100"/>
        <v>0</v>
      </c>
      <c r="P104" s="4">
        <f t="shared" si="65"/>
        <v>3.1077154223624119</v>
      </c>
      <c r="Q104" s="386">
        <f t="shared" si="66"/>
        <v>4.099368804527403</v>
      </c>
      <c r="R104" s="386">
        <f t="shared" si="101"/>
        <v>0.22583126248145108</v>
      </c>
      <c r="S104" s="386">
        <f t="shared" si="67"/>
        <v>0.27740951290051935</v>
      </c>
      <c r="T104" s="386">
        <f t="shared" si="102"/>
        <v>0.50324077538197043</v>
      </c>
      <c r="U104" s="4">
        <f t="shared" si="68"/>
        <v>0.89712016783284509</v>
      </c>
      <c r="V104" s="386">
        <f t="shared" si="103"/>
        <v>2.1730264079375668E-2</v>
      </c>
      <c r="W104" s="386">
        <f t="shared" si="104"/>
        <v>2.1730264079375668E-2</v>
      </c>
      <c r="X104" s="386">
        <f t="shared" si="69"/>
        <v>2.0371083499884204</v>
      </c>
      <c r="Y104" s="386">
        <f t="shared" si="105"/>
        <v>0.13279393374696141</v>
      </c>
      <c r="Z104" s="603">
        <f t="shared" si="106"/>
        <v>0.13279393374696141</v>
      </c>
      <c r="AA104" s="386">
        <f t="shared" si="70"/>
        <v>3.0547937387221427</v>
      </c>
      <c r="AB104" s="386">
        <f t="shared" si="71"/>
        <v>9.3317647861360056E-2</v>
      </c>
      <c r="AC104" s="386">
        <f t="shared" si="72"/>
        <v>0.35084455667349768</v>
      </c>
      <c r="AD104">
        <f t="shared" si="73"/>
        <v>0</v>
      </c>
      <c r="AE104" s="386">
        <f t="shared" si="74"/>
        <v>0.45399097025763729</v>
      </c>
      <c r="AF104" s="386">
        <f t="shared" si="75"/>
        <v>2.7336897792903314</v>
      </c>
      <c r="AG104" s="386">
        <f t="shared" si="76"/>
        <v>7.4730598093964207E-2</v>
      </c>
      <c r="AH104" s="386">
        <f t="shared" si="77"/>
        <v>0.19239999999999999</v>
      </c>
      <c r="AI104" s="386">
        <f t="shared" si="78"/>
        <v>0.27184368769163358</v>
      </c>
      <c r="AJ104" s="386">
        <f t="shared" si="79"/>
        <v>0</v>
      </c>
      <c r="AK104" s="386">
        <f t="shared" si="80"/>
        <v>0</v>
      </c>
      <c r="AL104" s="386">
        <f t="shared" si="81"/>
        <v>0</v>
      </c>
      <c r="AM104">
        <f t="shared" si="82"/>
        <v>0</v>
      </c>
      <c r="AN104" s="386">
        <f t="shared" si="83"/>
        <v>0</v>
      </c>
      <c r="AO104" s="386">
        <f t="shared" si="84"/>
        <v>4.099368804527403</v>
      </c>
      <c r="AP104" s="386">
        <f t="shared" si="85"/>
        <v>0.1680482459553243</v>
      </c>
      <c r="AQ104" s="386">
        <f t="shared" si="86"/>
        <v>0</v>
      </c>
      <c r="AR104" s="386">
        <f t="shared" si="87"/>
        <v>0.17486577155064095</v>
      </c>
      <c r="AS104" s="386">
        <f t="shared" si="88"/>
        <v>0.1680482459553243</v>
      </c>
      <c r="AT104" s="386">
        <f t="shared" si="89"/>
        <v>0</v>
      </c>
      <c r="AU104" s="386">
        <f t="shared" si="90"/>
        <v>8.0604500000000009E-2</v>
      </c>
      <c r="AV104" s="386">
        <f t="shared" si="91"/>
        <v>0.11209589714094631</v>
      </c>
      <c r="AW104" s="386">
        <f t="shared" si="92"/>
        <v>6.5920000000000006E-2</v>
      </c>
      <c r="AX104" s="386">
        <f t="shared" si="93"/>
        <v>3.6000000000000004E-2</v>
      </c>
      <c r="AY104" s="386">
        <f t="shared" si="94"/>
        <v>0.40226399999999995</v>
      </c>
      <c r="AZ104" s="386">
        <f t="shared" si="95"/>
        <v>0.30415082926829268</v>
      </c>
      <c r="BA104" s="386">
        <f t="shared" si="113"/>
        <v>0.43826399999999999</v>
      </c>
      <c r="BB104" s="386">
        <f t="shared" si="114"/>
        <v>2.2553497998491663</v>
      </c>
      <c r="BC104">
        <f t="shared" si="96"/>
        <v>48</v>
      </c>
      <c r="BD104" s="604">
        <f t="shared" si="107"/>
        <v>0.95512219477465599</v>
      </c>
      <c r="BE104" s="614">
        <f t="shared" si="97"/>
        <v>31.006537274942964</v>
      </c>
      <c r="BF104" s="614">
        <f t="shared" si="98"/>
        <v>15.766933886114748</v>
      </c>
      <c r="BG104" s="9"/>
      <c r="BH104" s="4">
        <f t="shared" si="108"/>
        <v>95.512219477465592</v>
      </c>
      <c r="BI104" s="386">
        <f t="shared" si="109"/>
        <v>0.50324077538197043</v>
      </c>
      <c r="BJ104" s="386">
        <f t="shared" si="110"/>
        <v>0.98130492949991188</v>
      </c>
      <c r="BK104" s="386">
        <f t="shared" si="111"/>
        <v>0.29844317269163356</v>
      </c>
      <c r="BL104" s="386">
        <f t="shared" si="112"/>
        <v>0.11209589714094631</v>
      </c>
      <c r="BR104" s="18"/>
      <c r="BS104" s="19"/>
    </row>
    <row r="105" spans="7:71" x14ac:dyDescent="0.2">
      <c r="G105">
        <v>96</v>
      </c>
      <c r="H105" s="610">
        <f t="shared" si="59"/>
        <v>21.96</v>
      </c>
      <c r="I105" s="4" t="str">
        <f t="shared" si="60"/>
        <v>BUCK</v>
      </c>
      <c r="J105">
        <f t="shared" si="99"/>
        <v>1</v>
      </c>
      <c r="K105">
        <f t="shared" si="61"/>
        <v>4</v>
      </c>
      <c r="L105" s="4">
        <f t="shared" si="62"/>
        <v>2.4286581663630842</v>
      </c>
      <c r="M105" s="4">
        <f t="shared" si="63"/>
        <v>4</v>
      </c>
      <c r="N105" s="386">
        <f t="shared" si="64"/>
        <v>0.55189827429609439</v>
      </c>
      <c r="O105" s="386">
        <f t="shared" si="100"/>
        <v>0</v>
      </c>
      <c r="P105" s="4">
        <f t="shared" si="65"/>
        <v>3.1315069880013935</v>
      </c>
      <c r="Q105" s="386">
        <f t="shared" si="66"/>
        <v>4.1008773046741833</v>
      </c>
      <c r="R105" s="386">
        <f t="shared" si="101"/>
        <v>0.22600050296022525</v>
      </c>
      <c r="S105" s="386">
        <f t="shared" si="67"/>
        <v>0.28232707276032376</v>
      </c>
      <c r="T105" s="386">
        <f t="shared" si="102"/>
        <v>0.50832757572054899</v>
      </c>
      <c r="U105" s="4">
        <f t="shared" si="68"/>
        <v>0.9039882012458994</v>
      </c>
      <c r="V105" s="386">
        <f t="shared" si="103"/>
        <v>2.2064256035778513E-2</v>
      </c>
      <c r="W105" s="386">
        <f t="shared" si="104"/>
        <v>2.2064256035778513E-2</v>
      </c>
      <c r="X105" s="386">
        <f t="shared" si="69"/>
        <v>2.0393633113424796</v>
      </c>
      <c r="Y105" s="386">
        <f t="shared" si="105"/>
        <v>0.13308808690079243</v>
      </c>
      <c r="Z105" s="603">
        <f t="shared" si="106"/>
        <v>0.13308808690079243</v>
      </c>
      <c r="AA105" s="386">
        <f t="shared" si="70"/>
        <v>3.0465358549943491</v>
      </c>
      <c r="AB105" s="386">
        <f t="shared" si="71"/>
        <v>9.2813807157661493E-2</v>
      </c>
      <c r="AC105" s="386">
        <f t="shared" si="72"/>
        <v>0.3530147291890039</v>
      </c>
      <c r="AD105">
        <f t="shared" si="73"/>
        <v>0</v>
      </c>
      <c r="AE105" s="386">
        <f t="shared" si="74"/>
        <v>0.45563973716473488</v>
      </c>
      <c r="AF105" s="386">
        <f t="shared" si="75"/>
        <v>2.745143703383421</v>
      </c>
      <c r="AG105" s="386">
        <f t="shared" si="76"/>
        <v>7.5358139522256437E-2</v>
      </c>
      <c r="AH105" s="386">
        <f t="shared" si="77"/>
        <v>0.19239999999999999</v>
      </c>
      <c r="AI105" s="386">
        <f t="shared" si="78"/>
        <v>0.27252267757693499</v>
      </c>
      <c r="AJ105" s="386">
        <f t="shared" si="79"/>
        <v>0</v>
      </c>
      <c r="AK105" s="386">
        <f t="shared" si="80"/>
        <v>0</v>
      </c>
      <c r="AL105" s="386">
        <f t="shared" si="81"/>
        <v>0</v>
      </c>
      <c r="AM105">
        <f t="shared" si="82"/>
        <v>0</v>
      </c>
      <c r="AN105" s="386">
        <f t="shared" si="83"/>
        <v>0</v>
      </c>
      <c r="AO105" s="386">
        <f t="shared" si="84"/>
        <v>4.1008773046741833</v>
      </c>
      <c r="AP105" s="386">
        <f t="shared" si="85"/>
        <v>0.16817194667991797</v>
      </c>
      <c r="AQ105" s="386">
        <f t="shared" si="86"/>
        <v>0</v>
      </c>
      <c r="AR105" s="386">
        <f t="shared" si="87"/>
        <v>0.1749997166603745</v>
      </c>
      <c r="AS105" s="386">
        <f t="shared" si="88"/>
        <v>0.16817194667991797</v>
      </c>
      <c r="AT105" s="386">
        <f t="shared" si="89"/>
        <v>0</v>
      </c>
      <c r="AU105" s="386">
        <f t="shared" si="90"/>
        <v>8.1104000000000009E-2</v>
      </c>
      <c r="AV105" s="386">
        <f t="shared" si="91"/>
        <v>0.11303720928338465</v>
      </c>
      <c r="AW105" s="386">
        <f t="shared" si="92"/>
        <v>6.5920000000000006E-2</v>
      </c>
      <c r="AX105" s="386">
        <f t="shared" si="93"/>
        <v>3.6000000000000004E-2</v>
      </c>
      <c r="AY105" s="386">
        <f t="shared" si="94"/>
        <v>0.40226399999999995</v>
      </c>
      <c r="AZ105" s="386">
        <f t="shared" si="95"/>
        <v>0.30415082926829268</v>
      </c>
      <c r="BA105" s="386">
        <f t="shared" si="113"/>
        <v>0.43826399999999999</v>
      </c>
      <c r="BB105" s="386">
        <f t="shared" si="114"/>
        <v>2.2649672593425492</v>
      </c>
      <c r="BC105">
        <f t="shared" si="96"/>
        <v>48</v>
      </c>
      <c r="BD105" s="604">
        <f t="shared" si="107"/>
        <v>0.95493944624182425</v>
      </c>
      <c r="BE105" s="614">
        <f t="shared" si="97"/>
        <v>31.131136755554625</v>
      </c>
      <c r="BF105" s="614">
        <f t="shared" si="98"/>
        <v>15.806315299462229</v>
      </c>
      <c r="BG105" s="9"/>
      <c r="BH105" s="4">
        <f t="shared" si="108"/>
        <v>95.493944624182419</v>
      </c>
      <c r="BI105" s="386">
        <f t="shared" si="109"/>
        <v>0.50832757572054899</v>
      </c>
      <c r="BJ105" s="386">
        <f t="shared" si="110"/>
        <v>0.98426613140204444</v>
      </c>
      <c r="BK105" s="386">
        <f t="shared" si="111"/>
        <v>0.299286997576935</v>
      </c>
      <c r="BL105" s="386">
        <f t="shared" si="112"/>
        <v>0.11303720928338465</v>
      </c>
      <c r="BR105" s="18"/>
      <c r="BS105" s="19"/>
    </row>
    <row r="106" spans="7:71" x14ac:dyDescent="0.2">
      <c r="G106">
        <v>97</v>
      </c>
      <c r="H106" s="610">
        <f t="shared" si="59"/>
        <v>22.094999999999999</v>
      </c>
      <c r="I106" s="4" t="str">
        <f t="shared" si="60"/>
        <v>BUCK</v>
      </c>
      <c r="J106">
        <f t="shared" si="99"/>
        <v>1</v>
      </c>
      <c r="K106">
        <f t="shared" si="61"/>
        <v>4</v>
      </c>
      <c r="L106" s="4">
        <f t="shared" si="62"/>
        <v>2.4138191144301122</v>
      </c>
      <c r="M106" s="4">
        <f t="shared" si="63"/>
        <v>4</v>
      </c>
      <c r="N106" s="386">
        <f t="shared" si="64"/>
        <v>0.54853531934100652</v>
      </c>
      <c r="O106" s="386">
        <f t="shared" ref="O106:O137" si="115">CHOOSE(J106,0,(Vout+(Rdson3+Rdcr)*L106-H106)/(Vout+(Rdson3-Rdson4-Rs)*L106),IF(H106&gt;Vout,D_min_boost_exitBB_to_buck, (Vout-H106*D_max_buck_BB)/Vout))</f>
        <v>0</v>
      </c>
      <c r="P106" s="4">
        <f t="shared" si="65"/>
        <v>3.1550086090354315</v>
      </c>
      <c r="Q106" s="386">
        <f t="shared" si="66"/>
        <v>4.1023781651936124</v>
      </c>
      <c r="R106" s="386">
        <f t="shared" si="101"/>
        <v>0.22616895260371697</v>
      </c>
      <c r="S106" s="386">
        <f t="shared" si="67"/>
        <v>0.28723277227108179</v>
      </c>
      <c r="T106" s="386">
        <f t="shared" si="102"/>
        <v>0.51340172487479874</v>
      </c>
      <c r="U106" s="4">
        <f t="shared" si="68"/>
        <v>0.91077253486109655</v>
      </c>
      <c r="V106" s="386">
        <f t="shared" si="103"/>
        <v>2.2396678476947297E-2</v>
      </c>
      <c r="W106" s="386">
        <f t="shared" si="104"/>
        <v>2.2396678476947297E-2</v>
      </c>
      <c r="X106" s="386">
        <f t="shared" si="69"/>
        <v>2.0415023309218236</v>
      </c>
      <c r="Y106" s="386">
        <f t="shared" si="105"/>
        <v>0.13336741654909565</v>
      </c>
      <c r="Z106" s="603">
        <f t="shared" si="106"/>
        <v>0.13336741654909565</v>
      </c>
      <c r="AA106" s="386">
        <f t="shared" si="70"/>
        <v>3.0383513264283764</v>
      </c>
      <c r="AB106" s="386">
        <f t="shared" si="71"/>
        <v>9.2315787828090731E-2</v>
      </c>
      <c r="AC106" s="386">
        <f t="shared" si="72"/>
        <v>0.35518490170451006</v>
      </c>
      <c r="AD106">
        <f t="shared" si="73"/>
        <v>0</v>
      </c>
      <c r="AE106" s="386">
        <f t="shared" si="74"/>
        <v>0.45729469007608325</v>
      </c>
      <c r="AF106" s="386">
        <f t="shared" si="75"/>
        <v>2.7564338968036646</v>
      </c>
      <c r="AG106" s="386">
        <f t="shared" si="76"/>
        <v>7.5979278274482351E-2</v>
      </c>
      <c r="AH106" s="386">
        <f t="shared" si="77"/>
        <v>0.19239999999999999</v>
      </c>
      <c r="AI106" s="386">
        <f t="shared" si="78"/>
        <v>0.27319493805388806</v>
      </c>
      <c r="AJ106" s="386">
        <f t="shared" si="79"/>
        <v>0</v>
      </c>
      <c r="AK106" s="386">
        <f t="shared" si="80"/>
        <v>0</v>
      </c>
      <c r="AL106" s="386">
        <f t="shared" si="81"/>
        <v>0</v>
      </c>
      <c r="AM106">
        <f t="shared" si="82"/>
        <v>0</v>
      </c>
      <c r="AN106" s="386">
        <f t="shared" si="83"/>
        <v>0</v>
      </c>
      <c r="AO106" s="386">
        <f t="shared" si="84"/>
        <v>4.1023781651936124</v>
      </c>
      <c r="AP106" s="386">
        <f t="shared" si="85"/>
        <v>0.16829506610257311</v>
      </c>
      <c r="AQ106" s="386">
        <f t="shared" si="86"/>
        <v>0</v>
      </c>
      <c r="AR106" s="386">
        <f t="shared" si="87"/>
        <v>0.17513304027126692</v>
      </c>
      <c r="AS106" s="386">
        <f t="shared" si="88"/>
        <v>0.16829506610257311</v>
      </c>
      <c r="AT106" s="386">
        <f t="shared" si="89"/>
        <v>0</v>
      </c>
      <c r="AU106" s="386">
        <f t="shared" si="90"/>
        <v>8.1603500000000009E-2</v>
      </c>
      <c r="AV106" s="386">
        <f t="shared" si="91"/>
        <v>0.11396891741172353</v>
      </c>
      <c r="AW106" s="386">
        <f t="shared" si="92"/>
        <v>6.5920000000000006E-2</v>
      </c>
      <c r="AX106" s="386">
        <f t="shared" si="93"/>
        <v>3.6000000000000004E-2</v>
      </c>
      <c r="AY106" s="386">
        <f t="shared" si="94"/>
        <v>0.40226399999999995</v>
      </c>
      <c r="AZ106" s="386">
        <f t="shared" si="95"/>
        <v>0.30415082926829268</v>
      </c>
      <c r="BA106" s="386">
        <f t="shared" si="113"/>
        <v>0.43826399999999999</v>
      </c>
      <c r="BB106" s="386">
        <f t="shared" si="114"/>
        <v>2.2745449057138032</v>
      </c>
      <c r="BC106">
        <f t="shared" si="96"/>
        <v>48</v>
      </c>
      <c r="BD106" s="604">
        <f t="shared" si="107"/>
        <v>0.95475752371345091</v>
      </c>
      <c r="BE106" s="614">
        <f t="shared" si="97"/>
        <v>31.256095024412833</v>
      </c>
      <c r="BF106" s="614">
        <f t="shared" si="98"/>
        <v>15.845306407125507</v>
      </c>
      <c r="BG106" s="9"/>
      <c r="BH106" s="4">
        <f t="shared" si="108"/>
        <v>95.475752371345095</v>
      </c>
      <c r="BI106" s="386">
        <f t="shared" si="109"/>
        <v>0.51340172487479874</v>
      </c>
      <c r="BJ106" s="386">
        <f t="shared" si="110"/>
        <v>0.98722616840123834</v>
      </c>
      <c r="BK106" s="386">
        <f t="shared" si="111"/>
        <v>0.30012409305388804</v>
      </c>
      <c r="BL106" s="386">
        <f t="shared" si="112"/>
        <v>0.11396891741172353</v>
      </c>
      <c r="BR106" s="18"/>
      <c r="BS106" s="19"/>
    </row>
    <row r="107" spans="7:71" x14ac:dyDescent="0.2">
      <c r="G107">
        <v>98</v>
      </c>
      <c r="H107" s="610">
        <f t="shared" si="59"/>
        <v>22.23</v>
      </c>
      <c r="I107" s="4" t="str">
        <f t="shared" si="60"/>
        <v>BUCK</v>
      </c>
      <c r="J107">
        <f t="shared" si="99"/>
        <v>1</v>
      </c>
      <c r="K107">
        <f t="shared" si="61"/>
        <v>4</v>
      </c>
      <c r="L107" s="4">
        <f t="shared" si="62"/>
        <v>2.3991602938971357</v>
      </c>
      <c r="M107" s="4">
        <f t="shared" si="63"/>
        <v>4</v>
      </c>
      <c r="N107" s="386">
        <f t="shared" si="64"/>
        <v>0.54521310004486312</v>
      </c>
      <c r="O107" s="386">
        <f t="shared" si="115"/>
        <v>0</v>
      </c>
      <c r="P107" s="4">
        <f t="shared" si="65"/>
        <v>3.178225553637025</v>
      </c>
      <c r="Q107" s="386">
        <f t="shared" si="66"/>
        <v>4.103871319353952</v>
      </c>
      <c r="R107" s="386">
        <f t="shared" si="101"/>
        <v>0.22633660291359153</v>
      </c>
      <c r="S107" s="386">
        <f t="shared" si="67"/>
        <v>0.29212606558060433</v>
      </c>
      <c r="T107" s="386">
        <f t="shared" si="102"/>
        <v>0.51846266849419587</v>
      </c>
      <c r="U107" s="4">
        <f t="shared" si="68"/>
        <v>0.91747468946884192</v>
      </c>
      <c r="V107" s="386">
        <f t="shared" si="103"/>
        <v>2.2727514757030592E-2</v>
      </c>
      <c r="W107" s="386">
        <f t="shared" si="104"/>
        <v>2.2727514757030592E-2</v>
      </c>
      <c r="X107" s="386">
        <f t="shared" si="69"/>
        <v>2.0435292057751808</v>
      </c>
      <c r="Y107" s="386">
        <f t="shared" si="105"/>
        <v>0.13363237167539652</v>
      </c>
      <c r="Z107" s="603">
        <f t="shared" si="106"/>
        <v>0.13363237167539652</v>
      </c>
      <c r="AA107" s="386">
        <f t="shared" si="70"/>
        <v>3.0302389466739887</v>
      </c>
      <c r="AB107" s="386">
        <f t="shared" si="71"/>
        <v>9.1823480739398847E-2</v>
      </c>
      <c r="AC107" s="386">
        <f t="shared" si="72"/>
        <v>0.35735507422001622</v>
      </c>
      <c r="AD107">
        <f t="shared" si="73"/>
        <v>0</v>
      </c>
      <c r="AE107" s="386">
        <f t="shared" si="74"/>
        <v>0.45895571027017251</v>
      </c>
      <c r="AF107" s="386">
        <f t="shared" si="75"/>
        <v>2.7675642236226539</v>
      </c>
      <c r="AG107" s="386">
        <f t="shared" si="76"/>
        <v>7.6594117318760632E-2</v>
      </c>
      <c r="AH107" s="386">
        <f t="shared" si="77"/>
        <v>0.19239999999999999</v>
      </c>
      <c r="AI107" s="386">
        <f t="shared" si="78"/>
        <v>0.27386057460213431</v>
      </c>
      <c r="AJ107" s="386">
        <f t="shared" si="79"/>
        <v>0</v>
      </c>
      <c r="AK107" s="386">
        <f t="shared" si="80"/>
        <v>0</v>
      </c>
      <c r="AL107" s="386">
        <f t="shared" si="81"/>
        <v>0</v>
      </c>
      <c r="AM107">
        <f t="shared" si="82"/>
        <v>0</v>
      </c>
      <c r="AN107" s="386">
        <f t="shared" si="83"/>
        <v>0</v>
      </c>
      <c r="AO107" s="386">
        <f t="shared" si="84"/>
        <v>4.103871319353952</v>
      </c>
      <c r="AP107" s="386">
        <f t="shared" si="85"/>
        <v>0.16841759805815948</v>
      </c>
      <c r="AQ107" s="386">
        <f t="shared" si="86"/>
        <v>0</v>
      </c>
      <c r="AR107" s="386">
        <f t="shared" si="87"/>
        <v>0.17526573559506928</v>
      </c>
      <c r="AS107" s="386">
        <f t="shared" si="88"/>
        <v>0.16841759805815948</v>
      </c>
      <c r="AT107" s="386">
        <f t="shared" si="89"/>
        <v>0</v>
      </c>
      <c r="AU107" s="386">
        <f t="shared" si="90"/>
        <v>8.2103000000000009E-2</v>
      </c>
      <c r="AV107" s="386">
        <f t="shared" si="91"/>
        <v>0.11489117597814094</v>
      </c>
      <c r="AW107" s="386">
        <f t="shared" si="92"/>
        <v>6.5920000000000006E-2</v>
      </c>
      <c r="AX107" s="386">
        <f t="shared" si="93"/>
        <v>3.6000000000000004E-2</v>
      </c>
      <c r="AY107" s="386">
        <f t="shared" si="94"/>
        <v>0.40226399999999995</v>
      </c>
      <c r="AZ107" s="386">
        <f t="shared" si="95"/>
        <v>0.30415082926829268</v>
      </c>
      <c r="BA107" s="386">
        <f t="shared" si="113"/>
        <v>0.43826399999999999</v>
      </c>
      <c r="BB107" s="386">
        <f t="shared" si="114"/>
        <v>2.2840827513721407</v>
      </c>
      <c r="BC107">
        <f t="shared" si="96"/>
        <v>48</v>
      </c>
      <c r="BD107" s="604">
        <f t="shared" si="107"/>
        <v>0.95457642604985549</v>
      </c>
      <c r="BE107" s="614">
        <f t="shared" si="97"/>
        <v>31.381405195670006</v>
      </c>
      <c r="BF107" s="614">
        <f t="shared" si="98"/>
        <v>15.883913326923789</v>
      </c>
      <c r="BG107" s="9"/>
      <c r="BH107" s="4">
        <f t="shared" si="108"/>
        <v>95.457642604985551</v>
      </c>
      <c r="BI107" s="386">
        <f t="shared" si="109"/>
        <v>0.51846266849419587</v>
      </c>
      <c r="BJ107" s="386">
        <f t="shared" si="110"/>
        <v>0.99018502046737611</v>
      </c>
      <c r="BK107" s="386">
        <f t="shared" si="111"/>
        <v>0.30095456460213432</v>
      </c>
      <c r="BL107" s="386">
        <f t="shared" si="112"/>
        <v>0.11489117597814094</v>
      </c>
      <c r="BR107" s="18"/>
      <c r="BS107" s="19"/>
    </row>
    <row r="108" spans="7:71" x14ac:dyDescent="0.2">
      <c r="G108">
        <v>99</v>
      </c>
      <c r="H108" s="610">
        <f t="shared" si="59"/>
        <v>22.365000000000002</v>
      </c>
      <c r="I108" s="4" t="str">
        <f t="shared" si="60"/>
        <v>BUCK</v>
      </c>
      <c r="J108">
        <f t="shared" si="99"/>
        <v>1</v>
      </c>
      <c r="K108">
        <f t="shared" si="61"/>
        <v>4</v>
      </c>
      <c r="L108" s="4">
        <f t="shared" si="62"/>
        <v>2.3846784410164688</v>
      </c>
      <c r="M108" s="4">
        <f t="shared" si="63"/>
        <v>4</v>
      </c>
      <c r="N108" s="386">
        <f t="shared" si="64"/>
        <v>0.54193088071348938</v>
      </c>
      <c r="O108" s="386">
        <f t="shared" si="115"/>
        <v>0</v>
      </c>
      <c r="P108" s="4">
        <f t="shared" si="65"/>
        <v>3.2011629631196707</v>
      </c>
      <c r="Q108" s="386">
        <f t="shared" si="66"/>
        <v>4.1053567071616843</v>
      </c>
      <c r="R108" s="386">
        <f t="shared" si="101"/>
        <v>0.22650344614186746</v>
      </c>
      <c r="S108" s="386">
        <f t="shared" si="67"/>
        <v>0.29700643513495417</v>
      </c>
      <c r="T108" s="386">
        <f t="shared" si="102"/>
        <v>0.52350988127682163</v>
      </c>
      <c r="U108" s="4">
        <f t="shared" si="68"/>
        <v>0.92409614923850103</v>
      </c>
      <c r="V108" s="386">
        <f t="shared" si="103"/>
        <v>2.3056749712010501E-2</v>
      </c>
      <c r="W108" s="386">
        <f t="shared" si="104"/>
        <v>2.3056749712010501E-2</v>
      </c>
      <c r="X108" s="386">
        <f t="shared" si="69"/>
        <v>2.0454475849600331</v>
      </c>
      <c r="Y108" s="386">
        <f t="shared" si="105"/>
        <v>0.13388338633020264</v>
      </c>
      <c r="Z108" s="603">
        <f t="shared" si="106"/>
        <v>0.13388338633020264</v>
      </c>
      <c r="AA108" s="386">
        <f t="shared" si="70"/>
        <v>3.0221975396012981</v>
      </c>
      <c r="AB108" s="386">
        <f t="shared" si="71"/>
        <v>9.1336779683721406E-2</v>
      </c>
      <c r="AC108" s="386">
        <f t="shared" si="72"/>
        <v>0.35952524673552244</v>
      </c>
      <c r="AD108">
        <f t="shared" si="73"/>
        <v>0</v>
      </c>
      <c r="AE108" s="386">
        <f t="shared" si="74"/>
        <v>0.46062268226707609</v>
      </c>
      <c r="AF108" s="386">
        <f t="shared" si="75"/>
        <v>2.7785384151861727</v>
      </c>
      <c r="AG108" s="386">
        <f t="shared" si="76"/>
        <v>7.7202757246652889E-2</v>
      </c>
      <c r="AH108" s="386">
        <f t="shared" si="77"/>
        <v>0.19239999999999999</v>
      </c>
      <c r="AI108" s="386">
        <f t="shared" si="78"/>
        <v>0.27451969031312851</v>
      </c>
      <c r="AJ108" s="386">
        <f t="shared" si="79"/>
        <v>0</v>
      </c>
      <c r="AK108" s="386">
        <f t="shared" si="80"/>
        <v>0</v>
      </c>
      <c r="AL108" s="386">
        <f t="shared" si="81"/>
        <v>0</v>
      </c>
      <c r="AM108">
        <f t="shared" si="82"/>
        <v>0</v>
      </c>
      <c r="AN108" s="386">
        <f t="shared" si="83"/>
        <v>0</v>
      </c>
      <c r="AO108" s="386">
        <f t="shared" si="84"/>
        <v>4.1053567071616843</v>
      </c>
      <c r="AP108" s="386">
        <f t="shared" si="85"/>
        <v>0.1685395369303743</v>
      </c>
      <c r="AQ108" s="386">
        <f t="shared" si="86"/>
        <v>0</v>
      </c>
      <c r="AR108" s="386">
        <f t="shared" si="87"/>
        <v>0.17539779643687253</v>
      </c>
      <c r="AS108" s="386">
        <f t="shared" si="88"/>
        <v>0.1685395369303743</v>
      </c>
      <c r="AT108" s="386">
        <f t="shared" si="89"/>
        <v>0</v>
      </c>
      <c r="AU108" s="386">
        <f t="shared" si="90"/>
        <v>8.2602500000000009E-2</v>
      </c>
      <c r="AV108" s="386">
        <f t="shared" si="91"/>
        <v>0.11580413586997933</v>
      </c>
      <c r="AW108" s="386">
        <f t="shared" si="92"/>
        <v>6.5920000000000006E-2</v>
      </c>
      <c r="AX108" s="386">
        <f t="shared" si="93"/>
        <v>3.6000000000000004E-2</v>
      </c>
      <c r="AY108" s="386">
        <f t="shared" si="94"/>
        <v>0.40226399999999995</v>
      </c>
      <c r="AZ108" s="386">
        <f t="shared" si="95"/>
        <v>0.30415082926829268</v>
      </c>
      <c r="BA108" s="386">
        <f t="shared" si="113"/>
        <v>0.43826399999999999</v>
      </c>
      <c r="BB108" s="386">
        <f t="shared" si="114"/>
        <v>2.2935808222060916</v>
      </c>
      <c r="BC108">
        <f t="shared" si="96"/>
        <v>48</v>
      </c>
      <c r="BD108" s="604">
        <f t="shared" si="107"/>
        <v>0.95439615186052917</v>
      </c>
      <c r="BE108" s="614">
        <f t="shared" si="97"/>
        <v>31.50706057149041</v>
      </c>
      <c r="BF108" s="614">
        <f t="shared" si="98"/>
        <v>15.922142038161454</v>
      </c>
      <c r="BG108" s="9"/>
      <c r="BH108" s="4">
        <f t="shared" si="108"/>
        <v>95.439615186052919</v>
      </c>
      <c r="BI108" s="386">
        <f t="shared" si="109"/>
        <v>0.52350988127682163</v>
      </c>
      <c r="BJ108" s="386">
        <f t="shared" si="110"/>
        <v>0.99314266901707715</v>
      </c>
      <c r="BK108" s="386">
        <f t="shared" si="111"/>
        <v>0.30177851531312849</v>
      </c>
      <c r="BL108" s="386">
        <f t="shared" si="112"/>
        <v>0.11580413586997933</v>
      </c>
      <c r="BR108" s="18"/>
      <c r="BS108" s="19"/>
    </row>
    <row r="109" spans="7:71" x14ac:dyDescent="0.2">
      <c r="G109">
        <v>100</v>
      </c>
      <c r="H109" s="610">
        <f t="shared" si="59"/>
        <v>22.5</v>
      </c>
      <c r="I109" s="4" t="str">
        <f t="shared" si="60"/>
        <v>BUCK</v>
      </c>
      <c r="J109">
        <f t="shared" si="99"/>
        <v>1</v>
      </c>
      <c r="K109">
        <f t="shared" si="61"/>
        <v>4</v>
      </c>
      <c r="L109" s="4">
        <f t="shared" si="62"/>
        <v>2.3703703703703702</v>
      </c>
      <c r="M109" s="4">
        <f t="shared" si="63"/>
        <v>4</v>
      </c>
      <c r="N109" s="386">
        <f t="shared" si="64"/>
        <v>0.53868794326241132</v>
      </c>
      <c r="O109" s="386">
        <f t="shared" si="115"/>
        <v>0</v>
      </c>
      <c r="P109" s="4">
        <f t="shared" si="65"/>
        <v>3.223825855733506</v>
      </c>
      <c r="Q109" s="386">
        <f t="shared" si="66"/>
        <v>4.1068342750032318</v>
      </c>
      <c r="R109" s="386">
        <f t="shared" si="101"/>
        <v>0.22666947525226225</v>
      </c>
      <c r="S109" s="386">
        <f t="shared" si="67"/>
        <v>0.30187339049358319</v>
      </c>
      <c r="T109" s="386">
        <f t="shared" si="102"/>
        <v>0.52854286574584541</v>
      </c>
      <c r="U109" s="4">
        <f t="shared" si="68"/>
        <v>0.93063836281410772</v>
      </c>
      <c r="V109" s="386">
        <f t="shared" si="103"/>
        <v>2.3384369583215714E-2</v>
      </c>
      <c r="W109" s="386">
        <f t="shared" si="104"/>
        <v>2.3384369583215714E-2</v>
      </c>
      <c r="X109" s="386">
        <f t="shared" si="69"/>
        <v>2.0472609766325274</v>
      </c>
      <c r="Y109" s="386">
        <f t="shared" si="105"/>
        <v>0.13412088020615584</v>
      </c>
      <c r="Z109" s="603">
        <f t="shared" si="106"/>
        <v>0.13412088020615584</v>
      </c>
      <c r="AA109" s="386">
        <f t="shared" si="70"/>
        <v>3.0142259582816568</v>
      </c>
      <c r="AB109" s="386">
        <f t="shared" si="71"/>
        <v>9.0855581275789729E-2</v>
      </c>
      <c r="AC109" s="386">
        <f t="shared" si="72"/>
        <v>0.36169541925102855</v>
      </c>
      <c r="AD109">
        <f t="shared" si="73"/>
        <v>0</v>
      </c>
      <c r="AE109" s="386">
        <f t="shared" si="74"/>
        <v>0.46229549371299183</v>
      </c>
      <c r="AF109" s="386">
        <f t="shared" si="75"/>
        <v>2.7893600762114508</v>
      </c>
      <c r="AG109" s="386">
        <f t="shared" si="76"/>
        <v>7.7805296347623509E-2</v>
      </c>
      <c r="AH109" s="386">
        <f t="shared" si="77"/>
        <v>0.19239999999999999</v>
      </c>
      <c r="AI109" s="386">
        <f t="shared" si="78"/>
        <v>0.27517238596411953</v>
      </c>
      <c r="AJ109" s="386">
        <f t="shared" si="79"/>
        <v>0</v>
      </c>
      <c r="AK109" s="386">
        <f t="shared" si="80"/>
        <v>0</v>
      </c>
      <c r="AL109" s="386">
        <f t="shared" si="81"/>
        <v>0</v>
      </c>
      <c r="AM109">
        <f t="shared" si="82"/>
        <v>0</v>
      </c>
      <c r="AN109" s="386">
        <f t="shared" si="83"/>
        <v>0</v>
      </c>
      <c r="AO109" s="386">
        <f t="shared" si="84"/>
        <v>4.1068342750032318</v>
      </c>
      <c r="AP109" s="386">
        <f t="shared" si="85"/>
        <v>0.1686608776234132</v>
      </c>
      <c r="AQ109" s="386">
        <f t="shared" si="86"/>
        <v>0</v>
      </c>
      <c r="AR109" s="386">
        <f t="shared" si="87"/>
        <v>0.17552921716461733</v>
      </c>
      <c r="AS109" s="386">
        <f t="shared" si="88"/>
        <v>0.1686608776234132</v>
      </c>
      <c r="AT109" s="386">
        <f t="shared" si="89"/>
        <v>0</v>
      </c>
      <c r="AU109" s="386">
        <f t="shared" si="90"/>
        <v>8.3102000000000009E-2</v>
      </c>
      <c r="AV109" s="386">
        <f t="shared" si="91"/>
        <v>0.11670794452143525</v>
      </c>
      <c r="AW109" s="386">
        <f t="shared" si="92"/>
        <v>6.5920000000000006E-2</v>
      </c>
      <c r="AX109" s="386">
        <f t="shared" si="93"/>
        <v>3.6000000000000004E-2</v>
      </c>
      <c r="AY109" s="386">
        <f t="shared" si="94"/>
        <v>0.40226399999999995</v>
      </c>
      <c r="AZ109" s="386">
        <f t="shared" si="95"/>
        <v>0.30415082926829268</v>
      </c>
      <c r="BA109" s="386">
        <f t="shared" si="113"/>
        <v>0.43826399999999999</v>
      </c>
      <c r="BB109" s="386">
        <f t="shared" si="114"/>
        <v>2.303039156898381</v>
      </c>
      <c r="BC109">
        <f t="shared" si="96"/>
        <v>48</v>
      </c>
      <c r="BD109" s="604">
        <f t="shared" si="107"/>
        <v>0.95421669951759669</v>
      </c>
      <c r="BE109" s="614">
        <f t="shared" si="97"/>
        <v>31.633054635353528</v>
      </c>
      <c r="BF109" s="614">
        <f t="shared" si="98"/>
        <v>15.959998385918933</v>
      </c>
      <c r="BG109" s="9"/>
      <c r="BH109" s="4">
        <f t="shared" si="108"/>
        <v>95.421669951759668</v>
      </c>
      <c r="BI109" s="386">
        <f t="shared" si="109"/>
        <v>0.52854286574584541</v>
      </c>
      <c r="BJ109" s="386">
        <f t="shared" si="110"/>
        <v>0.9960990968417287</v>
      </c>
      <c r="BK109" s="386">
        <f t="shared" si="111"/>
        <v>0.30259604596411954</v>
      </c>
      <c r="BL109" s="386">
        <f t="shared" si="112"/>
        <v>0.11670794452143525</v>
      </c>
      <c r="BR109" s="18"/>
      <c r="BS109" s="19"/>
    </row>
    <row r="110" spans="7:71" x14ac:dyDescent="0.2">
      <c r="G110">
        <v>101</v>
      </c>
      <c r="H110" s="610">
        <f t="shared" si="59"/>
        <v>22.634999999999998</v>
      </c>
      <c r="I110" s="4" t="str">
        <f t="shared" si="60"/>
        <v>BUCK</v>
      </c>
      <c r="J110">
        <f t="shared" si="99"/>
        <v>1</v>
      </c>
      <c r="K110">
        <f t="shared" si="61"/>
        <v>4</v>
      </c>
      <c r="L110" s="4">
        <f t="shared" si="62"/>
        <v>2.3562329725351598</v>
      </c>
      <c r="M110" s="4">
        <f t="shared" si="63"/>
        <v>4</v>
      </c>
      <c r="N110" s="386">
        <f t="shared" si="64"/>
        <v>0.53548358669310425</v>
      </c>
      <c r="O110" s="386">
        <f t="shared" si="115"/>
        <v>0</v>
      </c>
      <c r="P110" s="4">
        <f t="shared" si="65"/>
        <v>3.2462191303254992</v>
      </c>
      <c r="Q110" s="386">
        <f t="shared" si="66"/>
        <v>4.1083039753050894</v>
      </c>
      <c r="R110" s="386">
        <f t="shared" ref="R110:R173" si="116">(Q110^2*Rdcr*(1+Ltc*Ta-Ltc*25))/(1-Q110^2*Rdcr*Ltc*ThetaCa)</f>
        <v>0.22683468388349409</v>
      </c>
      <c r="S110" s="386">
        <f t="shared" ref="S110:S173" si="117">7.759*10^-3*Fsw^0.9458*(0.00787*P110)^2.304</f>
        <v>0.30672646719368502</v>
      </c>
      <c r="T110" s="386">
        <f t="shared" ref="T110:T173" si="118">R110+S110</f>
        <v>0.53356115107717916</v>
      </c>
      <c r="U110" s="4">
        <f t="shared" si="68"/>
        <v>0.93710274437096996</v>
      </c>
      <c r="V110" s="386">
        <f t="shared" ref="V110:V173" si="119">RCoutEsr*U110^2</f>
        <v>2.3710361944705296E-2</v>
      </c>
      <c r="W110" s="386">
        <f t="shared" ref="W110:W173" si="120">V110</f>
        <v>2.3710361944705296E-2</v>
      </c>
      <c r="X110" s="386">
        <f t="shared" si="69"/>
        <v>2.0489727547260839</v>
      </c>
      <c r="Y110" s="386">
        <f t="shared" ref="Y110:Y173" si="121">RCinEsr*X110^2</f>
        <v>0.1343452591875135</v>
      </c>
      <c r="Z110" s="603">
        <f t="shared" ref="Z110:Z173" si="122">Y110</f>
        <v>0.1343452591875135</v>
      </c>
      <c r="AA110" s="386">
        <f t="shared" si="70"/>
        <v>3.0063230840110826</v>
      </c>
      <c r="AB110" s="386">
        <f t="shared" si="71"/>
        <v>9.0379784854579079E-2</v>
      </c>
      <c r="AC110" s="386">
        <f t="shared" si="72"/>
        <v>0.36386559176653471</v>
      </c>
      <c r="AD110">
        <f t="shared" si="73"/>
        <v>0</v>
      </c>
      <c r="AE110" s="386">
        <f t="shared" si="74"/>
        <v>0.46397403526981873</v>
      </c>
      <c r="AF110" s="386">
        <f t="shared" si="75"/>
        <v>2.8000326905323254</v>
      </c>
      <c r="AG110" s="386">
        <f t="shared" si="76"/>
        <v>7.8401830680496942E-2</v>
      </c>
      <c r="AH110" s="386">
        <f t="shared" si="77"/>
        <v>0.19239999999999999</v>
      </c>
      <c r="AI110" s="386">
        <f t="shared" si="78"/>
        <v>0.27581876008916445</v>
      </c>
      <c r="AJ110" s="386">
        <f t="shared" si="79"/>
        <v>0</v>
      </c>
      <c r="AK110" s="386">
        <f t="shared" si="80"/>
        <v>0</v>
      </c>
      <c r="AL110" s="386">
        <f t="shared" si="81"/>
        <v>0</v>
      </c>
      <c r="AM110">
        <f t="shared" si="82"/>
        <v>0</v>
      </c>
      <c r="AN110" s="386">
        <f t="shared" si="83"/>
        <v>0</v>
      </c>
      <c r="AO110" s="386">
        <f t="shared" si="84"/>
        <v>4.1083039753050894</v>
      </c>
      <c r="AP110" s="386">
        <f t="shared" si="85"/>
        <v>0.16878161553507601</v>
      </c>
      <c r="AQ110" s="386">
        <f t="shared" si="86"/>
        <v>0</v>
      </c>
      <c r="AR110" s="386">
        <f t="shared" si="87"/>
        <v>0.17565999268014482</v>
      </c>
      <c r="AS110" s="386">
        <f t="shared" si="88"/>
        <v>0.16878161553507601</v>
      </c>
      <c r="AT110" s="386">
        <f t="shared" si="89"/>
        <v>0</v>
      </c>
      <c r="AU110" s="386">
        <f t="shared" si="90"/>
        <v>8.3601499999999995E-2</v>
      </c>
      <c r="AV110" s="386">
        <f t="shared" si="91"/>
        <v>0.1176027460207454</v>
      </c>
      <c r="AW110" s="386">
        <f t="shared" si="92"/>
        <v>6.5920000000000006E-2</v>
      </c>
      <c r="AX110" s="386">
        <f t="shared" si="93"/>
        <v>3.6000000000000004E-2</v>
      </c>
      <c r="AY110" s="386">
        <f t="shared" si="94"/>
        <v>0.40226399999999995</v>
      </c>
      <c r="AZ110" s="386">
        <f t="shared" si="95"/>
        <v>0.30415082926829268</v>
      </c>
      <c r="BA110" s="386">
        <f t="shared" ref="BA110:BA173" si="123">SUM(AX110:AY110)</f>
        <v>0.43826399999999999</v>
      </c>
      <c r="BB110" s="386">
        <f t="shared" ref="BB110:BB173" si="124">SUM(T110,W110,Z110,AE110,AI110,AN110,AR110, AT110,AU110,BA110,AV110,AW110)</f>
        <v>2.3124578062692711</v>
      </c>
      <c r="BC110">
        <f t="shared" si="96"/>
        <v>48</v>
      </c>
      <c r="BD110" s="604">
        <f t="shared" ref="BD110:BD173" si="125">BC110/(BC110+BB110)</f>
        <v>0.95403806716870188</v>
      </c>
      <c r="BE110" s="614">
        <f t="shared" si="97"/>
        <v>31.759381045649487</v>
      </c>
      <c r="BF110" s="614">
        <f t="shared" si="98"/>
        <v>15.997488085171538</v>
      </c>
      <c r="BG110" s="9"/>
      <c r="BH110" s="4">
        <f t="shared" ref="BH110:BH173" si="126">BD110*100</f>
        <v>95.403806716870193</v>
      </c>
      <c r="BI110" s="386">
        <f t="shared" ref="BI110:BI173" si="127">T110</f>
        <v>0.53356115107717916</v>
      </c>
      <c r="BJ110" s="386">
        <f t="shared" ref="BJ110:BJ173" si="128">AE110+AI110+AN110+AR110+AU110</f>
        <v>0.99905428803912788</v>
      </c>
      <c r="BK110" s="386">
        <f t="shared" ref="BK110:BK173" si="129">AI110+AU110*0.33</f>
        <v>0.30340725508916444</v>
      </c>
      <c r="BL110" s="386">
        <f t="shared" ref="BL110:BL173" si="130">AV110</f>
        <v>0.1176027460207454</v>
      </c>
    </row>
    <row r="111" spans="7:71" x14ac:dyDescent="0.2">
      <c r="G111">
        <v>102</v>
      </c>
      <c r="H111" s="610">
        <f t="shared" si="59"/>
        <v>22.77</v>
      </c>
      <c r="I111" s="4" t="str">
        <f t="shared" si="60"/>
        <v>BUCK</v>
      </c>
      <c r="J111">
        <f t="shared" si="99"/>
        <v>1</v>
      </c>
      <c r="K111">
        <f t="shared" si="61"/>
        <v>4</v>
      </c>
      <c r="L111" s="4">
        <f t="shared" si="62"/>
        <v>2.3422632118284294</v>
      </c>
      <c r="M111" s="4">
        <f t="shared" si="63"/>
        <v>4</v>
      </c>
      <c r="N111" s="386">
        <f t="shared" si="64"/>
        <v>0.53231712658782304</v>
      </c>
      <c r="O111" s="386">
        <f t="shared" si="115"/>
        <v>0</v>
      </c>
      <c r="P111" s="4">
        <f t="shared" si="65"/>
        <v>3.2683475698697548</v>
      </c>
      <c r="Q111" s="386">
        <f t="shared" si="66"/>
        <v>4.1097657662113534</v>
      </c>
      <c r="R111" s="386">
        <f t="shared" si="116"/>
        <v>0.22699906631443162</v>
      </c>
      <c r="S111" s="386">
        <f t="shared" si="117"/>
        <v>0.31156522566172645</v>
      </c>
      <c r="T111" s="386">
        <f t="shared" si="118"/>
        <v>0.53856429197615807</v>
      </c>
      <c r="U111" s="4">
        <f t="shared" si="68"/>
        <v>0.94349067463478109</v>
      </c>
      <c r="V111" s="386">
        <f t="shared" si="119"/>
        <v>2.4034715634315446E-2</v>
      </c>
      <c r="W111" s="386">
        <f t="shared" si="120"/>
        <v>2.4034715634315446E-2</v>
      </c>
      <c r="X111" s="386">
        <f t="shared" si="69"/>
        <v>2.0505861652469446</v>
      </c>
      <c r="Y111" s="386">
        <f t="shared" si="121"/>
        <v>0.13455691587526944</v>
      </c>
      <c r="Z111" s="603">
        <f t="shared" si="122"/>
        <v>0.13455691587526944</v>
      </c>
      <c r="AA111" s="386">
        <f t="shared" si="70"/>
        <v>2.9984878253741178</v>
      </c>
      <c r="AB111" s="386">
        <f t="shared" si="71"/>
        <v>8.9909292389168061E-2</v>
      </c>
      <c r="AC111" s="386">
        <f t="shared" si="72"/>
        <v>0.36603576428204088</v>
      </c>
      <c r="AD111">
        <f t="shared" si="73"/>
        <v>0</v>
      </c>
      <c r="AE111" s="386">
        <f t="shared" si="74"/>
        <v>0.46565820050951034</v>
      </c>
      <c r="AF111" s="386">
        <f t="shared" si="75"/>
        <v>2.8105596265167523</v>
      </c>
      <c r="AG111" s="386">
        <f t="shared" si="76"/>
        <v>7.8992454142059867E-2</v>
      </c>
      <c r="AH111" s="386">
        <f t="shared" si="77"/>
        <v>0.19239999999999999</v>
      </c>
      <c r="AI111" s="386">
        <f t="shared" si="78"/>
        <v>0.27645890904731946</v>
      </c>
      <c r="AJ111" s="386">
        <f t="shared" si="79"/>
        <v>0</v>
      </c>
      <c r="AK111" s="386">
        <f t="shared" si="80"/>
        <v>0</v>
      </c>
      <c r="AL111" s="386">
        <f t="shared" si="81"/>
        <v>0</v>
      </c>
      <c r="AM111">
        <f t="shared" si="82"/>
        <v>0</v>
      </c>
      <c r="AN111" s="386">
        <f t="shared" si="83"/>
        <v>0</v>
      </c>
      <c r="AO111" s="386">
        <f t="shared" si="84"/>
        <v>4.1097657662113534</v>
      </c>
      <c r="AP111" s="386">
        <f t="shared" si="85"/>
        <v>0.16890174653122791</v>
      </c>
      <c r="AQ111" s="386">
        <f t="shared" si="86"/>
        <v>0</v>
      </c>
      <c r="AR111" s="386">
        <f t="shared" si="87"/>
        <v>0.17579011839170319</v>
      </c>
      <c r="AS111" s="386">
        <f t="shared" si="88"/>
        <v>0.16890174653122791</v>
      </c>
      <c r="AT111" s="386">
        <f t="shared" si="89"/>
        <v>0</v>
      </c>
      <c r="AU111" s="386">
        <f t="shared" si="90"/>
        <v>8.4101000000000009E-2</v>
      </c>
      <c r="AV111" s="386">
        <f t="shared" si="91"/>
        <v>0.11848868121308979</v>
      </c>
      <c r="AW111" s="386">
        <f t="shared" si="92"/>
        <v>6.5920000000000006E-2</v>
      </c>
      <c r="AX111" s="386">
        <f t="shared" si="93"/>
        <v>3.6000000000000004E-2</v>
      </c>
      <c r="AY111" s="386">
        <f t="shared" si="94"/>
        <v>0.40226399999999995</v>
      </c>
      <c r="AZ111" s="386">
        <f t="shared" si="95"/>
        <v>0.30415082926829268</v>
      </c>
      <c r="BA111" s="386">
        <f t="shared" si="123"/>
        <v>0.43826399999999999</v>
      </c>
      <c r="BB111" s="386">
        <f t="shared" si="124"/>
        <v>2.3218368326473655</v>
      </c>
      <c r="BC111">
        <f t="shared" si="96"/>
        <v>48</v>
      </c>
      <c r="BD111" s="604">
        <f t="shared" si="125"/>
        <v>0.95386025274933883</v>
      </c>
      <c r="BE111" s="614">
        <f t="shared" si="97"/>
        <v>31.886033629551598</v>
      </c>
      <c r="BF111" s="614">
        <f t="shared" si="98"/>
        <v>16.034616724744527</v>
      </c>
      <c r="BG111" s="9"/>
      <c r="BH111" s="4">
        <f t="shared" si="126"/>
        <v>95.386025274933885</v>
      </c>
      <c r="BI111" s="386">
        <f t="shared" si="127"/>
        <v>0.53856429197615807</v>
      </c>
      <c r="BJ111" s="386">
        <f t="shared" si="128"/>
        <v>1.0020082279485329</v>
      </c>
      <c r="BK111" s="386">
        <f t="shared" si="129"/>
        <v>0.30421223904731948</v>
      </c>
      <c r="BL111" s="386">
        <f t="shared" si="130"/>
        <v>0.11848868121308979</v>
      </c>
    </row>
    <row r="112" spans="7:71" x14ac:dyDescent="0.2">
      <c r="G112">
        <v>103</v>
      </c>
      <c r="H112" s="610">
        <f t="shared" si="59"/>
        <v>22.905000000000001</v>
      </c>
      <c r="I112" s="4" t="str">
        <f t="shared" si="60"/>
        <v>BUCK</v>
      </c>
      <c r="J112">
        <f t="shared" si="99"/>
        <v>1</v>
      </c>
      <c r="K112">
        <f t="shared" si="61"/>
        <v>4</v>
      </c>
      <c r="L112" s="4">
        <f t="shared" si="62"/>
        <v>2.3284581241359232</v>
      </c>
      <c r="M112" s="4">
        <f t="shared" si="63"/>
        <v>4</v>
      </c>
      <c r="N112" s="386">
        <f t="shared" si="64"/>
        <v>0.52918789462225124</v>
      </c>
      <c r="O112" s="386">
        <f t="shared" si="115"/>
        <v>0</v>
      </c>
      <c r="P112" s="4">
        <f t="shared" si="65"/>
        <v>3.2902158448733214</v>
      </c>
      <c r="Q112" s="386">
        <f t="shared" si="66"/>
        <v>4.1112196112777317</v>
      </c>
      <c r="R112" s="386">
        <f t="shared" si="116"/>
        <v>0.22716261743099542</v>
      </c>
      <c r="S112" s="386">
        <f t="shared" si="117"/>
        <v>0.31638925017017494</v>
      </c>
      <c r="T112" s="386">
        <f t="shared" si="118"/>
        <v>0.54355186760117036</v>
      </c>
      <c r="U112" s="4">
        <f t="shared" si="68"/>
        <v>0.94980350186479212</v>
      </c>
      <c r="V112" s="386">
        <f t="shared" si="119"/>
        <v>2.43574206881748E-2</v>
      </c>
      <c r="W112" s="386">
        <f t="shared" si="120"/>
        <v>2.43574206881748E-2</v>
      </c>
      <c r="X112" s="386">
        <f t="shared" si="69"/>
        <v>2.0521043322126955</v>
      </c>
      <c r="Y112" s="386">
        <f t="shared" si="121"/>
        <v>0.13475623008915563</v>
      </c>
      <c r="Z112" s="603">
        <f t="shared" si="122"/>
        <v>0.13475623008915563</v>
      </c>
      <c r="AA112" s="386">
        <f t="shared" si="70"/>
        <v>2.9907191173461714</v>
      </c>
      <c r="AB112" s="386">
        <f t="shared" si="71"/>
        <v>8.9444008388598617E-2</v>
      </c>
      <c r="AC112" s="386">
        <f t="shared" si="72"/>
        <v>0.3682059367975471</v>
      </c>
      <c r="AD112">
        <f t="shared" si="73"/>
        <v>0</v>
      </c>
      <c r="AE112" s="386">
        <f t="shared" si="74"/>
        <v>0.46734788581296499</v>
      </c>
      <c r="AF112" s="386">
        <f t="shared" si="75"/>
        <v>2.8209441421791328</v>
      </c>
      <c r="AG112" s="386">
        <f t="shared" si="76"/>
        <v>7.9577258532947642E-2</v>
      </c>
      <c r="AH112" s="386">
        <f t="shared" si="77"/>
        <v>0.19239999999999999</v>
      </c>
      <c r="AI112" s="386">
        <f t="shared" si="78"/>
        <v>0.27709292708814598</v>
      </c>
      <c r="AJ112" s="386">
        <f t="shared" si="79"/>
        <v>0</v>
      </c>
      <c r="AK112" s="386">
        <f t="shared" si="80"/>
        <v>0</v>
      </c>
      <c r="AL112" s="386">
        <f t="shared" si="81"/>
        <v>0</v>
      </c>
      <c r="AM112">
        <f t="shared" si="82"/>
        <v>0</v>
      </c>
      <c r="AN112" s="386">
        <f t="shared" si="83"/>
        <v>0</v>
      </c>
      <c r="AO112" s="386">
        <f t="shared" si="84"/>
        <v>4.1112196112777317</v>
      </c>
      <c r="AP112" s="386">
        <f t="shared" si="85"/>
        <v>0.16902126692154626</v>
      </c>
      <c r="AQ112" s="386">
        <f t="shared" si="86"/>
        <v>0</v>
      </c>
      <c r="AR112" s="386">
        <f t="shared" si="87"/>
        <v>0.17591959018783543</v>
      </c>
      <c r="AS112" s="386">
        <f t="shared" si="88"/>
        <v>0.16902126692154626</v>
      </c>
      <c r="AT112" s="386">
        <f t="shared" si="89"/>
        <v>0</v>
      </c>
      <c r="AU112" s="386">
        <f t="shared" si="90"/>
        <v>8.4600500000000009E-2</v>
      </c>
      <c r="AV112" s="386">
        <f t="shared" si="91"/>
        <v>0.11936588779942145</v>
      </c>
      <c r="AW112" s="386">
        <f t="shared" si="92"/>
        <v>6.5920000000000006E-2</v>
      </c>
      <c r="AX112" s="386">
        <f t="shared" si="93"/>
        <v>3.6000000000000004E-2</v>
      </c>
      <c r="AY112" s="386">
        <f t="shared" si="94"/>
        <v>0.40226399999999995</v>
      </c>
      <c r="AZ112" s="386">
        <f t="shared" si="95"/>
        <v>0.30415082926829268</v>
      </c>
      <c r="BA112" s="386">
        <f t="shared" si="123"/>
        <v>0.43826399999999999</v>
      </c>
      <c r="BB112" s="386">
        <f t="shared" si="124"/>
        <v>2.3311763092668687</v>
      </c>
      <c r="BC112">
        <f t="shared" si="96"/>
        <v>48</v>
      </c>
      <c r="BD112" s="604">
        <f t="shared" si="125"/>
        <v>0.95368325399464871</v>
      </c>
      <c r="BE112" s="614">
        <f t="shared" si="97"/>
        <v>32.013006377151967</v>
      </c>
      <c r="BF112" s="614">
        <f t="shared" si="98"/>
        <v>16.071389771112468</v>
      </c>
      <c r="BG112" s="9"/>
      <c r="BH112" s="4">
        <f t="shared" si="126"/>
        <v>95.368325399464865</v>
      </c>
      <c r="BI112" s="386">
        <f t="shared" si="127"/>
        <v>0.54355186760117036</v>
      </c>
      <c r="BJ112" s="386">
        <f t="shared" si="128"/>
        <v>1.0049609030889464</v>
      </c>
      <c r="BK112" s="386">
        <f t="shared" si="129"/>
        <v>0.30501109208814597</v>
      </c>
      <c r="BL112" s="386">
        <f t="shared" si="130"/>
        <v>0.11936588779942145</v>
      </c>
    </row>
    <row r="113" spans="7:64" x14ac:dyDescent="0.2">
      <c r="G113">
        <v>104</v>
      </c>
      <c r="H113" s="610">
        <f t="shared" si="59"/>
        <v>23.04</v>
      </c>
      <c r="I113" s="4" t="str">
        <f t="shared" si="60"/>
        <v>BUCK</v>
      </c>
      <c r="J113">
        <f t="shared" si="99"/>
        <v>1</v>
      </c>
      <c r="K113">
        <f t="shared" si="61"/>
        <v>4</v>
      </c>
      <c r="L113" s="4">
        <f t="shared" si="62"/>
        <v>2.3148148148148149</v>
      </c>
      <c r="M113" s="4">
        <f t="shared" si="63"/>
        <v>4</v>
      </c>
      <c r="N113" s="386">
        <f t="shared" si="64"/>
        <v>0.52609523809523806</v>
      </c>
      <c r="O113" s="386">
        <f t="shared" si="115"/>
        <v>0</v>
      </c>
      <c r="P113" s="4">
        <f t="shared" si="65"/>
        <v>3.3118285166625587</v>
      </c>
      <c r="Q113" s="386">
        <f t="shared" si="66"/>
        <v>4.1126654791811452</v>
      </c>
      <c r="R113" s="386">
        <f t="shared" si="116"/>
        <v>0.22732533269471794</v>
      </c>
      <c r="S113" s="386">
        <f t="shared" si="117"/>
        <v>0.32119814783754458</v>
      </c>
      <c r="T113" s="386">
        <f t="shared" si="118"/>
        <v>0.54852348053226252</v>
      </c>
      <c r="U113" s="4">
        <f t="shared" si="68"/>
        <v>0.95604254280250367</v>
      </c>
      <c r="V113" s="386">
        <f t="shared" si="119"/>
        <v>2.4678468278503479E-2</v>
      </c>
      <c r="W113" s="386">
        <f t="shared" si="120"/>
        <v>2.4678468278503479E-2</v>
      </c>
      <c r="X113" s="386">
        <f t="shared" si="69"/>
        <v>2.0535302632577195</v>
      </c>
      <c r="Y113" s="386">
        <f t="shared" si="121"/>
        <v>0.1349435693476902</v>
      </c>
      <c r="Z113" s="603">
        <f t="shared" si="122"/>
        <v>0.1349435693476902</v>
      </c>
      <c r="AA113" s="386">
        <f t="shared" si="70"/>
        <v>2.9830159204324787</v>
      </c>
      <c r="AB113" s="386">
        <f t="shared" si="71"/>
        <v>8.8983839815536286E-2</v>
      </c>
      <c r="AC113" s="386">
        <f t="shared" si="72"/>
        <v>0.37037610931305326</v>
      </c>
      <c r="AD113">
        <f t="shared" si="73"/>
        <v>0</v>
      </c>
      <c r="AE113" s="386">
        <f t="shared" si="74"/>
        <v>0.46904299027322244</v>
      </c>
      <c r="AF113" s="386">
        <f t="shared" si="75"/>
        <v>2.831189390008138</v>
      </c>
      <c r="AG113" s="386">
        <f t="shared" si="76"/>
        <v>8.0156333620946527E-2</v>
      </c>
      <c r="AH113" s="386">
        <f t="shared" si="77"/>
        <v>0.19239999999999999</v>
      </c>
      <c r="AI113" s="386">
        <f t="shared" si="78"/>
        <v>0.27772090641466229</v>
      </c>
      <c r="AJ113" s="386">
        <f t="shared" si="79"/>
        <v>0</v>
      </c>
      <c r="AK113" s="386">
        <f t="shared" si="80"/>
        <v>0</v>
      </c>
      <c r="AL113" s="386">
        <f t="shared" si="81"/>
        <v>0</v>
      </c>
      <c r="AM113">
        <f t="shared" si="82"/>
        <v>0</v>
      </c>
      <c r="AN113" s="386">
        <f t="shared" si="83"/>
        <v>0</v>
      </c>
      <c r="AO113" s="386">
        <f t="shared" si="84"/>
        <v>4.1126654791811452</v>
      </c>
      <c r="AP113" s="386">
        <f t="shared" si="85"/>
        <v>0.1691401734364828</v>
      </c>
      <c r="AQ113" s="386">
        <f t="shared" si="86"/>
        <v>0</v>
      </c>
      <c r="AR113" s="386">
        <f t="shared" si="87"/>
        <v>0.17604840441257238</v>
      </c>
      <c r="AS113" s="386">
        <f t="shared" si="88"/>
        <v>0.1691401734364828</v>
      </c>
      <c r="AT113" s="386">
        <f t="shared" si="89"/>
        <v>0</v>
      </c>
      <c r="AU113" s="386">
        <f t="shared" si="90"/>
        <v>8.5100000000000009E-2</v>
      </c>
      <c r="AV113" s="386">
        <f t="shared" si="91"/>
        <v>0.12023450043141978</v>
      </c>
      <c r="AW113" s="386">
        <f t="shared" si="92"/>
        <v>6.5920000000000006E-2</v>
      </c>
      <c r="AX113" s="386">
        <f t="shared" si="93"/>
        <v>3.6000000000000004E-2</v>
      </c>
      <c r="AY113" s="386">
        <f t="shared" si="94"/>
        <v>0.40226399999999995</v>
      </c>
      <c r="AZ113" s="386">
        <f t="shared" si="95"/>
        <v>0.30415082926829268</v>
      </c>
      <c r="BA113" s="386">
        <f t="shared" si="123"/>
        <v>0.43826399999999999</v>
      </c>
      <c r="BB113" s="386">
        <f t="shared" si="124"/>
        <v>2.3404763196903335</v>
      </c>
      <c r="BC113">
        <f t="shared" si="96"/>
        <v>48</v>
      </c>
      <c r="BD113" s="604">
        <f t="shared" si="125"/>
        <v>0.95350706845070377</v>
      </c>
      <c r="BE113" s="614">
        <f t="shared" si="97"/>
        <v>32.1402934358469</v>
      </c>
      <c r="BF113" s="614">
        <f t="shared" si="98"/>
        <v>16.107812572050413</v>
      </c>
      <c r="BG113" s="9"/>
      <c r="BH113" s="4">
        <f t="shared" si="126"/>
        <v>95.350706845070377</v>
      </c>
      <c r="BI113" s="386">
        <f t="shared" si="127"/>
        <v>0.54852348053226252</v>
      </c>
      <c r="BJ113" s="386">
        <f t="shared" si="128"/>
        <v>1.0079123011004572</v>
      </c>
      <c r="BK113" s="386">
        <f t="shared" si="129"/>
        <v>0.30580390641466232</v>
      </c>
      <c r="BL113" s="386">
        <f t="shared" si="130"/>
        <v>0.12023450043141978</v>
      </c>
    </row>
    <row r="114" spans="7:64" x14ac:dyDescent="0.2">
      <c r="G114">
        <v>105</v>
      </c>
      <c r="H114" s="610">
        <f t="shared" si="59"/>
        <v>23.175000000000001</v>
      </c>
      <c r="I114" s="4" t="str">
        <f t="shared" si="60"/>
        <v>BUCK</v>
      </c>
      <c r="J114">
        <f t="shared" si="99"/>
        <v>1</v>
      </c>
      <c r="K114">
        <f t="shared" si="61"/>
        <v>4</v>
      </c>
      <c r="L114" s="4">
        <f t="shared" si="62"/>
        <v>2.3013304566702621</v>
      </c>
      <c r="M114" s="4">
        <f t="shared" si="63"/>
        <v>4</v>
      </c>
      <c r="N114" s="386">
        <f t="shared" si="64"/>
        <v>0.52303851947493007</v>
      </c>
      <c r="O114" s="386">
        <f t="shared" si="115"/>
        <v>0</v>
      </c>
      <c r="P114" s="4">
        <f t="shared" si="65"/>
        <v>3.3331900405549573</v>
      </c>
      <c r="Q114" s="386">
        <f t="shared" si="66"/>
        <v>4.1141033434440972</v>
      </c>
      <c r="R114" s="386">
        <f t="shared" si="116"/>
        <v>0.22748720811287376</v>
      </c>
      <c r="S114" s="386">
        <f t="shared" si="117"/>
        <v>0.32599154766992655</v>
      </c>
      <c r="T114" s="386">
        <f t="shared" si="118"/>
        <v>0.55347875578280026</v>
      </c>
      <c r="U114" s="4">
        <f t="shared" si="68"/>
        <v>0.96220908358729218</v>
      </c>
      <c r="V114" s="386">
        <f t="shared" si="119"/>
        <v>2.4997850654523208E-2</v>
      </c>
      <c r="W114" s="386">
        <f t="shared" si="120"/>
        <v>2.4997850654523208E-2</v>
      </c>
      <c r="X114" s="386">
        <f t="shared" si="69"/>
        <v>2.0548668549276834</v>
      </c>
      <c r="Y114" s="386">
        <f t="shared" si="121"/>
        <v>0.13511928932737247</v>
      </c>
      <c r="Z114" s="603">
        <f t="shared" si="122"/>
        <v>0.13511928932737247</v>
      </c>
      <c r="AA114" s="386">
        <f t="shared" si="70"/>
        <v>2.975377219841937</v>
      </c>
      <c r="AB114" s="386">
        <f t="shared" si="71"/>
        <v>8.852869600354335E-2</v>
      </c>
      <c r="AC114" s="386">
        <f t="shared" si="72"/>
        <v>0.37254628182855942</v>
      </c>
      <c r="AD114">
        <f t="shared" si="73"/>
        <v>0</v>
      </c>
      <c r="AE114" s="386">
        <f t="shared" si="74"/>
        <v>0.47074341560275401</v>
      </c>
      <c r="AF114" s="386">
        <f t="shared" si="75"/>
        <v>2.8412984215290664</v>
      </c>
      <c r="AG114" s="386">
        <f t="shared" si="76"/>
        <v>8.0729767201835653E-2</v>
      </c>
      <c r="AH114" s="386">
        <f t="shared" si="77"/>
        <v>0.19239999999999999</v>
      </c>
      <c r="AI114" s="386">
        <f t="shared" si="78"/>
        <v>0.27834293724386117</v>
      </c>
      <c r="AJ114" s="386">
        <f t="shared" si="79"/>
        <v>0</v>
      </c>
      <c r="AK114" s="386">
        <f t="shared" si="80"/>
        <v>0</v>
      </c>
      <c r="AL114" s="386">
        <f t="shared" si="81"/>
        <v>0</v>
      </c>
      <c r="AM114">
        <f t="shared" si="82"/>
        <v>0</v>
      </c>
      <c r="AN114" s="386">
        <f t="shared" si="83"/>
        <v>0</v>
      </c>
      <c r="AO114" s="386">
        <f t="shared" si="84"/>
        <v>4.1141033434440972</v>
      </c>
      <c r="AP114" s="386">
        <f t="shared" si="85"/>
        <v>0.16925846320537902</v>
      </c>
      <c r="AQ114" s="386">
        <f t="shared" si="86"/>
        <v>0</v>
      </c>
      <c r="AR114" s="386">
        <f t="shared" si="87"/>
        <v>0.17617655784186462</v>
      </c>
      <c r="AS114" s="386">
        <f t="shared" si="88"/>
        <v>0.16925846320537902</v>
      </c>
      <c r="AT114" s="386">
        <f t="shared" si="89"/>
        <v>0</v>
      </c>
      <c r="AU114" s="386">
        <f t="shared" si="90"/>
        <v>8.5599500000000009E-2</v>
      </c>
      <c r="AV114" s="386">
        <f t="shared" si="91"/>
        <v>0.12109465080275347</v>
      </c>
      <c r="AW114" s="386">
        <f t="shared" si="92"/>
        <v>6.5920000000000006E-2</v>
      </c>
      <c r="AX114" s="386">
        <f t="shared" si="93"/>
        <v>3.6000000000000004E-2</v>
      </c>
      <c r="AY114" s="386">
        <f t="shared" si="94"/>
        <v>0.40226399999999995</v>
      </c>
      <c r="AZ114" s="386">
        <f t="shared" si="95"/>
        <v>0.30415082926829268</v>
      </c>
      <c r="BA114" s="386">
        <f t="shared" si="123"/>
        <v>0.43826399999999999</v>
      </c>
      <c r="BB114" s="386">
        <f t="shared" si="124"/>
        <v>2.3497369572559292</v>
      </c>
      <c r="BC114">
        <f t="shared" si="96"/>
        <v>48</v>
      </c>
      <c r="BD114" s="604">
        <f t="shared" si="125"/>
        <v>0.95333169348529623</v>
      </c>
      <c r="BE114" s="614">
        <f t="shared" si="97"/>
        <v>32.267889104959735</v>
      </c>
      <c r="BF114" s="614">
        <f t="shared" si="98"/>
        <v>16.143890360143949</v>
      </c>
      <c r="BG114" s="9"/>
      <c r="BH114" s="4">
        <f t="shared" si="126"/>
        <v>95.333169348529623</v>
      </c>
      <c r="BI114" s="386">
        <f t="shared" si="127"/>
        <v>0.55347875578280026</v>
      </c>
      <c r="BJ114" s="386">
        <f t="shared" si="128"/>
        <v>1.0108624106884798</v>
      </c>
      <c r="BK114" s="386">
        <f t="shared" si="129"/>
        <v>0.30659077224386116</v>
      </c>
      <c r="BL114" s="386">
        <f t="shared" si="130"/>
        <v>0.12109465080275347</v>
      </c>
    </row>
    <row r="115" spans="7:64" x14ac:dyDescent="0.2">
      <c r="G115">
        <v>106</v>
      </c>
      <c r="H115" s="610">
        <f t="shared" si="59"/>
        <v>23.310000000000002</v>
      </c>
      <c r="I115" s="4" t="str">
        <f t="shared" si="60"/>
        <v>BUCK</v>
      </c>
      <c r="J115">
        <f t="shared" si="99"/>
        <v>1</v>
      </c>
      <c r="K115">
        <f t="shared" si="61"/>
        <v>4</v>
      </c>
      <c r="L115" s="4">
        <f t="shared" si="62"/>
        <v>2.2880022880022879</v>
      </c>
      <c r="M115" s="4">
        <f t="shared" si="63"/>
        <v>4</v>
      </c>
      <c r="N115" s="386">
        <f t="shared" si="64"/>
        <v>0.52001711596063327</v>
      </c>
      <c r="O115" s="386">
        <f t="shared" si="115"/>
        <v>0</v>
      </c>
      <c r="P115" s="4">
        <f t="shared" si="65"/>
        <v>3.3543047689209988</v>
      </c>
      <c r="Q115" s="386">
        <f t="shared" si="66"/>
        <v>4.1155331821730199</v>
      </c>
      <c r="R115" s="386">
        <f t="shared" si="116"/>
        <v>0.22764824021009811</v>
      </c>
      <c r="S115" s="386">
        <f t="shared" si="117"/>
        <v>0.33076909964227125</v>
      </c>
      <c r="T115" s="386">
        <f t="shared" si="118"/>
        <v>0.5584173398523693</v>
      </c>
      <c r="U115" s="4">
        <f t="shared" si="68"/>
        <v>0.96830438064029212</v>
      </c>
      <c r="V115" s="386">
        <f t="shared" si="119"/>
        <v>2.5315561086313852E-2</v>
      </c>
      <c r="W115" s="386">
        <f t="shared" si="120"/>
        <v>2.5315561086313852E-2</v>
      </c>
      <c r="X115" s="386">
        <f t="shared" si="69"/>
        <v>2.0561168976834567</v>
      </c>
      <c r="Y115" s="386">
        <f t="shared" si="121"/>
        <v>0.13528373430206217</v>
      </c>
      <c r="Z115" s="603">
        <f t="shared" si="122"/>
        <v>0.13528373430206217</v>
      </c>
      <c r="AA115" s="386">
        <f t="shared" si="70"/>
        <v>2.9678020246941434</v>
      </c>
      <c r="AB115" s="386">
        <f t="shared" si="71"/>
        <v>8.8078488577786565E-2</v>
      </c>
      <c r="AC115" s="386">
        <f t="shared" si="72"/>
        <v>0.37471645434406559</v>
      </c>
      <c r="AD115">
        <f t="shared" si="73"/>
        <v>0</v>
      </c>
      <c r="AE115" s="386">
        <f t="shared" si="74"/>
        <v>0.47244906604464226</v>
      </c>
      <c r="AF115" s="386">
        <f t="shared" si="75"/>
        <v>2.8512741916182884</v>
      </c>
      <c r="AG115" s="386">
        <f t="shared" si="76"/>
        <v>8.1297645157885248E-2</v>
      </c>
      <c r="AH115" s="386">
        <f t="shared" si="77"/>
        <v>0.19239999999999999</v>
      </c>
      <c r="AI115" s="386">
        <f t="shared" si="78"/>
        <v>0.27895910786490996</v>
      </c>
      <c r="AJ115" s="386">
        <f t="shared" si="79"/>
        <v>0</v>
      </c>
      <c r="AK115" s="386">
        <f t="shared" si="80"/>
        <v>0</v>
      </c>
      <c r="AL115" s="386">
        <f t="shared" si="81"/>
        <v>0</v>
      </c>
      <c r="AM115">
        <f t="shared" si="82"/>
        <v>0</v>
      </c>
      <c r="AN115" s="386">
        <f t="shared" si="83"/>
        <v>0</v>
      </c>
      <c r="AO115" s="386">
        <f t="shared" si="84"/>
        <v>4.1155331821730199</v>
      </c>
      <c r="AP115" s="386">
        <f t="shared" si="85"/>
        <v>0.16937613373567184</v>
      </c>
      <c r="AQ115" s="386">
        <f t="shared" si="86"/>
        <v>0</v>
      </c>
      <c r="AR115" s="386">
        <f t="shared" si="87"/>
        <v>0.17630404766118574</v>
      </c>
      <c r="AS115" s="386">
        <f t="shared" si="88"/>
        <v>0.16937613373567184</v>
      </c>
      <c r="AT115" s="386">
        <f t="shared" si="89"/>
        <v>0</v>
      </c>
      <c r="AU115" s="386">
        <f t="shared" si="90"/>
        <v>8.6099000000000009E-2</v>
      </c>
      <c r="AV115" s="386">
        <f t="shared" si="91"/>
        <v>0.12194646773682787</v>
      </c>
      <c r="AW115" s="386">
        <f t="shared" si="92"/>
        <v>6.5920000000000006E-2</v>
      </c>
      <c r="AX115" s="386">
        <f t="shared" si="93"/>
        <v>3.6000000000000004E-2</v>
      </c>
      <c r="AY115" s="386">
        <f t="shared" si="94"/>
        <v>0.40226399999999995</v>
      </c>
      <c r="AZ115" s="386">
        <f t="shared" si="95"/>
        <v>0.30415082926829268</v>
      </c>
      <c r="BA115" s="386">
        <f t="shared" si="123"/>
        <v>0.43826399999999999</v>
      </c>
      <c r="BB115" s="386">
        <f t="shared" si="124"/>
        <v>2.3589583245483108</v>
      </c>
      <c r="BC115">
        <f t="shared" si="96"/>
        <v>48</v>
      </c>
      <c r="BD115" s="604">
        <f t="shared" si="125"/>
        <v>0.95315712629825389</v>
      </c>
      <c r="BE115" s="614">
        <f t="shared" si="97"/>
        <v>32.395787830589249</v>
      </c>
      <c r="BF115" s="614">
        <f t="shared" si="98"/>
        <v>16.179628256164779</v>
      </c>
      <c r="BG115" s="9"/>
      <c r="BH115" s="4">
        <f t="shared" si="126"/>
        <v>95.315712629825384</v>
      </c>
      <c r="BI115" s="386">
        <f t="shared" si="127"/>
        <v>0.5584173398523693</v>
      </c>
      <c r="BJ115" s="386">
        <f t="shared" si="128"/>
        <v>1.0138112215707378</v>
      </c>
      <c r="BK115" s="386">
        <f t="shared" si="129"/>
        <v>0.30737177786490999</v>
      </c>
      <c r="BL115" s="386">
        <f t="shared" si="130"/>
        <v>0.12194646773682787</v>
      </c>
    </row>
    <row r="116" spans="7:64" x14ac:dyDescent="0.2">
      <c r="G116">
        <v>107</v>
      </c>
      <c r="H116" s="610">
        <f t="shared" si="59"/>
        <v>23.445</v>
      </c>
      <c r="I116" s="4" t="str">
        <f t="shared" si="60"/>
        <v>BUCK</v>
      </c>
      <c r="J116">
        <f t="shared" si="99"/>
        <v>1</v>
      </c>
      <c r="K116">
        <f t="shared" si="61"/>
        <v>4</v>
      </c>
      <c r="L116" s="4">
        <f t="shared" si="62"/>
        <v>2.2748276107201253</v>
      </c>
      <c r="M116" s="4">
        <f t="shared" si="63"/>
        <v>4</v>
      </c>
      <c r="N116" s="386">
        <f t="shared" si="64"/>
        <v>0.51703041905977454</v>
      </c>
      <c r="O116" s="386">
        <f t="shared" si="115"/>
        <v>0</v>
      </c>
      <c r="P116" s="4">
        <f t="shared" si="65"/>
        <v>3.375176954140525</v>
      </c>
      <c r="Q116" s="386">
        <f t="shared" si="66"/>
        <v>4.1169549778098666</v>
      </c>
      <c r="R116" s="386">
        <f t="shared" si="116"/>
        <v>0.22780842600141488</v>
      </c>
      <c r="S116" s="386">
        <f t="shared" si="117"/>
        <v>0.33553047381774653</v>
      </c>
      <c r="T116" s="386">
        <f t="shared" si="118"/>
        <v>0.56333889981916141</v>
      </c>
      <c r="U116" s="4">
        <f t="shared" si="68"/>
        <v>0.97432966151782674</v>
      </c>
      <c r="V116" s="386">
        <f t="shared" si="119"/>
        <v>2.5631593811462957E-2</v>
      </c>
      <c r="W116" s="386">
        <f t="shared" si="120"/>
        <v>2.5631593811462957E-2</v>
      </c>
      <c r="X116" s="386">
        <f t="shared" si="69"/>
        <v>2.0572830806333213</v>
      </c>
      <c r="Y116" s="386">
        <f t="shared" si="121"/>
        <v>0.13543723756352413</v>
      </c>
      <c r="Z116" s="603">
        <f t="shared" si="122"/>
        <v>0.13543723756352413</v>
      </c>
      <c r="AA116" s="386">
        <f t="shared" si="70"/>
        <v>2.9602893672580772</v>
      </c>
      <c r="AB116" s="386">
        <f t="shared" si="71"/>
        <v>8.7633131379012269E-2</v>
      </c>
      <c r="AC116" s="386">
        <f t="shared" si="72"/>
        <v>0.37688662685957175</v>
      </c>
      <c r="AD116">
        <f t="shared" si="73"/>
        <v>0</v>
      </c>
      <c r="AE116" s="386">
        <f t="shared" si="74"/>
        <v>0.47415984828745761</v>
      </c>
      <c r="AF116" s="386">
        <f t="shared" si="75"/>
        <v>2.8611195625859835</v>
      </c>
      <c r="AG116" s="386">
        <f t="shared" si="76"/>
        <v>8.1860051514122109E-2</v>
      </c>
      <c r="AH116" s="386">
        <f t="shared" si="77"/>
        <v>0.19239999999999999</v>
      </c>
      <c r="AI116" s="386">
        <f t="shared" si="78"/>
        <v>0.27956950469514236</v>
      </c>
      <c r="AJ116" s="386">
        <f t="shared" si="79"/>
        <v>0</v>
      </c>
      <c r="AK116" s="386">
        <f t="shared" si="80"/>
        <v>0</v>
      </c>
      <c r="AL116" s="386">
        <f t="shared" si="81"/>
        <v>0</v>
      </c>
      <c r="AM116">
        <f t="shared" si="82"/>
        <v>0</v>
      </c>
      <c r="AN116" s="386">
        <f t="shared" si="83"/>
        <v>0</v>
      </c>
      <c r="AO116" s="386">
        <f t="shared" si="84"/>
        <v>4.1169549778098666</v>
      </c>
      <c r="AP116" s="386">
        <f t="shared" si="85"/>
        <v>0.16949318289313439</v>
      </c>
      <c r="AQ116" s="386">
        <f t="shared" si="86"/>
        <v>0</v>
      </c>
      <c r="AR116" s="386">
        <f t="shared" si="87"/>
        <v>0.17643087144424763</v>
      </c>
      <c r="AS116" s="386">
        <f t="shared" si="88"/>
        <v>0.16949318289313439</v>
      </c>
      <c r="AT116" s="386">
        <f t="shared" si="89"/>
        <v>0</v>
      </c>
      <c r="AU116" s="386">
        <f t="shared" si="90"/>
        <v>8.6598500000000009E-2</v>
      </c>
      <c r="AV116" s="386">
        <f t="shared" si="91"/>
        <v>0.12279007727118316</v>
      </c>
      <c r="AW116" s="386">
        <f t="shared" si="92"/>
        <v>6.5920000000000006E-2</v>
      </c>
      <c r="AX116" s="386">
        <f t="shared" si="93"/>
        <v>3.6000000000000004E-2</v>
      </c>
      <c r="AY116" s="386">
        <f t="shared" si="94"/>
        <v>0.40226399999999995</v>
      </c>
      <c r="AZ116" s="386">
        <f t="shared" si="95"/>
        <v>0.30415082926829268</v>
      </c>
      <c r="BA116" s="386">
        <f t="shared" si="123"/>
        <v>0.43826399999999999</v>
      </c>
      <c r="BB116" s="386">
        <f t="shared" si="124"/>
        <v>2.3681405328921792</v>
      </c>
      <c r="BC116">
        <f t="shared" si="96"/>
        <v>48</v>
      </c>
      <c r="BD116" s="604">
        <f t="shared" si="125"/>
        <v>0.95298336393129901</v>
      </c>
      <c r="BE116" s="614">
        <f t="shared" si="97"/>
        <v>32.523984200672544</v>
      </c>
      <c r="BF116" s="614">
        <f t="shared" si="98"/>
        <v>16.215031272318257</v>
      </c>
      <c r="BG116" s="9"/>
      <c r="BH116" s="4">
        <f t="shared" si="126"/>
        <v>95.298336393129901</v>
      </c>
      <c r="BI116" s="386">
        <f t="shared" si="127"/>
        <v>0.56333889981916141</v>
      </c>
      <c r="BJ116" s="386">
        <f t="shared" si="128"/>
        <v>1.0167587244268474</v>
      </c>
      <c r="BK116" s="386">
        <f t="shared" si="129"/>
        <v>0.30814700969514236</v>
      </c>
      <c r="BL116" s="386">
        <f t="shared" si="130"/>
        <v>0.12279007727118316</v>
      </c>
    </row>
    <row r="117" spans="7:64" x14ac:dyDescent="0.2">
      <c r="G117">
        <v>108</v>
      </c>
      <c r="H117" s="610">
        <f t="shared" si="59"/>
        <v>23.580000000000002</v>
      </c>
      <c r="I117" s="4" t="str">
        <f t="shared" si="60"/>
        <v>BUCK</v>
      </c>
      <c r="J117">
        <f t="shared" si="99"/>
        <v>1</v>
      </c>
      <c r="K117">
        <f t="shared" si="61"/>
        <v>4</v>
      </c>
      <c r="L117" s="4">
        <f t="shared" si="62"/>
        <v>2.2618037885213456</v>
      </c>
      <c r="M117" s="4">
        <f t="shared" si="63"/>
        <v>4</v>
      </c>
      <c r="N117" s="386">
        <f t="shared" si="64"/>
        <v>0.51407783417935693</v>
      </c>
      <c r="O117" s="386">
        <f t="shared" si="115"/>
        <v>0</v>
      </c>
      <c r="P117" s="4">
        <f t="shared" si="65"/>
        <v>3.3958107514577978</v>
      </c>
      <c r="Q117" s="386">
        <f t="shared" si="66"/>
        <v>4.1183687168962537</v>
      </c>
      <c r="R117" s="386">
        <f t="shared" si="116"/>
        <v>0.2279677629666024</v>
      </c>
      <c r="S117" s="386">
        <f t="shared" si="117"/>
        <v>0.34027535950356558</v>
      </c>
      <c r="T117" s="386">
        <f t="shared" si="118"/>
        <v>0.56824312247016795</v>
      </c>
      <c r="U117" s="4">
        <f t="shared" si="68"/>
        <v>0.98028612573559248</v>
      </c>
      <c r="V117" s="386">
        <f t="shared" si="119"/>
        <v>2.5945943984361841E-2</v>
      </c>
      <c r="W117" s="386">
        <f t="shared" si="120"/>
        <v>2.5945943984361841E-2</v>
      </c>
      <c r="X117" s="386">
        <f t="shared" si="69"/>
        <v>2.0583679960108925</v>
      </c>
      <c r="Y117" s="386">
        <f t="shared" si="121"/>
        <v>0.13558012182406071</v>
      </c>
      <c r="Z117" s="603">
        <f t="shared" si="122"/>
        <v>0.13558012182406071</v>
      </c>
      <c r="AA117" s="386">
        <f t="shared" si="70"/>
        <v>2.9528383022209379</v>
      </c>
      <c r="AB117" s="386">
        <f t="shared" si="71"/>
        <v>8.7192540390630319E-2</v>
      </c>
      <c r="AC117" s="386">
        <f t="shared" si="72"/>
        <v>0.37905679937507791</v>
      </c>
      <c r="AD117">
        <f t="shared" si="73"/>
        <v>0</v>
      </c>
      <c r="AE117" s="386">
        <f t="shared" si="74"/>
        <v>0.475875671383653</v>
      </c>
      <c r="AF117" s="386">
        <f t="shared" si="75"/>
        <v>2.8708373080421441</v>
      </c>
      <c r="AG117" s="386">
        <f t="shared" si="76"/>
        <v>8.2417068492466647E-2</v>
      </c>
      <c r="AH117" s="386">
        <f t="shared" si="77"/>
        <v>0.19239999999999999</v>
      </c>
      <c r="AI117" s="386">
        <f t="shared" si="78"/>
        <v>0.28017421233394452</v>
      </c>
      <c r="AJ117" s="386">
        <f t="shared" si="79"/>
        <v>0</v>
      </c>
      <c r="AK117" s="386">
        <f t="shared" si="80"/>
        <v>0</v>
      </c>
      <c r="AL117" s="386">
        <f t="shared" si="81"/>
        <v>0</v>
      </c>
      <c r="AM117">
        <f t="shared" si="82"/>
        <v>0</v>
      </c>
      <c r="AN117" s="386">
        <f t="shared" si="83"/>
        <v>0</v>
      </c>
      <c r="AO117" s="386">
        <f t="shared" si="84"/>
        <v>4.1183687168962537</v>
      </c>
      <c r="AP117" s="386">
        <f t="shared" si="85"/>
        <v>0.16960960888309695</v>
      </c>
      <c r="AQ117" s="386">
        <f t="shared" si="86"/>
        <v>0</v>
      </c>
      <c r="AR117" s="386">
        <f t="shared" si="87"/>
        <v>0.17655702713276883</v>
      </c>
      <c r="AS117" s="386">
        <f t="shared" si="88"/>
        <v>0.16960960888309695</v>
      </c>
      <c r="AT117" s="386">
        <f t="shared" si="89"/>
        <v>0</v>
      </c>
      <c r="AU117" s="386">
        <f t="shared" si="90"/>
        <v>8.7098000000000009E-2</v>
      </c>
      <c r="AV117" s="386">
        <f t="shared" si="91"/>
        <v>0.12362560273869996</v>
      </c>
      <c r="AW117" s="386">
        <f t="shared" si="92"/>
        <v>6.5920000000000006E-2</v>
      </c>
      <c r="AX117" s="386">
        <f t="shared" si="93"/>
        <v>3.6000000000000004E-2</v>
      </c>
      <c r="AY117" s="386">
        <f t="shared" si="94"/>
        <v>0.40226399999999995</v>
      </c>
      <c r="AZ117" s="386">
        <f t="shared" si="95"/>
        <v>0.30415082926829268</v>
      </c>
      <c r="BA117" s="386">
        <f t="shared" si="123"/>
        <v>0.43826399999999999</v>
      </c>
      <c r="BB117" s="386">
        <f t="shared" si="124"/>
        <v>2.3772837018676571</v>
      </c>
      <c r="BC117">
        <f t="shared" si="96"/>
        <v>48</v>
      </c>
      <c r="BD117" s="604">
        <f t="shared" si="125"/>
        <v>0.95281040327746924</v>
      </c>
      <c r="BE117" s="614">
        <f t="shared" si="97"/>
        <v>32.652472940251876</v>
      </c>
      <c r="BF117" s="614">
        <f t="shared" si="98"/>
        <v>16.25010431536878</v>
      </c>
      <c r="BG117" s="9"/>
      <c r="BH117" s="4">
        <f t="shared" si="126"/>
        <v>95.281040327746922</v>
      </c>
      <c r="BI117" s="386">
        <f t="shared" si="127"/>
        <v>0.56824312247016795</v>
      </c>
      <c r="BJ117" s="386">
        <f t="shared" si="128"/>
        <v>1.0197049108503662</v>
      </c>
      <c r="BK117" s="386">
        <f t="shared" si="129"/>
        <v>0.30891655233394455</v>
      </c>
      <c r="BL117" s="386">
        <f t="shared" si="130"/>
        <v>0.12362560273869996</v>
      </c>
    </row>
    <row r="118" spans="7:64" x14ac:dyDescent="0.2">
      <c r="G118">
        <v>109</v>
      </c>
      <c r="H118" s="610">
        <f t="shared" si="59"/>
        <v>23.715000000000003</v>
      </c>
      <c r="I118" s="4" t="str">
        <f t="shared" si="60"/>
        <v>BUCK</v>
      </c>
      <c r="J118">
        <f t="shared" si="99"/>
        <v>1</v>
      </c>
      <c r="K118">
        <f t="shared" si="61"/>
        <v>4</v>
      </c>
      <c r="L118" s="4">
        <f t="shared" si="62"/>
        <v>2.2489282451331785</v>
      </c>
      <c r="M118" s="4">
        <f t="shared" si="63"/>
        <v>4</v>
      </c>
      <c r="N118" s="386">
        <f t="shared" si="64"/>
        <v>0.51115878023133532</v>
      </c>
      <c r="O118" s="386">
        <f t="shared" si="115"/>
        <v>0</v>
      </c>
      <c r="P118" s="4">
        <f t="shared" si="65"/>
        <v>3.4162102217392909</v>
      </c>
      <c r="Q118" s="386">
        <f t="shared" si="66"/>
        <v>4.1197743898494821</v>
      </c>
      <c r="R118" s="386">
        <f t="shared" si="116"/>
        <v>0.22812624902582493</v>
      </c>
      <c r="S118" s="386">
        <f t="shared" si="117"/>
        <v>0.3450034644417509</v>
      </c>
      <c r="T118" s="386">
        <f t="shared" si="118"/>
        <v>0.5731297134675758</v>
      </c>
      <c r="U118" s="4">
        <f t="shared" si="68"/>
        <v>0.98617494556476537</v>
      </c>
      <c r="V118" s="386">
        <f t="shared" si="119"/>
        <v>2.6258607628011035E-2</v>
      </c>
      <c r="W118" s="386">
        <f t="shared" si="120"/>
        <v>2.6258607628011035E-2</v>
      </c>
      <c r="X118" s="386">
        <f t="shared" si="69"/>
        <v>2.0593741434148978</v>
      </c>
      <c r="Y118" s="386">
        <f t="shared" si="121"/>
        <v>0.135712699602107</v>
      </c>
      <c r="Z118" s="603">
        <f t="shared" si="122"/>
        <v>0.135712699602107</v>
      </c>
      <c r="AA118" s="386">
        <f t="shared" si="70"/>
        <v>2.9454479059857288</v>
      </c>
      <c r="AB118" s="386">
        <f t="shared" si="71"/>
        <v>8.6756633668757147E-2</v>
      </c>
      <c r="AC118" s="386">
        <f t="shared" si="72"/>
        <v>0.38122697189058419</v>
      </c>
      <c r="AD118">
        <f t="shared" si="73"/>
        <v>0</v>
      </c>
      <c r="AE118" s="386">
        <f t="shared" si="74"/>
        <v>0.47759644667130541</v>
      </c>
      <c r="AF118" s="386">
        <f t="shared" si="75"/>
        <v>2.8804301165596704</v>
      </c>
      <c r="AG118" s="386">
        <f t="shared" si="76"/>
        <v>8.296877656383958E-2</v>
      </c>
      <c r="AH118" s="386">
        <f t="shared" si="77"/>
        <v>0.19239999999999999</v>
      </c>
      <c r="AI118" s="386">
        <f t="shared" si="78"/>
        <v>0.28077331361463204</v>
      </c>
      <c r="AJ118" s="386">
        <f t="shared" si="79"/>
        <v>0</v>
      </c>
      <c r="AK118" s="386">
        <f t="shared" si="80"/>
        <v>0</v>
      </c>
      <c r="AL118" s="386">
        <f t="shared" si="81"/>
        <v>0</v>
      </c>
      <c r="AM118">
        <f t="shared" si="82"/>
        <v>0</v>
      </c>
      <c r="AN118" s="386">
        <f t="shared" si="83"/>
        <v>0</v>
      </c>
      <c r="AO118" s="386">
        <f t="shared" si="84"/>
        <v>4.1197743898494821</v>
      </c>
      <c r="AP118" s="386">
        <f t="shared" si="85"/>
        <v>0.16972541023259674</v>
      </c>
      <c r="AQ118" s="386">
        <f t="shared" si="86"/>
        <v>0</v>
      </c>
      <c r="AR118" s="386">
        <f t="shared" si="87"/>
        <v>0.17668251301724108</v>
      </c>
      <c r="AS118" s="386">
        <f t="shared" si="88"/>
        <v>0.16972541023259674</v>
      </c>
      <c r="AT118" s="386">
        <f t="shared" si="89"/>
        <v>0</v>
      </c>
      <c r="AU118" s="386">
        <f t="shared" si="90"/>
        <v>8.7597500000000023E-2</v>
      </c>
      <c r="AV118" s="386">
        <f t="shared" si="91"/>
        <v>0.12445316484575936</v>
      </c>
      <c r="AW118" s="386">
        <f t="shared" si="92"/>
        <v>6.5920000000000006E-2</v>
      </c>
      <c r="AX118" s="386">
        <f t="shared" si="93"/>
        <v>3.6000000000000004E-2</v>
      </c>
      <c r="AY118" s="386">
        <f t="shared" si="94"/>
        <v>0.40226399999999995</v>
      </c>
      <c r="AZ118" s="386">
        <f t="shared" si="95"/>
        <v>0.30415082926829268</v>
      </c>
      <c r="BA118" s="386">
        <f t="shared" si="123"/>
        <v>0.43826399999999999</v>
      </c>
      <c r="BB118" s="386">
        <f t="shared" si="124"/>
        <v>2.3863879588466315</v>
      </c>
      <c r="BC118">
        <f t="shared" si="96"/>
        <v>48</v>
      </c>
      <c r="BD118" s="604">
        <f t="shared" si="125"/>
        <v>0.95263824109011885</v>
      </c>
      <c r="BE118" s="614">
        <f t="shared" si="97"/>
        <v>32.781248906935716</v>
      </c>
      <c r="BF118" s="614">
        <f t="shared" si="98"/>
        <v>16.284852189648657</v>
      </c>
      <c r="BG118" s="9"/>
      <c r="BH118" s="4">
        <f t="shared" si="126"/>
        <v>95.263824109011892</v>
      </c>
      <c r="BI118" s="386">
        <f t="shared" si="127"/>
        <v>0.5731297134675758</v>
      </c>
      <c r="BJ118" s="386">
        <f t="shared" si="128"/>
        <v>1.0226497733031785</v>
      </c>
      <c r="BK118" s="386">
        <f t="shared" si="129"/>
        <v>0.30968048861463204</v>
      </c>
      <c r="BL118" s="386">
        <f t="shared" si="130"/>
        <v>0.12445316484575936</v>
      </c>
    </row>
    <row r="119" spans="7:64" x14ac:dyDescent="0.2">
      <c r="G119">
        <v>110</v>
      </c>
      <c r="H119" s="610">
        <f t="shared" si="59"/>
        <v>23.85</v>
      </c>
      <c r="I119" s="4" t="str">
        <f t="shared" si="60"/>
        <v>BUCK</v>
      </c>
      <c r="J119">
        <f t="shared" si="99"/>
        <v>1</v>
      </c>
      <c r="K119">
        <f t="shared" si="61"/>
        <v>4</v>
      </c>
      <c r="L119" s="4">
        <f t="shared" si="62"/>
        <v>2.2361984626135567</v>
      </c>
      <c r="M119" s="4">
        <f t="shared" si="63"/>
        <v>4</v>
      </c>
      <c r="N119" s="386">
        <f t="shared" si="64"/>
        <v>0.50827268925135927</v>
      </c>
      <c r="O119" s="386">
        <f t="shared" si="115"/>
        <v>0</v>
      </c>
      <c r="P119" s="4">
        <f t="shared" si="65"/>
        <v>3.4363793341380573</v>
      </c>
      <c r="Q119" s="386">
        <f t="shared" si="66"/>
        <v>4.121171990749831</v>
      </c>
      <c r="R119" s="386">
        <f t="shared" si="116"/>
        <v>0.22828388251646631</v>
      </c>
      <c r="S119" s="386">
        <f t="shared" si="117"/>
        <v>0.34971451403335319</v>
      </c>
      <c r="T119" s="386">
        <f t="shared" si="118"/>
        <v>0.57799839654981944</v>
      </c>
      <c r="U119" s="4">
        <f t="shared" si="68"/>
        <v>0.9919972668011372</v>
      </c>
      <c r="V119" s="386">
        <f t="shared" si="119"/>
        <v>2.6569581588205018E-2</v>
      </c>
      <c r="W119" s="386">
        <f t="shared" si="120"/>
        <v>2.6569581588205018E-2</v>
      </c>
      <c r="X119" s="386">
        <f t="shared" si="69"/>
        <v>2.0603039338257614</v>
      </c>
      <c r="Y119" s="386">
        <f t="shared" si="121"/>
        <v>0.13583527359161304</v>
      </c>
      <c r="Z119" s="603">
        <f t="shared" si="122"/>
        <v>0.13583527359161304</v>
      </c>
      <c r="AA119" s="386">
        <f t="shared" si="70"/>
        <v>2.9381172759962606</v>
      </c>
      <c r="AB119" s="386">
        <f t="shared" si="71"/>
        <v>8.6325331275076869E-2</v>
      </c>
      <c r="AC119" s="386">
        <f t="shared" si="72"/>
        <v>0.3833971444060903</v>
      </c>
      <c r="AD119">
        <f t="shared" si="73"/>
        <v>0</v>
      </c>
      <c r="AE119" s="386">
        <f t="shared" si="74"/>
        <v>0.479322087699042</v>
      </c>
      <c r="AF119" s="386">
        <f t="shared" si="75"/>
        <v>2.88990059514739</v>
      </c>
      <c r="AG119" s="386">
        <f t="shared" si="76"/>
        <v>8.3515254498332386E-2</v>
      </c>
      <c r="AH119" s="386">
        <f t="shared" si="77"/>
        <v>0.19239999999999999</v>
      </c>
      <c r="AI119" s="386">
        <f t="shared" si="78"/>
        <v>0.28136688965441142</v>
      </c>
      <c r="AJ119" s="386">
        <f t="shared" si="79"/>
        <v>0</v>
      </c>
      <c r="AK119" s="386">
        <f t="shared" si="80"/>
        <v>0</v>
      </c>
      <c r="AL119" s="386">
        <f t="shared" si="81"/>
        <v>0</v>
      </c>
      <c r="AM119">
        <f t="shared" si="82"/>
        <v>0</v>
      </c>
      <c r="AN119" s="386">
        <f t="shared" si="83"/>
        <v>0</v>
      </c>
      <c r="AO119" s="386">
        <f t="shared" si="84"/>
        <v>4.121171990749831</v>
      </c>
      <c r="AP119" s="386">
        <f t="shared" si="85"/>
        <v>0.16984058577340924</v>
      </c>
      <c r="AQ119" s="386">
        <f t="shared" si="86"/>
        <v>0</v>
      </c>
      <c r="AR119" s="386">
        <f t="shared" si="87"/>
        <v>0.17680732771864283</v>
      </c>
      <c r="AS119" s="386">
        <f t="shared" si="88"/>
        <v>0.16984058577340924</v>
      </c>
      <c r="AT119" s="386">
        <f t="shared" si="89"/>
        <v>0</v>
      </c>
      <c r="AU119" s="386">
        <f t="shared" si="90"/>
        <v>8.8097000000000009E-2</v>
      </c>
      <c r="AV119" s="386">
        <f t="shared" si="91"/>
        <v>0.12527288174749857</v>
      </c>
      <c r="AW119" s="386">
        <f t="shared" si="92"/>
        <v>6.5920000000000006E-2</v>
      </c>
      <c r="AX119" s="386">
        <f t="shared" si="93"/>
        <v>3.6000000000000004E-2</v>
      </c>
      <c r="AY119" s="386">
        <f t="shared" si="94"/>
        <v>0.40226399999999995</v>
      </c>
      <c r="AZ119" s="386">
        <f t="shared" si="95"/>
        <v>0.30415082926829268</v>
      </c>
      <c r="BA119" s="386">
        <f t="shared" si="123"/>
        <v>0.43826399999999999</v>
      </c>
      <c r="BB119" s="386">
        <f t="shared" si="124"/>
        <v>2.3954534385492328</v>
      </c>
      <c r="BC119">
        <f t="shared" si="96"/>
        <v>48</v>
      </c>
      <c r="BD119" s="604">
        <f t="shared" si="125"/>
        <v>0.95246687399151631</v>
      </c>
      <c r="BE119" s="614">
        <f t="shared" si="97"/>
        <v>32.910307086544435</v>
      </c>
      <c r="BF119" s="614">
        <f t="shared" si="98"/>
        <v>16.319279599955863</v>
      </c>
      <c r="BG119" s="9"/>
      <c r="BH119" s="4">
        <f t="shared" si="126"/>
        <v>95.246687399151625</v>
      </c>
      <c r="BI119" s="386">
        <f t="shared" si="127"/>
        <v>0.57799839654981944</v>
      </c>
      <c r="BJ119" s="386">
        <f t="shared" si="128"/>
        <v>1.0255933050720962</v>
      </c>
      <c r="BK119" s="386">
        <f t="shared" si="129"/>
        <v>0.3104388996544114</v>
      </c>
      <c r="BL119" s="386">
        <f t="shared" si="130"/>
        <v>0.12527288174749857</v>
      </c>
    </row>
    <row r="120" spans="7:64" x14ac:dyDescent="0.2">
      <c r="G120">
        <v>111</v>
      </c>
      <c r="H120" s="610">
        <f t="shared" si="59"/>
        <v>23.984999999999999</v>
      </c>
      <c r="I120" s="4" t="str">
        <f t="shared" si="60"/>
        <v>BUCK</v>
      </c>
      <c r="J120">
        <f t="shared" si="99"/>
        <v>1</v>
      </c>
      <c r="K120">
        <f t="shared" si="61"/>
        <v>4</v>
      </c>
      <c r="L120" s="4">
        <f t="shared" si="62"/>
        <v>2.2236119797095406</v>
      </c>
      <c r="M120" s="4">
        <f t="shared" si="63"/>
        <v>4</v>
      </c>
      <c r="N120" s="386">
        <f t="shared" si="64"/>
        <v>0.50541900603035972</v>
      </c>
      <c r="O120" s="386">
        <f t="shared" si="115"/>
        <v>0</v>
      </c>
      <c r="P120" s="4">
        <f t="shared" si="65"/>
        <v>3.4563219686683402</v>
      </c>
      <c r="Q120" s="386">
        <f t="shared" si="66"/>
        <v>4.1225615171385392</v>
      </c>
      <c r="R120" s="386">
        <f t="shared" si="116"/>
        <v>0.22844066217110426</v>
      </c>
      <c r="S120" s="386">
        <f t="shared" si="117"/>
        <v>0.35440825059472236</v>
      </c>
      <c r="T120" s="386">
        <f t="shared" si="118"/>
        <v>0.58284891276582662</v>
      </c>
      <c r="U120" s="4">
        <f t="shared" si="68"/>
        <v>0.99775420950834182</v>
      </c>
      <c r="V120" s="386">
        <f t="shared" si="119"/>
        <v>2.6878863489973634E-2</v>
      </c>
      <c r="W120" s="386">
        <f t="shared" si="120"/>
        <v>2.6878863489973634E-2</v>
      </c>
      <c r="X120" s="386">
        <f t="shared" si="69"/>
        <v>2.0611596934128649</v>
      </c>
      <c r="Y120" s="386">
        <f t="shared" si="121"/>
        <v>0.13594813701599409</v>
      </c>
      <c r="Z120" s="603">
        <f t="shared" si="122"/>
        <v>0.13594813701599409</v>
      </c>
      <c r="AA120" s="386">
        <f t="shared" si="70"/>
        <v>2.9308455300883138</v>
      </c>
      <c r="AB120" s="386">
        <f t="shared" si="71"/>
        <v>8.5898555212386485E-2</v>
      </c>
      <c r="AC120" s="386">
        <f t="shared" si="72"/>
        <v>0.38556731692159646</v>
      </c>
      <c r="AD120">
        <f t="shared" si="73"/>
        <v>0</v>
      </c>
      <c r="AE120" s="386">
        <f t="shared" si="74"/>
        <v>0.48105251015399969</v>
      </c>
      <c r="AF120" s="386">
        <f t="shared" si="75"/>
        <v>2.8992512725448556</v>
      </c>
      <c r="AG120" s="386">
        <f t="shared" si="76"/>
        <v>8.4056579413529647E-2</v>
      </c>
      <c r="AH120" s="386">
        <f t="shared" si="77"/>
        <v>0.19239999999999999</v>
      </c>
      <c r="AI120" s="386">
        <f t="shared" si="78"/>
        <v>0.28195501990251276</v>
      </c>
      <c r="AJ120" s="386">
        <f t="shared" si="79"/>
        <v>0</v>
      </c>
      <c r="AK120" s="386">
        <f t="shared" si="80"/>
        <v>0</v>
      </c>
      <c r="AL120" s="386">
        <f t="shared" si="81"/>
        <v>0</v>
      </c>
      <c r="AM120">
        <f t="shared" si="82"/>
        <v>0</v>
      </c>
      <c r="AN120" s="386">
        <f t="shared" si="83"/>
        <v>0</v>
      </c>
      <c r="AO120" s="386">
        <f t="shared" si="84"/>
        <v>4.1225615171385392</v>
      </c>
      <c r="AP120" s="386">
        <f t="shared" si="85"/>
        <v>0.16995513462591613</v>
      </c>
      <c r="AQ120" s="386">
        <f t="shared" si="86"/>
        <v>0</v>
      </c>
      <c r="AR120" s="386">
        <f t="shared" si="87"/>
        <v>0.17693147017105204</v>
      </c>
      <c r="AS120" s="386">
        <f t="shared" si="88"/>
        <v>0.16995513462591613</v>
      </c>
      <c r="AT120" s="386">
        <f t="shared" si="89"/>
        <v>0</v>
      </c>
      <c r="AU120" s="386">
        <f t="shared" si="90"/>
        <v>8.8596500000000009E-2</v>
      </c>
      <c r="AV120" s="386">
        <f t="shared" si="91"/>
        <v>0.12608486912029448</v>
      </c>
      <c r="AW120" s="386">
        <f t="shared" si="92"/>
        <v>6.5920000000000006E-2</v>
      </c>
      <c r="AX120" s="386">
        <f t="shared" si="93"/>
        <v>3.6000000000000004E-2</v>
      </c>
      <c r="AY120" s="386">
        <f t="shared" si="94"/>
        <v>0.40226399999999995</v>
      </c>
      <c r="AZ120" s="386">
        <f t="shared" si="95"/>
        <v>0.30415082926829268</v>
      </c>
      <c r="BA120" s="386">
        <f t="shared" si="123"/>
        <v>0.43826399999999999</v>
      </c>
      <c r="BB120" s="386">
        <f t="shared" si="124"/>
        <v>2.4044802826196534</v>
      </c>
      <c r="BC120">
        <f t="shared" si="96"/>
        <v>48</v>
      </c>
      <c r="BD120" s="604">
        <f t="shared" si="125"/>
        <v>0.95229629848105468</v>
      </c>
      <c r="BE120" s="614">
        <f t="shared" si="97"/>
        <v>33.039642588931983</v>
      </c>
      <c r="BF120" s="614">
        <f t="shared" si="98"/>
        <v>16.35339115434574</v>
      </c>
      <c r="BG120" s="9"/>
      <c r="BH120" s="4">
        <f t="shared" si="126"/>
        <v>95.229629848105475</v>
      </c>
      <c r="BI120" s="386">
        <f t="shared" si="127"/>
        <v>0.58284891276582662</v>
      </c>
      <c r="BJ120" s="386">
        <f t="shared" si="128"/>
        <v>1.0285355002275645</v>
      </c>
      <c r="BK120" s="386">
        <f t="shared" si="129"/>
        <v>0.31119186490251277</v>
      </c>
      <c r="BL120" s="386">
        <f t="shared" si="130"/>
        <v>0.12608486912029448</v>
      </c>
    </row>
    <row r="121" spans="7:64" x14ac:dyDescent="0.2">
      <c r="G121">
        <v>112</v>
      </c>
      <c r="H121" s="610">
        <f t="shared" si="59"/>
        <v>24.12</v>
      </c>
      <c r="I121" s="4" t="str">
        <f t="shared" si="60"/>
        <v>BUCK</v>
      </c>
      <c r="J121">
        <f t="shared" si="99"/>
        <v>1</v>
      </c>
      <c r="K121">
        <f t="shared" si="61"/>
        <v>4</v>
      </c>
      <c r="L121" s="4">
        <f t="shared" si="62"/>
        <v>2.2111663902708676</v>
      </c>
      <c r="M121" s="4">
        <f t="shared" si="63"/>
        <v>4</v>
      </c>
      <c r="N121" s="386">
        <f t="shared" si="64"/>
        <v>0.50259718775847806</v>
      </c>
      <c r="O121" s="386">
        <f t="shared" si="115"/>
        <v>0</v>
      </c>
      <c r="P121" s="4">
        <f t="shared" si="65"/>
        <v>3.476041918693944</v>
      </c>
      <c r="Q121" s="386">
        <f t="shared" si="66"/>
        <v>4.1239429698258991</v>
      </c>
      <c r="R121" s="386">
        <f t="shared" si="116"/>
        <v>0.22859658709656377</v>
      </c>
      <c r="S121" s="386">
        <f t="shared" si="117"/>
        <v>0.35908443264446799</v>
      </c>
      <c r="T121" s="386">
        <f t="shared" si="118"/>
        <v>0.58768101974103182</v>
      </c>
      <c r="U121" s="4">
        <f t="shared" si="68"/>
        <v>1.0034468687361859</v>
      </c>
      <c r="V121" s="386">
        <f t="shared" si="119"/>
        <v>2.7186451696164324E-2</v>
      </c>
      <c r="W121" s="386">
        <f t="shared" si="120"/>
        <v>2.7186451696164324E-2</v>
      </c>
      <c r="X121" s="386">
        <f t="shared" si="69"/>
        <v>2.0619436671453388</v>
      </c>
      <c r="Y121" s="386">
        <f t="shared" si="121"/>
        <v>0.13605157396738457</v>
      </c>
      <c r="Z121" s="603">
        <f t="shared" si="122"/>
        <v>0.13605157396738457</v>
      </c>
      <c r="AA121" s="386">
        <f t="shared" si="70"/>
        <v>2.9236318058657571</v>
      </c>
      <c r="AB121" s="386">
        <f t="shared" si="71"/>
        <v>8.5476229362698677E-2</v>
      </c>
      <c r="AC121" s="386">
        <f t="shared" si="72"/>
        <v>0.38773748943710262</v>
      </c>
      <c r="AD121">
        <f t="shared" si="73"/>
        <v>0</v>
      </c>
      <c r="AE121" s="386">
        <f t="shared" si="74"/>
        <v>0.48278763179267292</v>
      </c>
      <c r="AF121" s="386">
        <f t="shared" si="75"/>
        <v>2.9084846023499229</v>
      </c>
      <c r="AG121" s="386">
        <f t="shared" si="76"/>
        <v>8.4592826821065906E-2</v>
      </c>
      <c r="AH121" s="386">
        <f t="shared" si="77"/>
        <v>0.19239999999999999</v>
      </c>
      <c r="AI121" s="386">
        <f t="shared" si="78"/>
        <v>0.28253778218657466</v>
      </c>
      <c r="AJ121" s="386">
        <f t="shared" si="79"/>
        <v>0</v>
      </c>
      <c r="AK121" s="386">
        <f t="shared" si="80"/>
        <v>0</v>
      </c>
      <c r="AL121" s="386">
        <f t="shared" si="81"/>
        <v>0</v>
      </c>
      <c r="AM121">
        <f t="shared" si="82"/>
        <v>0</v>
      </c>
      <c r="AN121" s="386">
        <f t="shared" si="83"/>
        <v>0</v>
      </c>
      <c r="AO121" s="386">
        <f t="shared" si="84"/>
        <v>4.1239429698258991</v>
      </c>
      <c r="AP121" s="386">
        <f t="shared" si="85"/>
        <v>0.17006905618376458</v>
      </c>
      <c r="AQ121" s="386">
        <f t="shared" si="86"/>
        <v>0</v>
      </c>
      <c r="AR121" s="386">
        <f t="shared" si="87"/>
        <v>0.17705493960510954</v>
      </c>
      <c r="AS121" s="386">
        <f t="shared" si="88"/>
        <v>0.17006905618376458</v>
      </c>
      <c r="AT121" s="386">
        <f t="shared" si="89"/>
        <v>0</v>
      </c>
      <c r="AU121" s="386">
        <f t="shared" si="90"/>
        <v>8.9096000000000009E-2</v>
      </c>
      <c r="AV121" s="386">
        <f t="shared" si="91"/>
        <v>0.12688924023159884</v>
      </c>
      <c r="AW121" s="386">
        <f t="shared" si="92"/>
        <v>6.5920000000000006E-2</v>
      </c>
      <c r="AX121" s="386">
        <f t="shared" si="93"/>
        <v>3.6000000000000004E-2</v>
      </c>
      <c r="AY121" s="386">
        <f t="shared" si="94"/>
        <v>0.40226399999999995</v>
      </c>
      <c r="AZ121" s="386">
        <f t="shared" si="95"/>
        <v>0.30415082926829268</v>
      </c>
      <c r="BA121" s="386">
        <f t="shared" si="123"/>
        <v>0.43826399999999999</v>
      </c>
      <c r="BB121" s="386">
        <f t="shared" si="124"/>
        <v>2.4134686392205369</v>
      </c>
      <c r="BC121">
        <f t="shared" si="96"/>
        <v>48</v>
      </c>
      <c r="BD121" s="604">
        <f t="shared" si="125"/>
        <v>0.9521265109430912</v>
      </c>
      <c r="BE121" s="614">
        <f t="shared" si="97"/>
        <v>33.169250643975033</v>
      </c>
      <c r="BF121" s="614">
        <f t="shared" si="98"/>
        <v>16.38719136682133</v>
      </c>
      <c r="BG121" s="9"/>
      <c r="BH121" s="4">
        <f t="shared" si="126"/>
        <v>95.212651094309123</v>
      </c>
      <c r="BI121" s="386">
        <f t="shared" si="127"/>
        <v>0.58768101974103182</v>
      </c>
      <c r="BJ121" s="386">
        <f t="shared" si="128"/>
        <v>1.0314763535843572</v>
      </c>
      <c r="BK121" s="386">
        <f t="shared" si="129"/>
        <v>0.31193946218657465</v>
      </c>
      <c r="BL121" s="386">
        <f t="shared" si="130"/>
        <v>0.12688924023159884</v>
      </c>
    </row>
    <row r="122" spans="7:64" x14ac:dyDescent="0.2">
      <c r="G122">
        <v>113</v>
      </c>
      <c r="H122" s="610">
        <f t="shared" si="59"/>
        <v>24.254999999999999</v>
      </c>
      <c r="I122" s="4" t="str">
        <f t="shared" si="60"/>
        <v>BUCK</v>
      </c>
      <c r="J122">
        <f t="shared" si="99"/>
        <v>1</v>
      </c>
      <c r="K122">
        <f t="shared" si="61"/>
        <v>4</v>
      </c>
      <c r="L122" s="4">
        <f t="shared" si="62"/>
        <v>2.1988593417164846</v>
      </c>
      <c r="M122" s="4">
        <f t="shared" si="63"/>
        <v>4</v>
      </c>
      <c r="N122" s="386">
        <f t="shared" si="64"/>
        <v>0.49980670368085545</v>
      </c>
      <c r="O122" s="386">
        <f t="shared" si="115"/>
        <v>0</v>
      </c>
      <c r="P122" s="4">
        <f t="shared" si="65"/>
        <v>3.4955428933336976</v>
      </c>
      <c r="Q122" s="386">
        <f t="shared" si="66"/>
        <v>4.1253163527089622</v>
      </c>
      <c r="R122" s="386">
        <f t="shared" si="116"/>
        <v>0.22875165675399795</v>
      </c>
      <c r="S122" s="386">
        <f t="shared" si="117"/>
        <v>0.36374283421982267</v>
      </c>
      <c r="T122" s="386">
        <f t="shared" si="118"/>
        <v>0.59249449097382056</v>
      </c>
      <c r="U122" s="4">
        <f t="shared" si="68"/>
        <v>1.0090763152150468</v>
      </c>
      <c r="V122" s="386">
        <f t="shared" si="119"/>
        <v>2.7492345268055364E-2</v>
      </c>
      <c r="W122" s="386">
        <f t="shared" si="120"/>
        <v>2.7492345268055364E-2</v>
      </c>
      <c r="X122" s="386">
        <f t="shared" si="69"/>
        <v>2.0626580222183541</v>
      </c>
      <c r="Y122" s="386">
        <f t="shared" si="121"/>
        <v>0.13614585973189544</v>
      </c>
      <c r="Z122" s="603">
        <f t="shared" si="122"/>
        <v>0.13614585973189544</v>
      </c>
      <c r="AA122" s="386">
        <f t="shared" si="70"/>
        <v>2.916475260100492</v>
      </c>
      <c r="AB122" s="386">
        <f t="shared" si="71"/>
        <v>8.5058279427782324E-2</v>
      </c>
      <c r="AC122" s="386">
        <f t="shared" si="72"/>
        <v>0.38990766195260879</v>
      </c>
      <c r="AD122">
        <f t="shared" si="73"/>
        <v>0</v>
      </c>
      <c r="AE122" s="386">
        <f t="shared" si="74"/>
        <v>0.48452737237451415</v>
      </c>
      <c r="AF122" s="386">
        <f t="shared" si="75"/>
        <v>2.9176029659893312</v>
      </c>
      <c r="AG122" s="386">
        <f t="shared" si="76"/>
        <v>8.5124070671497437E-2</v>
      </c>
      <c r="AH122" s="386">
        <f t="shared" si="77"/>
        <v>0.19239999999999999</v>
      </c>
      <c r="AI122" s="386">
        <f t="shared" si="78"/>
        <v>0.28311525275736144</v>
      </c>
      <c r="AJ122" s="386">
        <f t="shared" si="79"/>
        <v>0</v>
      </c>
      <c r="AK122" s="386">
        <f t="shared" si="80"/>
        <v>0</v>
      </c>
      <c r="AL122" s="386">
        <f t="shared" si="81"/>
        <v>0</v>
      </c>
      <c r="AM122">
        <f t="shared" si="82"/>
        <v>0</v>
      </c>
      <c r="AN122" s="386">
        <f t="shared" si="83"/>
        <v>0</v>
      </c>
      <c r="AO122" s="386">
        <f t="shared" si="84"/>
        <v>4.1253163527089622</v>
      </c>
      <c r="AP122" s="386">
        <f t="shared" si="85"/>
        <v>0.17018235009927973</v>
      </c>
      <c r="AQ122" s="386">
        <f t="shared" si="86"/>
        <v>0</v>
      </c>
      <c r="AR122" s="386">
        <f t="shared" si="87"/>
        <v>0.17717773553229146</v>
      </c>
      <c r="AS122" s="386">
        <f t="shared" si="88"/>
        <v>0.17018235009927973</v>
      </c>
      <c r="AT122" s="386">
        <f t="shared" si="89"/>
        <v>0</v>
      </c>
      <c r="AU122" s="386">
        <f t="shared" si="90"/>
        <v>8.9595500000000008E-2</v>
      </c>
      <c r="AV122" s="386">
        <f t="shared" si="91"/>
        <v>0.12768610600724614</v>
      </c>
      <c r="AW122" s="386">
        <f t="shared" si="92"/>
        <v>6.5920000000000006E-2</v>
      </c>
      <c r="AX122" s="386">
        <f t="shared" si="93"/>
        <v>3.6000000000000004E-2</v>
      </c>
      <c r="AY122" s="386">
        <f t="shared" si="94"/>
        <v>0.40226399999999995</v>
      </c>
      <c r="AZ122" s="386">
        <f t="shared" si="95"/>
        <v>0.30415082926829268</v>
      </c>
      <c r="BA122" s="386">
        <f t="shared" si="123"/>
        <v>0.43826399999999999</v>
      </c>
      <c r="BB122" s="386">
        <f t="shared" si="124"/>
        <v>2.4224186626451845</v>
      </c>
      <c r="BC122">
        <f t="shared" si="96"/>
        <v>48</v>
      </c>
      <c r="BD122" s="604">
        <f t="shared" si="125"/>
        <v>0.95195750765443143</v>
      </c>
      <c r="BE122" s="614">
        <f t="shared" si="97"/>
        <v>33.299126597721823</v>
      </c>
      <c r="BF122" s="614">
        <f t="shared" si="98"/>
        <v>16.420684659926962</v>
      </c>
      <c r="BG122" s="9"/>
      <c r="BH122" s="4">
        <f t="shared" si="126"/>
        <v>95.195750765443137</v>
      </c>
      <c r="BI122" s="386">
        <f t="shared" si="127"/>
        <v>0.59249449097382056</v>
      </c>
      <c r="BJ122" s="386">
        <f t="shared" si="128"/>
        <v>1.0344158606641669</v>
      </c>
      <c r="BK122" s="386">
        <f t="shared" si="129"/>
        <v>0.31268176775736145</v>
      </c>
      <c r="BL122" s="386">
        <f t="shared" si="130"/>
        <v>0.12768610600724614</v>
      </c>
    </row>
    <row r="123" spans="7:64" x14ac:dyDescent="0.2">
      <c r="G123">
        <v>114</v>
      </c>
      <c r="H123" s="610">
        <f t="shared" si="59"/>
        <v>24.39</v>
      </c>
      <c r="I123" s="4" t="str">
        <f t="shared" si="60"/>
        <v>BUCK</v>
      </c>
      <c r="J123">
        <f t="shared" si="99"/>
        <v>1</v>
      </c>
      <c r="K123">
        <f t="shared" si="61"/>
        <v>4</v>
      </c>
      <c r="L123" s="4">
        <f t="shared" si="62"/>
        <v>2.1866885335520023</v>
      </c>
      <c r="M123" s="4">
        <f t="shared" si="63"/>
        <v>4</v>
      </c>
      <c r="N123" s="386">
        <f t="shared" si="64"/>
        <v>0.49704703476482615</v>
      </c>
      <c r="O123" s="386">
        <f t="shared" si="115"/>
        <v>0</v>
      </c>
      <c r="P123" s="4">
        <f t="shared" si="65"/>
        <v>3.5148285197872458</v>
      </c>
      <c r="Q123" s="386">
        <f t="shared" si="66"/>
        <v>4.1266816725983544</v>
      </c>
      <c r="R123" s="386">
        <f t="shared" si="116"/>
        <v>0.22890587093994225</v>
      </c>
      <c r="S123" s="386">
        <f t="shared" si="117"/>
        <v>0.36838324422116192</v>
      </c>
      <c r="T123" s="386">
        <f t="shared" si="118"/>
        <v>0.59728911516110417</v>
      </c>
      <c r="U123" s="4">
        <f t="shared" si="68"/>
        <v>1.0146435960272702</v>
      </c>
      <c r="V123" s="386">
        <f t="shared" si="119"/>
        <v>2.7796543927897054E-2</v>
      </c>
      <c r="W123" s="386">
        <f t="shared" si="120"/>
        <v>2.7796543927897054E-2</v>
      </c>
      <c r="X123" s="386">
        <f t="shared" si="69"/>
        <v>2.0633048513060133</v>
      </c>
      <c r="Y123" s="386">
        <f t="shared" si="121"/>
        <v>0.13623126110153375</v>
      </c>
      <c r="Z123" s="603">
        <f t="shared" si="122"/>
        <v>0.13623126110153375</v>
      </c>
      <c r="AA123" s="386">
        <f t="shared" si="70"/>
        <v>2.9093750681551578</v>
      </c>
      <c r="AB123" s="386">
        <f t="shared" si="71"/>
        <v>8.4644632872028294E-2</v>
      </c>
      <c r="AC123" s="386">
        <f t="shared" si="72"/>
        <v>0.39207783446811495</v>
      </c>
      <c r="AD123">
        <f t="shared" si="73"/>
        <v>0</v>
      </c>
      <c r="AE123" s="386">
        <f t="shared" si="74"/>
        <v>0.48627165359815777</v>
      </c>
      <c r="AF123" s="386">
        <f t="shared" si="75"/>
        <v>2.9266086755417646</v>
      </c>
      <c r="AG123" s="386">
        <f t="shared" si="76"/>
        <v>8.5650383397563229E-2</v>
      </c>
      <c r="AH123" s="386">
        <f t="shared" si="77"/>
        <v>0.19239999999999999</v>
      </c>
      <c r="AI123" s="386">
        <f t="shared" si="78"/>
        <v>0.28368750633188572</v>
      </c>
      <c r="AJ123" s="386">
        <f t="shared" si="79"/>
        <v>0</v>
      </c>
      <c r="AK123" s="386">
        <f t="shared" si="80"/>
        <v>0</v>
      </c>
      <c r="AL123" s="386">
        <f t="shared" si="81"/>
        <v>0</v>
      </c>
      <c r="AM123">
        <f t="shared" si="82"/>
        <v>0</v>
      </c>
      <c r="AN123" s="386">
        <f t="shared" si="83"/>
        <v>0</v>
      </c>
      <c r="AO123" s="386">
        <f t="shared" si="84"/>
        <v>4.1266816725983544</v>
      </c>
      <c r="AP123" s="386">
        <f t="shared" si="85"/>
        <v>0.17029501626959154</v>
      </c>
      <c r="AQ123" s="386">
        <f t="shared" si="86"/>
        <v>0</v>
      </c>
      <c r="AR123" s="386">
        <f t="shared" si="87"/>
        <v>0.17729985772995013</v>
      </c>
      <c r="AS123" s="386">
        <f t="shared" si="88"/>
        <v>0.17029501626959154</v>
      </c>
      <c r="AT123" s="386">
        <f t="shared" si="89"/>
        <v>0</v>
      </c>
      <c r="AU123" s="386">
        <f t="shared" si="90"/>
        <v>9.0095000000000008E-2</v>
      </c>
      <c r="AV123" s="386">
        <f t="shared" si="91"/>
        <v>0.12847557509634483</v>
      </c>
      <c r="AW123" s="386">
        <f t="shared" si="92"/>
        <v>6.5920000000000006E-2</v>
      </c>
      <c r="AX123" s="386">
        <f t="shared" si="93"/>
        <v>3.6000000000000004E-2</v>
      </c>
      <c r="AY123" s="386">
        <f t="shared" si="94"/>
        <v>0.40226399999999995</v>
      </c>
      <c r="AZ123" s="386">
        <f t="shared" si="95"/>
        <v>0.30415082926829268</v>
      </c>
      <c r="BA123" s="386">
        <f t="shared" si="123"/>
        <v>0.43826399999999999</v>
      </c>
      <c r="BB123" s="386">
        <f t="shared" si="124"/>
        <v>2.4313305129468734</v>
      </c>
      <c r="BC123">
        <f t="shared" si="96"/>
        <v>48</v>
      </c>
      <c r="BD123" s="604">
        <f t="shared" si="125"/>
        <v>0.95178928479147118</v>
      </c>
      <c r="BE123" s="614">
        <f t="shared" si="97"/>
        <v>33.429265908693147</v>
      </c>
      <c r="BF123" s="614">
        <f t="shared" si="98"/>
        <v>16.45387536724937</v>
      </c>
      <c r="BG123" s="9"/>
      <c r="BH123" s="4">
        <f t="shared" si="126"/>
        <v>95.178928479147118</v>
      </c>
      <c r="BI123" s="386">
        <f t="shared" si="127"/>
        <v>0.59728911516110417</v>
      </c>
      <c r="BJ123" s="386">
        <f t="shared" si="128"/>
        <v>1.0373540176599936</v>
      </c>
      <c r="BK123" s="386">
        <f t="shared" si="129"/>
        <v>0.31341885633188571</v>
      </c>
      <c r="BL123" s="386">
        <f t="shared" si="130"/>
        <v>0.12847557509634483</v>
      </c>
    </row>
    <row r="124" spans="7:64" x14ac:dyDescent="0.2">
      <c r="G124">
        <v>115</v>
      </c>
      <c r="H124" s="610">
        <f t="shared" si="59"/>
        <v>24.524999999999999</v>
      </c>
      <c r="I124" s="4" t="str">
        <f t="shared" si="60"/>
        <v>BUCK</v>
      </c>
      <c r="J124">
        <f t="shared" si="99"/>
        <v>1</v>
      </c>
      <c r="K124">
        <f t="shared" si="61"/>
        <v>4</v>
      </c>
      <c r="L124" s="4">
        <f t="shared" si="62"/>
        <v>2.1746517159361196</v>
      </c>
      <c r="M124" s="4">
        <f t="shared" si="63"/>
        <v>4</v>
      </c>
      <c r="N124" s="386">
        <f t="shared" si="64"/>
        <v>0.49431767337807608</v>
      </c>
      <c r="O124" s="386">
        <f t="shared" si="115"/>
        <v>0</v>
      </c>
      <c r="P124" s="4">
        <f t="shared" si="65"/>
        <v>3.5339023455841962</v>
      </c>
      <c r="Q124" s="386">
        <f t="shared" si="66"/>
        <v>4.1280389390537229</v>
      </c>
      <c r="R124" s="386">
        <f t="shared" si="116"/>
        <v>0.22905922976829157</v>
      </c>
      <c r="S124" s="386">
        <f t="shared" si="117"/>
        <v>0.37300546578349048</v>
      </c>
      <c r="T124" s="386">
        <f t="shared" si="118"/>
        <v>0.6020646955517821</v>
      </c>
      <c r="U124" s="4">
        <f t="shared" si="68"/>
        <v>1.0201497352564428</v>
      </c>
      <c r="V124" s="386">
        <f t="shared" si="119"/>
        <v>2.8099048023282343E-2</v>
      </c>
      <c r="W124" s="386">
        <f t="shared" si="120"/>
        <v>2.8099048023282343E-2</v>
      </c>
      <c r="X124" s="386">
        <f t="shared" si="69"/>
        <v>2.0638861756511813</v>
      </c>
      <c r="Y124" s="386">
        <f t="shared" si="121"/>
        <v>0.13630803667340988</v>
      </c>
      <c r="Z124" s="603">
        <f t="shared" si="122"/>
        <v>0.13630803667340988</v>
      </c>
      <c r="AA124" s="386">
        <f t="shared" si="70"/>
        <v>2.9023304234275611</v>
      </c>
      <c r="AB124" s="386">
        <f t="shared" si="71"/>
        <v>8.4235218867532075E-2</v>
      </c>
      <c r="AC124" s="386">
        <f t="shared" si="72"/>
        <v>0.39424800698362111</v>
      </c>
      <c r="AD124">
        <f t="shared" si="73"/>
        <v>0</v>
      </c>
      <c r="AE124" s="386">
        <f t="shared" si="74"/>
        <v>0.48802039904014555</v>
      </c>
      <c r="AF124" s="386">
        <f t="shared" si="75"/>
        <v>2.9355039764222051</v>
      </c>
      <c r="AG124" s="386">
        <f t="shared" si="76"/>
        <v>8.6171835955905787E-2</v>
      </c>
      <c r="AH124" s="386">
        <f t="shared" si="77"/>
        <v>0.19239999999999999</v>
      </c>
      <c r="AI124" s="386">
        <f t="shared" si="78"/>
        <v>0.28425461613500619</v>
      </c>
      <c r="AJ124" s="386">
        <f t="shared" si="79"/>
        <v>0</v>
      </c>
      <c r="AK124" s="386">
        <f t="shared" si="80"/>
        <v>0</v>
      </c>
      <c r="AL124" s="386">
        <f t="shared" si="81"/>
        <v>0</v>
      </c>
      <c r="AM124">
        <f t="shared" si="82"/>
        <v>0</v>
      </c>
      <c r="AN124" s="386">
        <f t="shared" si="83"/>
        <v>0</v>
      </c>
      <c r="AO124" s="386">
        <f t="shared" si="84"/>
        <v>4.1280389390537229</v>
      </c>
      <c r="AP124" s="386">
        <f t="shared" si="85"/>
        <v>0.17040705482343785</v>
      </c>
      <c r="AQ124" s="386">
        <f t="shared" si="86"/>
        <v>0</v>
      </c>
      <c r="AR124" s="386">
        <f t="shared" si="87"/>
        <v>0.17742130622708138</v>
      </c>
      <c r="AS124" s="386">
        <f t="shared" si="88"/>
        <v>0.17040705482343785</v>
      </c>
      <c r="AT124" s="386">
        <f t="shared" si="89"/>
        <v>0</v>
      </c>
      <c r="AU124" s="386">
        <f t="shared" si="90"/>
        <v>9.0594500000000008E-2</v>
      </c>
      <c r="AV124" s="386">
        <f t="shared" si="91"/>
        <v>0.12925775393385866</v>
      </c>
      <c r="AW124" s="386">
        <f t="shared" si="92"/>
        <v>6.5920000000000006E-2</v>
      </c>
      <c r="AX124" s="386">
        <f t="shared" si="93"/>
        <v>3.6000000000000004E-2</v>
      </c>
      <c r="AY124" s="386">
        <f t="shared" si="94"/>
        <v>0.40226399999999995</v>
      </c>
      <c r="AZ124" s="386">
        <f t="shared" si="95"/>
        <v>0.30415082926829268</v>
      </c>
      <c r="BA124" s="386">
        <f t="shared" si="123"/>
        <v>0.43826399999999999</v>
      </c>
      <c r="BB124" s="386">
        <f t="shared" si="124"/>
        <v>2.4402043555845663</v>
      </c>
      <c r="BC124">
        <f t="shared" si="96"/>
        <v>48</v>
      </c>
      <c r="BD124" s="604">
        <f t="shared" si="125"/>
        <v>0.95162183843701265</v>
      </c>
      <c r="BE124" s="614">
        <f t="shared" si="97"/>
        <v>33.559664144328437</v>
      </c>
      <c r="BF124" s="614">
        <f t="shared" si="98"/>
        <v>16.486767735830359</v>
      </c>
      <c r="BG124" s="9"/>
      <c r="BH124" s="4">
        <f t="shared" si="126"/>
        <v>95.162183843701271</v>
      </c>
      <c r="BI124" s="386">
        <f t="shared" si="127"/>
        <v>0.6020646955517821</v>
      </c>
      <c r="BJ124" s="386">
        <f t="shared" si="128"/>
        <v>1.0402908214022331</v>
      </c>
      <c r="BK124" s="386">
        <f t="shared" si="129"/>
        <v>0.31415080113500621</v>
      </c>
      <c r="BL124" s="386">
        <f t="shared" si="130"/>
        <v>0.12925775393385866</v>
      </c>
    </row>
    <row r="125" spans="7:64" x14ac:dyDescent="0.2">
      <c r="G125">
        <v>116</v>
      </c>
      <c r="H125" s="610">
        <f t="shared" si="59"/>
        <v>24.659999999999997</v>
      </c>
      <c r="I125" s="4" t="str">
        <f t="shared" si="60"/>
        <v>BUCK</v>
      </c>
      <c r="J125">
        <f t="shared" si="99"/>
        <v>1</v>
      </c>
      <c r="K125">
        <f t="shared" si="61"/>
        <v>4</v>
      </c>
      <c r="L125" s="4">
        <f t="shared" si="62"/>
        <v>2.1627466882941335</v>
      </c>
      <c r="M125" s="4">
        <f t="shared" si="63"/>
        <v>4</v>
      </c>
      <c r="N125" s="386">
        <f t="shared" si="64"/>
        <v>0.49161812297734636</v>
      </c>
      <c r="O125" s="386">
        <f t="shared" si="115"/>
        <v>0</v>
      </c>
      <c r="P125" s="4">
        <f t="shared" si="65"/>
        <v>3.5527678407595777</v>
      </c>
      <c r="Q125" s="386">
        <f t="shared" si="66"/>
        <v>4.129388164227394</v>
      </c>
      <c r="R125" s="386">
        <f t="shared" si="116"/>
        <v>0.22921173365315733</v>
      </c>
      <c r="S125" s="386">
        <f t="shared" si="117"/>
        <v>0.3776093156737641</v>
      </c>
      <c r="T125" s="386">
        <f t="shared" si="118"/>
        <v>0.60682104932692149</v>
      </c>
      <c r="U125" s="4">
        <f t="shared" si="68"/>
        <v>1.0255957346153939</v>
      </c>
      <c r="V125" s="386">
        <f t="shared" si="119"/>
        <v>2.8399858493254812E-2</v>
      </c>
      <c r="W125" s="386">
        <f t="shared" si="120"/>
        <v>2.8399858493254812E-2</v>
      </c>
      <c r="X125" s="386">
        <f t="shared" si="69"/>
        <v>2.0644039480018859</v>
      </c>
      <c r="Y125" s="386">
        <f t="shared" si="121"/>
        <v>0.13637643713682474</v>
      </c>
      <c r="Z125" s="603">
        <f t="shared" si="122"/>
        <v>0.13637643713682474</v>
      </c>
      <c r="AA125" s="386">
        <f t="shared" si="70"/>
        <v>2.8953405368158771</v>
      </c>
      <c r="AB125" s="386">
        <f t="shared" si="71"/>
        <v>8.3829968241292518E-2</v>
      </c>
      <c r="AC125" s="386">
        <f t="shared" si="72"/>
        <v>0.39641817949912722</v>
      </c>
      <c r="AD125">
        <f t="shared" si="73"/>
        <v>0</v>
      </c>
      <c r="AE125" s="386">
        <f t="shared" si="74"/>
        <v>0.4897735340960373</v>
      </c>
      <c r="AF125" s="386">
        <f t="shared" si="75"/>
        <v>2.9442910499357962</v>
      </c>
      <c r="AG125" s="386">
        <f t="shared" si="76"/>
        <v>8.668849786732033E-2</v>
      </c>
      <c r="AH125" s="386">
        <f t="shared" si="77"/>
        <v>0.19239999999999999</v>
      </c>
      <c r="AI125" s="386">
        <f t="shared" si="78"/>
        <v>0.28481665393956757</v>
      </c>
      <c r="AJ125" s="386">
        <f t="shared" si="79"/>
        <v>0</v>
      </c>
      <c r="AK125" s="386">
        <f t="shared" si="80"/>
        <v>0</v>
      </c>
      <c r="AL125" s="386">
        <f t="shared" si="81"/>
        <v>0</v>
      </c>
      <c r="AM125">
        <f t="shared" si="82"/>
        <v>0</v>
      </c>
      <c r="AN125" s="386">
        <f t="shared" si="83"/>
        <v>0</v>
      </c>
      <c r="AO125" s="386">
        <f t="shared" si="84"/>
        <v>4.129388164227394</v>
      </c>
      <c r="AP125" s="386">
        <f t="shared" si="85"/>
        <v>0.17051846610861288</v>
      </c>
      <c r="AQ125" s="386">
        <f t="shared" si="86"/>
        <v>0</v>
      </c>
      <c r="AR125" s="386">
        <f t="shared" si="87"/>
        <v>0.17754208129078589</v>
      </c>
      <c r="AS125" s="386">
        <f t="shared" si="88"/>
        <v>0.17051846610861288</v>
      </c>
      <c r="AT125" s="386">
        <f t="shared" si="89"/>
        <v>0</v>
      </c>
      <c r="AU125" s="386">
        <f t="shared" si="90"/>
        <v>9.1093999999999994E-2</v>
      </c>
      <c r="AV125" s="386">
        <f t="shared" si="91"/>
        <v>0.13003274680098048</v>
      </c>
      <c r="AW125" s="386">
        <f t="shared" si="92"/>
        <v>6.5920000000000006E-2</v>
      </c>
      <c r="AX125" s="386">
        <f t="shared" si="93"/>
        <v>3.6000000000000004E-2</v>
      </c>
      <c r="AY125" s="386">
        <f t="shared" si="94"/>
        <v>0.40226399999999995</v>
      </c>
      <c r="AZ125" s="386">
        <f t="shared" si="95"/>
        <v>0.30415082926829268</v>
      </c>
      <c r="BA125" s="386">
        <f t="shared" si="123"/>
        <v>0.43826399999999999</v>
      </c>
      <c r="BB125" s="386">
        <f t="shared" si="124"/>
        <v>2.4490403610843727</v>
      </c>
      <c r="BC125">
        <f t="shared" si="96"/>
        <v>48</v>
      </c>
      <c r="BD125" s="604">
        <f t="shared" si="125"/>
        <v>0.95145516458676738</v>
      </c>
      <c r="BE125" s="614">
        <f t="shared" si="97"/>
        <v>33.690316977570163</v>
      </c>
      <c r="BF125" s="614">
        <f t="shared" si="98"/>
        <v>16.519365928494921</v>
      </c>
      <c r="BG125" s="9"/>
      <c r="BH125" s="4">
        <f t="shared" si="126"/>
        <v>95.145516458676738</v>
      </c>
      <c r="BI125" s="386">
        <f t="shared" si="127"/>
        <v>0.60682104932692149</v>
      </c>
      <c r="BJ125" s="386">
        <f t="shared" si="128"/>
        <v>1.0432262693263907</v>
      </c>
      <c r="BK125" s="386">
        <f t="shared" si="129"/>
        <v>0.31487767393956756</v>
      </c>
      <c r="BL125" s="386">
        <f t="shared" si="130"/>
        <v>0.13003274680098048</v>
      </c>
    </row>
    <row r="126" spans="7:64" x14ac:dyDescent="0.2">
      <c r="G126">
        <v>117</v>
      </c>
      <c r="H126" s="610">
        <f t="shared" si="59"/>
        <v>24.794999999999998</v>
      </c>
      <c r="I126" s="4" t="str">
        <f t="shared" si="60"/>
        <v>BUCK</v>
      </c>
      <c r="J126">
        <f t="shared" si="99"/>
        <v>1</v>
      </c>
      <c r="K126">
        <f t="shared" si="61"/>
        <v>4</v>
      </c>
      <c r="L126" s="4">
        <f t="shared" si="62"/>
        <v>2.1509712979767426</v>
      </c>
      <c r="M126" s="4">
        <f t="shared" si="63"/>
        <v>4</v>
      </c>
      <c r="N126" s="386">
        <f t="shared" si="64"/>
        <v>0.48894789780728226</v>
      </c>
      <c r="O126" s="386">
        <f t="shared" si="115"/>
        <v>0</v>
      </c>
      <c r="P126" s="4">
        <f t="shared" si="65"/>
        <v>3.5714283999584016</v>
      </c>
      <c r="Q126" s="386">
        <f t="shared" si="66"/>
        <v>4.1307293627157966</v>
      </c>
      <c r="R126" s="386">
        <f t="shared" si="116"/>
        <v>0.22936338329255471</v>
      </c>
      <c r="S126" s="386">
        <f t="shared" si="117"/>
        <v>0.38219462371295604</v>
      </c>
      <c r="T126" s="386">
        <f t="shared" si="118"/>
        <v>0.61155800700551077</v>
      </c>
      <c r="U126" s="4">
        <f t="shared" si="68"/>
        <v>1.0309825740537288</v>
      </c>
      <c r="V126" s="386">
        <f t="shared" si="119"/>
        <v>2.8698976836066217E-2</v>
      </c>
      <c r="W126" s="386">
        <f t="shared" si="120"/>
        <v>2.8698976836066217E-2</v>
      </c>
      <c r="X126" s="386">
        <f t="shared" si="69"/>
        <v>2.0648600554032437</v>
      </c>
      <c r="Y126" s="386">
        <f t="shared" si="121"/>
        <v>0.13643670554879636</v>
      </c>
      <c r="Z126" s="603">
        <f t="shared" si="122"/>
        <v>0.13643670554879636</v>
      </c>
      <c r="AA126" s="386">
        <f t="shared" si="70"/>
        <v>2.888404636203691</v>
      </c>
      <c r="AB126" s="386">
        <f t="shared" si="71"/>
        <v>8.3428813424429774E-2</v>
      </c>
      <c r="AC126" s="386">
        <f t="shared" si="72"/>
        <v>0.3985883520146335</v>
      </c>
      <c r="AD126">
        <f t="shared" si="73"/>
        <v>0</v>
      </c>
      <c r="AE126" s="386">
        <f t="shared" si="74"/>
        <v>0.49153098592379857</v>
      </c>
      <c r="AF126" s="386">
        <f t="shared" si="75"/>
        <v>2.9529720157088302</v>
      </c>
      <c r="AG126" s="386">
        <f t="shared" si="76"/>
        <v>8.7200437255594704E-2</v>
      </c>
      <c r="AH126" s="386">
        <f t="shared" si="77"/>
        <v>0.19239999999999999</v>
      </c>
      <c r="AI126" s="386">
        <f t="shared" si="78"/>
        <v>0.28537369010514613</v>
      </c>
      <c r="AJ126" s="386">
        <f t="shared" si="79"/>
        <v>0</v>
      </c>
      <c r="AK126" s="386">
        <f t="shared" si="80"/>
        <v>0</v>
      </c>
      <c r="AL126" s="386">
        <f t="shared" si="81"/>
        <v>0</v>
      </c>
      <c r="AM126">
        <f t="shared" si="82"/>
        <v>0</v>
      </c>
      <c r="AN126" s="386">
        <f t="shared" si="83"/>
        <v>0</v>
      </c>
      <c r="AO126" s="386">
        <f t="shared" si="84"/>
        <v>4.1307293627157966</v>
      </c>
      <c r="AP126" s="386">
        <f t="shared" si="85"/>
        <v>0.17062925068002449</v>
      </c>
      <c r="AQ126" s="386">
        <f t="shared" si="86"/>
        <v>0</v>
      </c>
      <c r="AR126" s="386">
        <f t="shared" si="87"/>
        <v>0.17766218341338519</v>
      </c>
      <c r="AS126" s="386">
        <f t="shared" si="88"/>
        <v>0.17062925068002449</v>
      </c>
      <c r="AT126" s="386">
        <f t="shared" si="89"/>
        <v>0</v>
      </c>
      <c r="AU126" s="386">
        <f t="shared" si="90"/>
        <v>9.1593499999999994E-2</v>
      </c>
      <c r="AV126" s="386">
        <f t="shared" si="91"/>
        <v>0.13080065588339207</v>
      </c>
      <c r="AW126" s="386">
        <f t="shared" si="92"/>
        <v>6.5920000000000006E-2</v>
      </c>
      <c r="AX126" s="386">
        <f t="shared" si="93"/>
        <v>3.6000000000000004E-2</v>
      </c>
      <c r="AY126" s="386">
        <f t="shared" si="94"/>
        <v>0.40226399999999995</v>
      </c>
      <c r="AZ126" s="386">
        <f t="shared" si="95"/>
        <v>0.30415082926829268</v>
      </c>
      <c r="BA126" s="386">
        <f t="shared" si="123"/>
        <v>0.43826399999999999</v>
      </c>
      <c r="BB126" s="386">
        <f t="shared" si="124"/>
        <v>2.457838704716095</v>
      </c>
      <c r="BC126">
        <f t="shared" si="96"/>
        <v>48</v>
      </c>
      <c r="BD126" s="604">
        <f t="shared" si="125"/>
        <v>0.95128925915555773</v>
      </c>
      <c r="BE126" s="614">
        <f t="shared" si="97"/>
        <v>33.821220183580316</v>
      </c>
      <c r="BF126" s="614">
        <f t="shared" si="98"/>
        <v>16.551674026098475</v>
      </c>
      <c r="BG126" s="9"/>
      <c r="BH126" s="4">
        <f t="shared" si="126"/>
        <v>95.128925915555769</v>
      </c>
      <c r="BI126" s="386">
        <f t="shared" si="127"/>
        <v>0.61155800700551077</v>
      </c>
      <c r="BJ126" s="386">
        <f t="shared" si="128"/>
        <v>1.0461603594423297</v>
      </c>
      <c r="BK126" s="386">
        <f t="shared" si="129"/>
        <v>0.31559954510514615</v>
      </c>
      <c r="BL126" s="386">
        <f t="shared" si="130"/>
        <v>0.13080065588339207</v>
      </c>
    </row>
    <row r="127" spans="7:64" x14ac:dyDescent="0.2">
      <c r="G127">
        <v>118</v>
      </c>
      <c r="H127" s="610">
        <f t="shared" si="59"/>
        <v>24.93</v>
      </c>
      <c r="I127" s="4" t="str">
        <f t="shared" si="60"/>
        <v>BUCK</v>
      </c>
      <c r="J127">
        <f t="shared" si="99"/>
        <v>1</v>
      </c>
      <c r="K127">
        <f t="shared" si="61"/>
        <v>4</v>
      </c>
      <c r="L127" s="4">
        <f t="shared" si="62"/>
        <v>2.1393234389624278</v>
      </c>
      <c r="M127" s="4">
        <f t="shared" si="63"/>
        <v>4</v>
      </c>
      <c r="N127" s="386">
        <f t="shared" si="64"/>
        <v>0.48630652260904361</v>
      </c>
      <c r="O127" s="386">
        <f t="shared" si="115"/>
        <v>0</v>
      </c>
      <c r="P127" s="4">
        <f t="shared" si="65"/>
        <v>3.5898873444720043</v>
      </c>
      <c r="Q127" s="386">
        <f t="shared" si="66"/>
        <v>4.1320625514182812</v>
      </c>
      <c r="R127" s="386">
        <f t="shared" si="116"/>
        <v>0.22951417965288379</v>
      </c>
      <c r="S127" s="386">
        <f t="shared" si="117"/>
        <v>0.38676123222181974</v>
      </c>
      <c r="T127" s="386">
        <f t="shared" si="118"/>
        <v>0.61627541187470358</v>
      </c>
      <c r="U127" s="4">
        <f t="shared" si="68"/>
        <v>1.0363112123456713</v>
      </c>
      <c r="V127" s="386">
        <f t="shared" si="119"/>
        <v>2.8996405078500584E-2</v>
      </c>
      <c r="W127" s="386">
        <f t="shared" si="120"/>
        <v>2.8996405078500584E-2</v>
      </c>
      <c r="X127" s="386">
        <f t="shared" si="69"/>
        <v>2.0652563218532904</v>
      </c>
      <c r="Y127" s="386">
        <f t="shared" si="121"/>
        <v>0.13648907759855941</v>
      </c>
      <c r="Z127" s="603">
        <f t="shared" si="122"/>
        <v>0.13648907759855941</v>
      </c>
      <c r="AA127" s="386">
        <f t="shared" si="70"/>
        <v>2.8815219659640241</v>
      </c>
      <c r="AB127" s="386">
        <f t="shared" si="71"/>
        <v>8.3031688403331749E-2</v>
      </c>
      <c r="AC127" s="386">
        <f t="shared" si="72"/>
        <v>0.40075852453013966</v>
      </c>
      <c r="AD127">
        <f t="shared" si="73"/>
        <v>0</v>
      </c>
      <c r="AE127" s="386">
        <f t="shared" si="74"/>
        <v>0.49329268338935967</v>
      </c>
      <c r="AF127" s="386">
        <f t="shared" si="75"/>
        <v>2.9615489340039924</v>
      </c>
      <c r="AG127" s="386">
        <f t="shared" si="76"/>
        <v>8.7707720885001839E-2</v>
      </c>
      <c r="AH127" s="386">
        <f t="shared" si="77"/>
        <v>0.19239999999999999</v>
      </c>
      <c r="AI127" s="386">
        <f t="shared" si="78"/>
        <v>0.28592579361545917</v>
      </c>
      <c r="AJ127" s="386">
        <f t="shared" si="79"/>
        <v>0</v>
      </c>
      <c r="AK127" s="386">
        <f t="shared" si="80"/>
        <v>0</v>
      </c>
      <c r="AL127" s="386">
        <f t="shared" si="81"/>
        <v>0</v>
      </c>
      <c r="AM127">
        <f t="shared" si="82"/>
        <v>0</v>
      </c>
      <c r="AN127" s="386">
        <f t="shared" si="83"/>
        <v>0</v>
      </c>
      <c r="AO127" s="386">
        <f t="shared" si="84"/>
        <v>4.1320625514182812</v>
      </c>
      <c r="AP127" s="386">
        <f t="shared" si="85"/>
        <v>0.17073940928833356</v>
      </c>
      <c r="AQ127" s="386">
        <f t="shared" si="86"/>
        <v>0</v>
      </c>
      <c r="AR127" s="386">
        <f t="shared" si="87"/>
        <v>0.1777816133001632</v>
      </c>
      <c r="AS127" s="386">
        <f t="shared" si="88"/>
        <v>0.17073940928833356</v>
      </c>
      <c r="AT127" s="386">
        <f t="shared" si="89"/>
        <v>0</v>
      </c>
      <c r="AU127" s="386">
        <f t="shared" si="90"/>
        <v>9.2093000000000008E-2</v>
      </c>
      <c r="AV127" s="386">
        <f t="shared" si="91"/>
        <v>0.13156158132750276</v>
      </c>
      <c r="AW127" s="386">
        <f t="shared" si="92"/>
        <v>6.5920000000000006E-2</v>
      </c>
      <c r="AX127" s="386">
        <f t="shared" si="93"/>
        <v>3.6000000000000004E-2</v>
      </c>
      <c r="AY127" s="386">
        <f t="shared" si="94"/>
        <v>0.40226399999999995</v>
      </c>
      <c r="AZ127" s="386">
        <f t="shared" si="95"/>
        <v>0.30415082926829268</v>
      </c>
      <c r="BA127" s="386">
        <f t="shared" si="123"/>
        <v>0.43826399999999999</v>
      </c>
      <c r="BB127" s="386">
        <f t="shared" si="124"/>
        <v>2.4665995661842484</v>
      </c>
      <c r="BC127">
        <f t="shared" si="96"/>
        <v>48</v>
      </c>
      <c r="BD127" s="604">
        <f t="shared" si="125"/>
        <v>0.95112411798323293</v>
      </c>
      <c r="BE127" s="614">
        <f t="shared" si="97"/>
        <v>33.952369636582866</v>
      </c>
      <c r="BF127" s="614">
        <f t="shared" si="98"/>
        <v>16.583696029696632</v>
      </c>
      <c r="BG127" s="9"/>
      <c r="BH127" s="4">
        <f t="shared" si="126"/>
        <v>95.112411798323294</v>
      </c>
      <c r="BI127" s="386">
        <f t="shared" si="127"/>
        <v>0.61627541187470358</v>
      </c>
      <c r="BJ127" s="386">
        <f t="shared" si="128"/>
        <v>1.049093090304982</v>
      </c>
      <c r="BK127" s="386">
        <f t="shared" si="129"/>
        <v>0.31631648361545917</v>
      </c>
      <c r="BL127" s="386">
        <f t="shared" si="130"/>
        <v>0.13156158132750276</v>
      </c>
    </row>
    <row r="128" spans="7:64" x14ac:dyDescent="0.2">
      <c r="G128">
        <v>119</v>
      </c>
      <c r="H128" s="610">
        <f t="shared" si="59"/>
        <v>25.064999999999998</v>
      </c>
      <c r="I128" s="4" t="str">
        <f t="shared" si="60"/>
        <v>BUCK</v>
      </c>
      <c r="J128">
        <f t="shared" si="99"/>
        <v>1</v>
      </c>
      <c r="K128">
        <f t="shared" si="61"/>
        <v>4</v>
      </c>
      <c r="L128" s="4">
        <f t="shared" si="62"/>
        <v>2.1278010506017688</v>
      </c>
      <c r="M128" s="4">
        <f t="shared" si="63"/>
        <v>4</v>
      </c>
      <c r="N128" s="386">
        <f t="shared" si="64"/>
        <v>0.48369353233830847</v>
      </c>
      <c r="O128" s="386">
        <f t="shared" si="115"/>
        <v>0</v>
      </c>
      <c r="P128" s="4">
        <f t="shared" si="65"/>
        <v>3.6081479242087435</v>
      </c>
      <c r="Q128" s="386">
        <f t="shared" si="66"/>
        <v>4.1333877494029423</v>
      </c>
      <c r="R128" s="386">
        <f t="shared" si="116"/>
        <v>0.22966412395416086</v>
      </c>
      <c r="S128" s="386">
        <f t="shared" si="117"/>
        <v>0.3913089954893601</v>
      </c>
      <c r="T128" s="386">
        <f t="shared" si="118"/>
        <v>0.62097311944352096</v>
      </c>
      <c r="U128" s="4">
        <f t="shared" si="68"/>
        <v>1.0415825876589537</v>
      </c>
      <c r="V128" s="386">
        <f t="shared" si="119"/>
        <v>2.9292145746686697E-2</v>
      </c>
      <c r="W128" s="386">
        <f t="shared" si="120"/>
        <v>2.9292145746686697E-2</v>
      </c>
      <c r="X128" s="386">
        <f t="shared" si="69"/>
        <v>2.0655945108305036</v>
      </c>
      <c r="Y128" s="386">
        <f t="shared" si="121"/>
        <v>0.13653378186153944</v>
      </c>
      <c r="Z128" s="603">
        <f t="shared" si="122"/>
        <v>0.13653378186153944</v>
      </c>
      <c r="AA128" s="386">
        <f t="shared" si="70"/>
        <v>2.8746917864814958</v>
      </c>
      <c r="AB128" s="386">
        <f t="shared" si="71"/>
        <v>8.2638528672641737E-2</v>
      </c>
      <c r="AC128" s="386">
        <f t="shared" si="72"/>
        <v>0.40292869704564582</v>
      </c>
      <c r="AD128">
        <f t="shared" si="73"/>
        <v>0</v>
      </c>
      <c r="AE128" s="386">
        <f t="shared" si="74"/>
        <v>0.49505855701425006</v>
      </c>
      <c r="AF128" s="386">
        <f t="shared" si="75"/>
        <v>2.9700238079264865</v>
      </c>
      <c r="AG128" s="386">
        <f t="shared" si="76"/>
        <v>8.8210414196501469E-2</v>
      </c>
      <c r="AH128" s="386">
        <f t="shared" si="77"/>
        <v>0.19239999999999999</v>
      </c>
      <c r="AI128" s="386">
        <f t="shared" si="78"/>
        <v>0.28647303211449726</v>
      </c>
      <c r="AJ128" s="386">
        <f t="shared" si="79"/>
        <v>0</v>
      </c>
      <c r="AK128" s="386">
        <f t="shared" si="80"/>
        <v>0</v>
      </c>
      <c r="AL128" s="386">
        <f t="shared" si="81"/>
        <v>0</v>
      </c>
      <c r="AM128">
        <f t="shared" si="82"/>
        <v>0</v>
      </c>
      <c r="AN128" s="386">
        <f t="shared" si="83"/>
        <v>0</v>
      </c>
      <c r="AO128" s="386">
        <f t="shared" si="84"/>
        <v>4.1333877494029423</v>
      </c>
      <c r="AP128" s="386">
        <f t="shared" si="85"/>
        <v>0.17084894286914321</v>
      </c>
      <c r="AQ128" s="386">
        <f t="shared" si="86"/>
        <v>0</v>
      </c>
      <c r="AR128" s="386">
        <f t="shared" si="87"/>
        <v>0.17790037185769958</v>
      </c>
      <c r="AS128" s="386">
        <f t="shared" si="88"/>
        <v>0.17084894286914321</v>
      </c>
      <c r="AT128" s="386">
        <f t="shared" si="89"/>
        <v>0</v>
      </c>
      <c r="AU128" s="386">
        <f t="shared" si="90"/>
        <v>9.2592499999999994E-2</v>
      </c>
      <c r="AV128" s="386">
        <f t="shared" si="91"/>
        <v>0.13231562129475219</v>
      </c>
      <c r="AW128" s="386">
        <f t="shared" si="92"/>
        <v>6.5920000000000006E-2</v>
      </c>
      <c r="AX128" s="386">
        <f t="shared" si="93"/>
        <v>3.6000000000000004E-2</v>
      </c>
      <c r="AY128" s="386">
        <f t="shared" si="94"/>
        <v>0.40226399999999995</v>
      </c>
      <c r="AZ128" s="386">
        <f t="shared" si="95"/>
        <v>0.30415082926829268</v>
      </c>
      <c r="BA128" s="386">
        <f t="shared" si="123"/>
        <v>0.43826399999999999</v>
      </c>
      <c r="BB128" s="386">
        <f t="shared" si="124"/>
        <v>2.4753231293329465</v>
      </c>
      <c r="BC128">
        <f t="shared" si="96"/>
        <v>48</v>
      </c>
      <c r="BD128" s="604">
        <f t="shared" si="125"/>
        <v>0.95095973684030854</v>
      </c>
      <c r="BE128" s="614">
        <f t="shared" si="97"/>
        <v>34.083761306826503</v>
      </c>
      <c r="BF128" s="614">
        <f t="shared" si="98"/>
        <v>16.61543586264084</v>
      </c>
      <c r="BG128" s="9"/>
      <c r="BH128" s="4">
        <f t="shared" si="126"/>
        <v>95.095973684030852</v>
      </c>
      <c r="BI128" s="386">
        <f t="shared" si="127"/>
        <v>0.62097311944352096</v>
      </c>
      <c r="BJ128" s="386">
        <f t="shared" si="128"/>
        <v>1.0520244609864469</v>
      </c>
      <c r="BK128" s="386">
        <f t="shared" si="129"/>
        <v>0.31702855711449729</v>
      </c>
      <c r="BL128" s="386">
        <f t="shared" si="130"/>
        <v>0.13231562129475219</v>
      </c>
    </row>
    <row r="129" spans="7:64" x14ac:dyDescent="0.2">
      <c r="G129">
        <v>120</v>
      </c>
      <c r="H129" s="610">
        <f t="shared" si="59"/>
        <v>25.2</v>
      </c>
      <c r="I129" s="4" t="str">
        <f t="shared" si="60"/>
        <v>BUCK</v>
      </c>
      <c r="J129">
        <f t="shared" si="99"/>
        <v>1</v>
      </c>
      <c r="K129">
        <f t="shared" si="61"/>
        <v>4</v>
      </c>
      <c r="L129" s="4">
        <f t="shared" si="62"/>
        <v>2.1164021164021163</v>
      </c>
      <c r="M129" s="4">
        <f t="shared" si="63"/>
        <v>4</v>
      </c>
      <c r="N129" s="386">
        <f t="shared" si="64"/>
        <v>0.48110847189231987</v>
      </c>
      <c r="O129" s="386">
        <f t="shared" si="115"/>
        <v>0</v>
      </c>
      <c r="P129" s="4">
        <f t="shared" si="65"/>
        <v>3.6262133196015034</v>
      </c>
      <c r="Q129" s="386">
        <f t="shared" si="66"/>
        <v>4.1347049777791014</v>
      </c>
      <c r="R129" s="386">
        <f t="shared" si="116"/>
        <v>0.22981321765596552</v>
      </c>
      <c r="S129" s="386">
        <f t="shared" si="117"/>
        <v>0.39583777926305402</v>
      </c>
      <c r="T129" s="386">
        <f t="shared" si="118"/>
        <v>0.6256509969190196</v>
      </c>
      <c r="U129" s="4">
        <f t="shared" si="68"/>
        <v>1.0467976181054672</v>
      </c>
      <c r="V129" s="386">
        <f t="shared" si="119"/>
        <v>2.9586201838324548E-2</v>
      </c>
      <c r="W129" s="386">
        <f t="shared" si="120"/>
        <v>2.9586201838324548E-2</v>
      </c>
      <c r="X129" s="386">
        <f t="shared" si="69"/>
        <v>2.0658763277003107</v>
      </c>
      <c r="Y129" s="386">
        <f t="shared" si="121"/>
        <v>0.13657104004328072</v>
      </c>
      <c r="Z129" s="603">
        <f t="shared" si="122"/>
        <v>0.13657104004328072</v>
      </c>
      <c r="AA129" s="386">
        <f t="shared" si="70"/>
        <v>2.8679133736918558</v>
      </c>
      <c r="AB129" s="386">
        <f t="shared" si="71"/>
        <v>8.2249271190006024E-2</v>
      </c>
      <c r="AC129" s="386">
        <f t="shared" si="72"/>
        <v>0.40509886956115199</v>
      </c>
      <c r="AD129">
        <f t="shared" si="73"/>
        <v>0</v>
      </c>
      <c r="AE129" s="386">
        <f t="shared" si="74"/>
        <v>0.49682853892521267</v>
      </c>
      <c r="AF129" s="386">
        <f t="shared" si="75"/>
        <v>2.9783985855272421</v>
      </c>
      <c r="AG129" s="386">
        <f t="shared" si="76"/>
        <v>8.870858134270676E-2</v>
      </c>
      <c r="AH129" s="386">
        <f t="shared" si="77"/>
        <v>0.19239999999999999</v>
      </c>
      <c r="AI129" s="386">
        <f t="shared" si="78"/>
        <v>0.28701547194143179</v>
      </c>
      <c r="AJ129" s="386">
        <f t="shared" si="79"/>
        <v>0</v>
      </c>
      <c r="AK129" s="386">
        <f t="shared" si="80"/>
        <v>0</v>
      </c>
      <c r="AL129" s="386">
        <f t="shared" si="81"/>
        <v>0</v>
      </c>
      <c r="AM129">
        <f t="shared" si="82"/>
        <v>0</v>
      </c>
      <c r="AN129" s="386">
        <f t="shared" si="83"/>
        <v>0</v>
      </c>
      <c r="AO129" s="386">
        <f t="shared" si="84"/>
        <v>4.1347049777791014</v>
      </c>
      <c r="AP129" s="386">
        <f t="shared" si="85"/>
        <v>0.17095785253271281</v>
      </c>
      <c r="AQ129" s="386">
        <f t="shared" si="86"/>
        <v>0</v>
      </c>
      <c r="AR129" s="386">
        <f t="shared" si="87"/>
        <v>0.17801846018276685</v>
      </c>
      <c r="AS129" s="386">
        <f t="shared" si="88"/>
        <v>0.17095785253271281</v>
      </c>
      <c r="AT129" s="386">
        <f t="shared" si="89"/>
        <v>0</v>
      </c>
      <c r="AU129" s="386">
        <f t="shared" si="90"/>
        <v>9.3092000000000008E-2</v>
      </c>
      <c r="AV129" s="386">
        <f t="shared" si="91"/>
        <v>0.13306287201406014</v>
      </c>
      <c r="AW129" s="386">
        <f t="shared" si="92"/>
        <v>6.5920000000000006E-2</v>
      </c>
      <c r="AX129" s="386">
        <f t="shared" si="93"/>
        <v>3.6000000000000004E-2</v>
      </c>
      <c r="AY129" s="386">
        <f t="shared" si="94"/>
        <v>0.40226399999999995</v>
      </c>
      <c r="AZ129" s="386">
        <f t="shared" si="95"/>
        <v>0.30415082926829268</v>
      </c>
      <c r="BA129" s="386">
        <f t="shared" si="123"/>
        <v>0.43826399999999999</v>
      </c>
      <c r="BB129" s="386">
        <f t="shared" si="124"/>
        <v>2.4840095818640964</v>
      </c>
      <c r="BC129">
        <f t="shared" si="96"/>
        <v>48</v>
      </c>
      <c r="BD129" s="604">
        <f t="shared" si="125"/>
        <v>0.95079611143334286</v>
      </c>
      <c r="BE129" s="614">
        <f t="shared" si="97"/>
        <v>34.215391257662333</v>
      </c>
      <c r="BF129" s="614">
        <f t="shared" si="98"/>
        <v>16.646897372603043</v>
      </c>
      <c r="BG129" s="9"/>
      <c r="BH129" s="4">
        <f t="shared" si="126"/>
        <v>95.07961114333429</v>
      </c>
      <c r="BI129" s="386">
        <f t="shared" si="127"/>
        <v>0.6256509969190196</v>
      </c>
      <c r="BJ129" s="386">
        <f t="shared" si="128"/>
        <v>1.0549544710494112</v>
      </c>
      <c r="BK129" s="386">
        <f t="shared" si="129"/>
        <v>0.31773583194143179</v>
      </c>
      <c r="BL129" s="386">
        <f t="shared" si="130"/>
        <v>0.13306287201406014</v>
      </c>
    </row>
    <row r="130" spans="7:64" x14ac:dyDescent="0.2">
      <c r="G130">
        <v>121</v>
      </c>
      <c r="H130" s="610">
        <f t="shared" si="59"/>
        <v>25.335000000000001</v>
      </c>
      <c r="I130" s="4" t="str">
        <f t="shared" si="60"/>
        <v>BUCK</v>
      </c>
      <c r="J130">
        <f t="shared" si="99"/>
        <v>1</v>
      </c>
      <c r="K130">
        <f t="shared" si="61"/>
        <v>4</v>
      </c>
      <c r="L130" s="4">
        <f t="shared" si="62"/>
        <v>2.1051246628511282</v>
      </c>
      <c r="M130" s="4">
        <f t="shared" si="63"/>
        <v>4</v>
      </c>
      <c r="N130" s="386">
        <f t="shared" si="64"/>
        <v>0.47855089584563887</v>
      </c>
      <c r="O130" s="386">
        <f t="shared" si="115"/>
        <v>0</v>
      </c>
      <c r="P130" s="4">
        <f t="shared" si="65"/>
        <v>3.6440866434543531</v>
      </c>
      <c r="Q130" s="386">
        <f t="shared" si="66"/>
        <v>4.136014259576104</v>
      </c>
      <c r="R130" s="386">
        <f t="shared" si="116"/>
        <v>0.22996146244406498</v>
      </c>
      <c r="S130" s="386">
        <f t="shared" si="117"/>
        <v>0.40034746025990048</v>
      </c>
      <c r="T130" s="386">
        <f t="shared" si="118"/>
        <v>0.63030892270396544</v>
      </c>
      <c r="U130" s="4">
        <f t="shared" si="68"/>
        <v>1.0519572022743453</v>
      </c>
      <c r="V130" s="386">
        <f t="shared" si="119"/>
        <v>2.9878576796255434E-2</v>
      </c>
      <c r="W130" s="386">
        <f t="shared" si="120"/>
        <v>2.9878576796255434E-2</v>
      </c>
      <c r="X130" s="386">
        <f t="shared" si="69"/>
        <v>2.0661034220073917</v>
      </c>
      <c r="Y130" s="386">
        <f t="shared" si="121"/>
        <v>0.13660106721378093</v>
      </c>
      <c r="Z130" s="603">
        <f t="shared" si="122"/>
        <v>0.13660106721378093</v>
      </c>
      <c r="AA130" s="386">
        <f t="shared" si="70"/>
        <v>2.8611860186381191</v>
      </c>
      <c r="AB130" s="386">
        <f t="shared" si="71"/>
        <v>8.1863854332502511E-2</v>
      </c>
      <c r="AC130" s="386">
        <f t="shared" si="72"/>
        <v>0.40726904207665815</v>
      </c>
      <c r="AD130">
        <f t="shared" si="73"/>
        <v>0</v>
      </c>
      <c r="AE130" s="386">
        <f t="shared" si="74"/>
        <v>0.49860256280571136</v>
      </c>
      <c r="AF130" s="386">
        <f t="shared" si="75"/>
        <v>2.9866751618089671</v>
      </c>
      <c r="AG130" s="386">
        <f t="shared" si="76"/>
        <v>8.9202285221666192E-2</v>
      </c>
      <c r="AH130" s="386">
        <f t="shared" si="77"/>
        <v>0.19239999999999999</v>
      </c>
      <c r="AI130" s="386">
        <f t="shared" si="78"/>
        <v>0.28755317816434917</v>
      </c>
      <c r="AJ130" s="386">
        <f t="shared" si="79"/>
        <v>0</v>
      </c>
      <c r="AK130" s="386">
        <f t="shared" si="80"/>
        <v>0</v>
      </c>
      <c r="AL130" s="386">
        <f t="shared" si="81"/>
        <v>0</v>
      </c>
      <c r="AM130">
        <f t="shared" si="82"/>
        <v>0</v>
      </c>
      <c r="AN130" s="386">
        <f t="shared" si="83"/>
        <v>0</v>
      </c>
      <c r="AO130" s="386">
        <f t="shared" si="84"/>
        <v>4.136014259576104</v>
      </c>
      <c r="AP130" s="386">
        <f t="shared" si="85"/>
        <v>0.17106613955416869</v>
      </c>
      <c r="AQ130" s="386">
        <f t="shared" si="86"/>
        <v>0</v>
      </c>
      <c r="AR130" s="386">
        <f t="shared" si="87"/>
        <v>0.17813587955176216</v>
      </c>
      <c r="AS130" s="386">
        <f t="shared" si="88"/>
        <v>0.17106613955416869</v>
      </c>
      <c r="AT130" s="386">
        <f t="shared" si="89"/>
        <v>0</v>
      </c>
      <c r="AU130" s="386">
        <f t="shared" si="90"/>
        <v>9.3591500000000008E-2</v>
      </c>
      <c r="AV130" s="386">
        <f t="shared" si="91"/>
        <v>0.13380342783249929</v>
      </c>
      <c r="AW130" s="386">
        <f t="shared" si="92"/>
        <v>6.5920000000000006E-2</v>
      </c>
      <c r="AX130" s="386">
        <f t="shared" si="93"/>
        <v>3.6000000000000004E-2</v>
      </c>
      <c r="AY130" s="386">
        <f t="shared" si="94"/>
        <v>0.40226399999999995</v>
      </c>
      <c r="AZ130" s="386">
        <f t="shared" si="95"/>
        <v>0.30415082926829268</v>
      </c>
      <c r="BA130" s="386">
        <f t="shared" si="123"/>
        <v>0.43826399999999999</v>
      </c>
      <c r="BB130" s="386">
        <f t="shared" si="124"/>
        <v>2.4926591150683239</v>
      </c>
      <c r="BC130">
        <f t="shared" si="96"/>
        <v>48</v>
      </c>
      <c r="BD130" s="604">
        <f t="shared" si="125"/>
        <v>0.95063323741006056</v>
      </c>
      <c r="BE130" s="614">
        <f t="shared" si="97"/>
        <v>34.347255642731263</v>
      </c>
      <c r="BF130" s="614">
        <f t="shared" si="98"/>
        <v>16.678084333532251</v>
      </c>
      <c r="BG130" s="9"/>
      <c r="BH130" s="4">
        <f t="shared" si="126"/>
        <v>95.063323741006059</v>
      </c>
      <c r="BI130" s="386">
        <f t="shared" si="127"/>
        <v>0.63030892270396544</v>
      </c>
      <c r="BJ130" s="386">
        <f t="shared" si="128"/>
        <v>1.0578831205218227</v>
      </c>
      <c r="BK130" s="386">
        <f t="shared" si="129"/>
        <v>0.3184383731643492</v>
      </c>
      <c r="BL130" s="386">
        <f t="shared" si="130"/>
        <v>0.13380342783249929</v>
      </c>
    </row>
    <row r="131" spans="7:64" x14ac:dyDescent="0.2">
      <c r="G131">
        <v>122</v>
      </c>
      <c r="H131" s="610">
        <f t="shared" si="59"/>
        <v>25.47</v>
      </c>
      <c r="I131" s="4" t="str">
        <f t="shared" si="60"/>
        <v>BUCK</v>
      </c>
      <c r="J131">
        <f t="shared" si="99"/>
        <v>1</v>
      </c>
      <c r="K131">
        <f t="shared" si="61"/>
        <v>4</v>
      </c>
      <c r="L131" s="4">
        <f t="shared" si="62"/>
        <v>2.0939667582777126</v>
      </c>
      <c r="M131" s="4">
        <f t="shared" si="63"/>
        <v>4</v>
      </c>
      <c r="N131" s="386">
        <f t="shared" si="64"/>
        <v>0.47602036819428123</v>
      </c>
      <c r="O131" s="386">
        <f t="shared" si="115"/>
        <v>0</v>
      </c>
      <c r="P131" s="4">
        <f t="shared" si="65"/>
        <v>3.6617709427306147</v>
      </c>
      <c r="Q131" s="386">
        <f t="shared" si="66"/>
        <v>4.1373156196281249</v>
      </c>
      <c r="R131" s="386">
        <f t="shared" si="116"/>
        <v>0.2301088602176849</v>
      </c>
      <c r="S131" s="386">
        <f t="shared" si="117"/>
        <v>0.40483792569744287</v>
      </c>
      <c r="T131" s="386">
        <f t="shared" si="118"/>
        <v>0.63494678591512776</v>
      </c>
      <c r="U131" s="4">
        <f t="shared" si="68"/>
        <v>1.0570622197481352</v>
      </c>
      <c r="V131" s="386">
        <f t="shared" si="119"/>
        <v>3.0169274483309083E-2</v>
      </c>
      <c r="W131" s="386">
        <f t="shared" si="120"/>
        <v>3.0169274483309083E-2</v>
      </c>
      <c r="X131" s="386">
        <f t="shared" si="69"/>
        <v>2.0662773896601387</v>
      </c>
      <c r="Y131" s="386">
        <f t="shared" si="121"/>
        <v>0.13662407203266294</v>
      </c>
      <c r="Z131" s="603">
        <f t="shared" si="122"/>
        <v>0.13662407203266294</v>
      </c>
      <c r="AA131" s="386">
        <f t="shared" si="70"/>
        <v>2.8545090270426061</v>
      </c>
      <c r="AB131" s="386">
        <f t="shared" si="71"/>
        <v>8.1482217854677255E-2</v>
      </c>
      <c r="AC131" s="386">
        <f t="shared" si="72"/>
        <v>0.40943921459216431</v>
      </c>
      <c r="AD131">
        <f t="shared" si="73"/>
        <v>0</v>
      </c>
      <c r="AE131" s="386">
        <f t="shared" si="74"/>
        <v>0.50038056384924556</v>
      </c>
      <c r="AF131" s="386">
        <f t="shared" si="75"/>
        <v>2.9948553806404625</v>
      </c>
      <c r="AG131" s="386">
        <f t="shared" si="76"/>
        <v>8.9691587509511297E-2</v>
      </c>
      <c r="AH131" s="386">
        <f t="shared" si="77"/>
        <v>0.19239999999999999</v>
      </c>
      <c r="AI131" s="386">
        <f t="shared" si="78"/>
        <v>0.28808621461286144</v>
      </c>
      <c r="AJ131" s="386">
        <f t="shared" si="79"/>
        <v>0</v>
      </c>
      <c r="AK131" s="386">
        <f t="shared" si="80"/>
        <v>0</v>
      </c>
      <c r="AL131" s="386">
        <f t="shared" si="81"/>
        <v>0</v>
      </c>
      <c r="AM131">
        <f t="shared" si="82"/>
        <v>0</v>
      </c>
      <c r="AN131" s="386">
        <f t="shared" si="83"/>
        <v>0</v>
      </c>
      <c r="AO131" s="386">
        <f t="shared" si="84"/>
        <v>4.1373156196281249</v>
      </c>
      <c r="AP131" s="386">
        <f t="shared" si="85"/>
        <v>0.17117380536418858</v>
      </c>
      <c r="AQ131" s="386">
        <f t="shared" si="86"/>
        <v>0</v>
      </c>
      <c r="AR131" s="386">
        <f t="shared" si="87"/>
        <v>0.17825263141064845</v>
      </c>
      <c r="AS131" s="386">
        <f t="shared" si="88"/>
        <v>0.17117380536418858</v>
      </c>
      <c r="AT131" s="386">
        <f t="shared" si="89"/>
        <v>0</v>
      </c>
      <c r="AU131" s="386">
        <f t="shared" si="90"/>
        <v>9.4091000000000008E-2</v>
      </c>
      <c r="AV131" s="386">
        <f t="shared" si="91"/>
        <v>0.13453738126426693</v>
      </c>
      <c r="AW131" s="386">
        <f t="shared" si="92"/>
        <v>6.5920000000000006E-2</v>
      </c>
      <c r="AX131" s="386">
        <f t="shared" si="93"/>
        <v>3.6000000000000004E-2</v>
      </c>
      <c r="AY131" s="386">
        <f t="shared" si="94"/>
        <v>0.40226399999999995</v>
      </c>
      <c r="AZ131" s="386">
        <f t="shared" si="95"/>
        <v>0.30415082926829268</v>
      </c>
      <c r="BA131" s="386">
        <f t="shared" si="123"/>
        <v>0.43826399999999999</v>
      </c>
      <c r="BB131" s="386">
        <f t="shared" si="124"/>
        <v>2.501271923568122</v>
      </c>
      <c r="BC131">
        <f t="shared" si="96"/>
        <v>48</v>
      </c>
      <c r="BD131" s="604">
        <f t="shared" si="125"/>
        <v>0.95047111036423593</v>
      </c>
      <c r="BE131" s="614">
        <f t="shared" si="97"/>
        <v>34.479350703256245</v>
      </c>
      <c r="BF131" s="614">
        <f t="shared" si="98"/>
        <v>16.709000447545964</v>
      </c>
      <c r="BG131" s="9"/>
      <c r="BH131" s="4">
        <f t="shared" si="126"/>
        <v>95.047111036423587</v>
      </c>
      <c r="BI131" s="386">
        <f t="shared" si="127"/>
        <v>0.63494678591512776</v>
      </c>
      <c r="BJ131" s="386">
        <f t="shared" si="128"/>
        <v>1.0608104098727553</v>
      </c>
      <c r="BK131" s="386">
        <f t="shared" si="129"/>
        <v>0.31913624461286144</v>
      </c>
      <c r="BL131" s="386">
        <f t="shared" si="130"/>
        <v>0.13453738126426693</v>
      </c>
    </row>
    <row r="132" spans="7:64" x14ac:dyDescent="0.2">
      <c r="G132">
        <v>123</v>
      </c>
      <c r="H132" s="610">
        <f t="shared" si="59"/>
        <v>25.605</v>
      </c>
      <c r="I132" s="4" t="str">
        <f t="shared" si="60"/>
        <v>BUCK</v>
      </c>
      <c r="J132">
        <f t="shared" si="99"/>
        <v>1</v>
      </c>
      <c r="K132">
        <f t="shared" si="61"/>
        <v>4</v>
      </c>
      <c r="L132" s="4">
        <f t="shared" si="62"/>
        <v>2.0829265117490072</v>
      </c>
      <c r="M132" s="4">
        <f t="shared" si="63"/>
        <v>4</v>
      </c>
      <c r="N132" s="386">
        <f t="shared" si="64"/>
        <v>0.47351646210792908</v>
      </c>
      <c r="O132" s="386">
        <f t="shared" si="115"/>
        <v>0</v>
      </c>
      <c r="P132" s="4">
        <f t="shared" si="65"/>
        <v>3.6792692002845082</v>
      </c>
      <c r="Q132" s="386">
        <f t="shared" si="66"/>
        <v>4.1386090844646732</v>
      </c>
      <c r="R132" s="386">
        <f t="shared" si="116"/>
        <v>0.23025541307739295</v>
      </c>
      <c r="S132" s="386">
        <f t="shared" si="117"/>
        <v>0.40930907284390333</v>
      </c>
      <c r="T132" s="386">
        <f t="shared" si="118"/>
        <v>0.63956448592129633</v>
      </c>
      <c r="U132" s="4">
        <f t="shared" si="68"/>
        <v>1.06211353160268</v>
      </c>
      <c r="V132" s="386">
        <f t="shared" si="119"/>
        <v>3.0458299158364961E-2</v>
      </c>
      <c r="W132" s="386">
        <f t="shared" si="120"/>
        <v>3.0458299158364961E-2</v>
      </c>
      <c r="X132" s="386">
        <f t="shared" si="69"/>
        <v>2.0663997750132297</v>
      </c>
      <c r="Y132" s="386">
        <f t="shared" si="121"/>
        <v>0.13664025696559126</v>
      </c>
      <c r="Z132" s="603">
        <f t="shared" si="122"/>
        <v>0.13664025696559126</v>
      </c>
      <c r="AA132" s="386">
        <f t="shared" si="70"/>
        <v>2.8478817188942078</v>
      </c>
      <c r="AB132" s="386">
        <f t="shared" si="71"/>
        <v>8.1104302848118287E-2</v>
      </c>
      <c r="AC132" s="386">
        <f t="shared" si="72"/>
        <v>0.41160938710767048</v>
      </c>
      <c r="AD132">
        <f t="shared" si="73"/>
        <v>0</v>
      </c>
      <c r="AE132" s="386">
        <f t="shared" si="74"/>
        <v>0.50216247871439523</v>
      </c>
      <c r="AF132" s="386">
        <f t="shared" si="75"/>
        <v>3.002941036584251</v>
      </c>
      <c r="AG132" s="386">
        <f t="shared" si="76"/>
        <v>9.0176548692016953E-2</v>
      </c>
      <c r="AH132" s="386">
        <f t="shared" si="77"/>
        <v>0.19239999999999999</v>
      </c>
      <c r="AI132" s="386">
        <f t="shared" si="78"/>
        <v>0.28861464390963815</v>
      </c>
      <c r="AJ132" s="386">
        <f t="shared" si="79"/>
        <v>0</v>
      </c>
      <c r="AK132" s="386">
        <f t="shared" si="80"/>
        <v>0</v>
      </c>
      <c r="AL132" s="386">
        <f t="shared" si="81"/>
        <v>0</v>
      </c>
      <c r="AM132">
        <f t="shared" si="82"/>
        <v>0</v>
      </c>
      <c r="AN132" s="386">
        <f t="shared" si="83"/>
        <v>0</v>
      </c>
      <c r="AO132" s="386">
        <f t="shared" si="84"/>
        <v>4.1386090844646732</v>
      </c>
      <c r="AP132" s="386">
        <f t="shared" si="85"/>
        <v>0.17128085154013523</v>
      </c>
      <c r="AQ132" s="386">
        <f t="shared" si="86"/>
        <v>0</v>
      </c>
      <c r="AR132" s="386">
        <f t="shared" si="87"/>
        <v>0.17836871736537882</v>
      </c>
      <c r="AS132" s="386">
        <f t="shared" si="88"/>
        <v>0.17128085154013523</v>
      </c>
      <c r="AT132" s="386">
        <f t="shared" si="89"/>
        <v>0</v>
      </c>
      <c r="AU132" s="386">
        <f t="shared" si="90"/>
        <v>9.4590500000000008E-2</v>
      </c>
      <c r="AV132" s="386">
        <f t="shared" si="91"/>
        <v>0.13526482303802542</v>
      </c>
      <c r="AW132" s="386">
        <f t="shared" si="92"/>
        <v>6.5920000000000006E-2</v>
      </c>
      <c r="AX132" s="386">
        <f t="shared" si="93"/>
        <v>3.6000000000000004E-2</v>
      </c>
      <c r="AY132" s="386">
        <f t="shared" si="94"/>
        <v>0.40226399999999995</v>
      </c>
      <c r="AZ132" s="386">
        <f t="shared" si="95"/>
        <v>0.30415082926829268</v>
      </c>
      <c r="BA132" s="386">
        <f t="shared" si="123"/>
        <v>0.43826399999999999</v>
      </c>
      <c r="BB132" s="386">
        <f t="shared" si="124"/>
        <v>2.5098482050726902</v>
      </c>
      <c r="BC132">
        <f t="shared" si="96"/>
        <v>48</v>
      </c>
      <c r="BD132" s="604">
        <f t="shared" si="125"/>
        <v>0.95030972584034357</v>
      </c>
      <c r="BE132" s="614">
        <f t="shared" si="97"/>
        <v>34.611672765434925</v>
      </c>
      <c r="BF132" s="614">
        <f t="shared" si="98"/>
        <v>16.739649346759013</v>
      </c>
      <c r="BG132" s="9"/>
      <c r="BH132" s="4">
        <f t="shared" si="126"/>
        <v>95.030972584034359</v>
      </c>
      <c r="BI132" s="386">
        <f t="shared" si="127"/>
        <v>0.63956448592129633</v>
      </c>
      <c r="BJ132" s="386">
        <f t="shared" si="128"/>
        <v>1.0637363399894122</v>
      </c>
      <c r="BK132" s="386">
        <f t="shared" si="129"/>
        <v>0.31982950890963813</v>
      </c>
      <c r="BL132" s="386">
        <f t="shared" si="130"/>
        <v>0.13526482303802542</v>
      </c>
    </row>
    <row r="133" spans="7:64" x14ac:dyDescent="0.2">
      <c r="G133">
        <v>124</v>
      </c>
      <c r="H133" s="610">
        <f t="shared" si="59"/>
        <v>25.74</v>
      </c>
      <c r="I133" s="4" t="str">
        <f t="shared" si="60"/>
        <v>BUCK</v>
      </c>
      <c r="J133">
        <f t="shared" si="99"/>
        <v>1</v>
      </c>
      <c r="K133">
        <f t="shared" si="61"/>
        <v>4</v>
      </c>
      <c r="L133" s="4">
        <f t="shared" si="62"/>
        <v>2.0720020720020718</v>
      </c>
      <c r="M133" s="4">
        <f t="shared" si="63"/>
        <v>4</v>
      </c>
      <c r="N133" s="386">
        <f t="shared" si="64"/>
        <v>0.47103875968992248</v>
      </c>
      <c r="O133" s="386">
        <f t="shared" si="115"/>
        <v>0</v>
      </c>
      <c r="P133" s="4">
        <f t="shared" si="65"/>
        <v>3.6965843365384181</v>
      </c>
      <c r="Q133" s="386">
        <f t="shared" si="66"/>
        <v>4.1398946822065126</v>
      </c>
      <c r="R133" s="386">
        <f t="shared" si="116"/>
        <v>0.23040112331356533</v>
      </c>
      <c r="S133" s="386">
        <f t="shared" si="117"/>
        <v>0.41376080858665593</v>
      </c>
      <c r="T133" s="386">
        <f t="shared" si="118"/>
        <v>0.6441619319002212</v>
      </c>
      <c r="U133" s="4">
        <f t="shared" si="68"/>
        <v>1.067111980891305</v>
      </c>
      <c r="V133" s="386">
        <f t="shared" si="119"/>
        <v>3.0745655453567652E-2</v>
      </c>
      <c r="W133" s="386">
        <f t="shared" si="120"/>
        <v>3.0745655453567652E-2</v>
      </c>
      <c r="X133" s="386">
        <f t="shared" si="69"/>
        <v>2.0664720728538972</v>
      </c>
      <c r="Y133" s="386">
        <f t="shared" si="121"/>
        <v>0.13664981849232266</v>
      </c>
      <c r="Z133" s="603">
        <f t="shared" si="122"/>
        <v>0.13664981849232266</v>
      </c>
      <c r="AA133" s="386">
        <f t="shared" si="70"/>
        <v>2.8413034280502236</v>
      </c>
      <c r="AB133" s="386">
        <f t="shared" si="71"/>
        <v>8.0730051702499528E-2</v>
      </c>
      <c r="AC133" s="386">
        <f t="shared" si="72"/>
        <v>0.4137795596231767</v>
      </c>
      <c r="AD133">
        <f t="shared" si="73"/>
        <v>0</v>
      </c>
      <c r="AE133" s="386">
        <f t="shared" si="74"/>
        <v>0.50394824548151707</v>
      </c>
      <c r="AF133" s="386">
        <f t="shared" si="75"/>
        <v>3.0109338766422304</v>
      </c>
      <c r="AG133" s="386">
        <f t="shared" si="76"/>
        <v>9.06572280951181E-2</v>
      </c>
      <c r="AH133" s="386">
        <f t="shared" si="77"/>
        <v>0.19239999999999999</v>
      </c>
      <c r="AI133" s="386">
        <f t="shared" si="78"/>
        <v>0.28913852750090485</v>
      </c>
      <c r="AJ133" s="386">
        <f t="shared" si="79"/>
        <v>0</v>
      </c>
      <c r="AK133" s="386">
        <f t="shared" si="80"/>
        <v>0</v>
      </c>
      <c r="AL133" s="386">
        <f t="shared" si="81"/>
        <v>0</v>
      </c>
      <c r="AM133">
        <f t="shared" si="82"/>
        <v>0</v>
      </c>
      <c r="AN133" s="386">
        <f t="shared" si="83"/>
        <v>0</v>
      </c>
      <c r="AO133" s="386">
        <f t="shared" si="84"/>
        <v>4.1398946822065126</v>
      </c>
      <c r="AP133" s="386">
        <f t="shared" si="85"/>
        <v>0.17138727979761761</v>
      </c>
      <c r="AQ133" s="386">
        <f t="shared" si="86"/>
        <v>0</v>
      </c>
      <c r="AR133" s="386">
        <f t="shared" si="87"/>
        <v>0.17848413917278103</v>
      </c>
      <c r="AS133" s="386">
        <f t="shared" si="88"/>
        <v>0.17138727979761761</v>
      </c>
      <c r="AT133" s="386">
        <f t="shared" si="89"/>
        <v>0</v>
      </c>
      <c r="AU133" s="386">
        <f t="shared" si="90"/>
        <v>9.5090000000000008E-2</v>
      </c>
      <c r="AV133" s="386">
        <f t="shared" si="91"/>
        <v>0.13598584214267714</v>
      </c>
      <c r="AW133" s="386">
        <f t="shared" si="92"/>
        <v>6.5920000000000006E-2</v>
      </c>
      <c r="AX133" s="386">
        <f t="shared" si="93"/>
        <v>3.6000000000000004E-2</v>
      </c>
      <c r="AY133" s="386">
        <f t="shared" si="94"/>
        <v>0.40226399999999995</v>
      </c>
      <c r="AZ133" s="386">
        <f t="shared" si="95"/>
        <v>0.30415082926829268</v>
      </c>
      <c r="BA133" s="386">
        <f t="shared" si="123"/>
        <v>0.43826399999999999</v>
      </c>
      <c r="BB133" s="386">
        <f t="shared" si="124"/>
        <v>2.5183881601439921</v>
      </c>
      <c r="BC133">
        <f t="shared" si="96"/>
        <v>48</v>
      </c>
      <c r="BD133" s="604">
        <f t="shared" si="125"/>
        <v>0.95014907933798942</v>
      </c>
      <c r="BE133" s="614">
        <f t="shared" si="97"/>
        <v>34.744218237927988</v>
      </c>
      <c r="BF133" s="614">
        <f t="shared" si="98"/>
        <v>16.770034595052483</v>
      </c>
      <c r="BG133" s="9"/>
      <c r="BH133" s="4">
        <f t="shared" si="126"/>
        <v>95.014907933798938</v>
      </c>
      <c r="BI133" s="386">
        <f t="shared" si="127"/>
        <v>0.6441619319002212</v>
      </c>
      <c r="BJ133" s="386">
        <f t="shared" si="128"/>
        <v>1.0666609121552031</v>
      </c>
      <c r="BK133" s="386">
        <f t="shared" si="129"/>
        <v>0.32051822750090486</v>
      </c>
      <c r="BL133" s="386">
        <f t="shared" si="130"/>
        <v>0.13598584214267714</v>
      </c>
    </row>
    <row r="134" spans="7:64" x14ac:dyDescent="0.2">
      <c r="G134">
        <v>125</v>
      </c>
      <c r="H134" s="610">
        <f t="shared" si="59"/>
        <v>25.875</v>
      </c>
      <c r="I134" s="4" t="str">
        <f t="shared" si="60"/>
        <v>BUCK</v>
      </c>
      <c r="J134">
        <f t="shared" si="99"/>
        <v>1</v>
      </c>
      <c r="K134">
        <f t="shared" si="61"/>
        <v>4</v>
      </c>
      <c r="L134" s="4">
        <f t="shared" si="62"/>
        <v>2.0611916264090175</v>
      </c>
      <c r="M134" s="4">
        <f t="shared" si="63"/>
        <v>4</v>
      </c>
      <c r="N134" s="386">
        <f t="shared" si="64"/>
        <v>0.46858685174474646</v>
      </c>
      <c r="O134" s="386">
        <f t="shared" si="115"/>
        <v>0</v>
      </c>
      <c r="P134" s="4">
        <f t="shared" si="65"/>
        <v>3.7137192111077888</v>
      </c>
      <c r="Q134" s="386">
        <f t="shared" si="66"/>
        <v>4.1411724424667371</v>
      </c>
      <c r="R134" s="386">
        <f t="shared" si="116"/>
        <v>0.23054599339540943</v>
      </c>
      <c r="S134" s="386">
        <f t="shared" si="117"/>
        <v>0.41819304901824644</v>
      </c>
      <c r="T134" s="386">
        <f t="shared" si="118"/>
        <v>0.64873904241365588</v>
      </c>
      <c r="U134" s="4">
        <f t="shared" si="68"/>
        <v>1.0720583931138834</v>
      </c>
      <c r="V134" s="386">
        <f t="shared" si="119"/>
        <v>3.103134835263989E-2</v>
      </c>
      <c r="W134" s="386">
        <f t="shared" si="120"/>
        <v>3.103134835263989E-2</v>
      </c>
      <c r="X134" s="386">
        <f t="shared" si="69"/>
        <v>2.0664957302971114</v>
      </c>
      <c r="Y134" s="386">
        <f t="shared" si="121"/>
        <v>0.13665294730675814</v>
      </c>
      <c r="Z134" s="603">
        <f t="shared" si="122"/>
        <v>0.13665294730675814</v>
      </c>
      <c r="AA134" s="386">
        <f t="shared" si="70"/>
        <v>2.8347735018521809</v>
      </c>
      <c r="AB134" s="386">
        <f t="shared" si="71"/>
        <v>8.0359408068032767E-2</v>
      </c>
      <c r="AC134" s="386">
        <f t="shared" si="72"/>
        <v>0.41594973213868286</v>
      </c>
      <c r="AD134">
        <f t="shared" si="73"/>
        <v>0</v>
      </c>
      <c r="AE134" s="386">
        <f t="shared" si="74"/>
        <v>0.50573780361102327</v>
      </c>
      <c r="AF134" s="386">
        <f t="shared" si="75"/>
        <v>3.0188356019238016</v>
      </c>
      <c r="AG134" s="386">
        <f t="shared" si="76"/>
        <v>9.1133683914426417E-2</v>
      </c>
      <c r="AH134" s="386">
        <f t="shared" si="77"/>
        <v>0.19239999999999999</v>
      </c>
      <c r="AI134" s="386">
        <f t="shared" si="78"/>
        <v>0.28965792568594945</v>
      </c>
      <c r="AJ134" s="386">
        <f t="shared" si="79"/>
        <v>0</v>
      </c>
      <c r="AK134" s="386">
        <f t="shared" si="80"/>
        <v>0</v>
      </c>
      <c r="AL134" s="386">
        <f t="shared" si="81"/>
        <v>0</v>
      </c>
      <c r="AM134">
        <f t="shared" si="82"/>
        <v>0</v>
      </c>
      <c r="AN134" s="386">
        <f t="shared" si="83"/>
        <v>0</v>
      </c>
      <c r="AO134" s="386">
        <f t="shared" si="84"/>
        <v>4.1411724424667371</v>
      </c>
      <c r="AP134" s="386">
        <f t="shared" si="85"/>
        <v>0.17149309198245921</v>
      </c>
      <c r="AQ134" s="386">
        <f t="shared" si="86"/>
        <v>0</v>
      </c>
      <c r="AR134" s="386">
        <f t="shared" si="87"/>
        <v>0.17859889873187978</v>
      </c>
      <c r="AS134" s="386">
        <f t="shared" si="88"/>
        <v>0.17149309198245921</v>
      </c>
      <c r="AT134" s="386">
        <f t="shared" si="89"/>
        <v>0</v>
      </c>
      <c r="AU134" s="386">
        <f t="shared" si="90"/>
        <v>9.5589500000000008E-2</v>
      </c>
      <c r="AV134" s="386">
        <f t="shared" si="91"/>
        <v>0.13670052587163961</v>
      </c>
      <c r="AW134" s="386">
        <f t="shared" si="92"/>
        <v>6.5920000000000006E-2</v>
      </c>
      <c r="AX134" s="386">
        <f t="shared" si="93"/>
        <v>3.6000000000000004E-2</v>
      </c>
      <c r="AY134" s="386">
        <f t="shared" si="94"/>
        <v>0.40226399999999995</v>
      </c>
      <c r="AZ134" s="386">
        <f t="shared" si="95"/>
        <v>0.30415082926829268</v>
      </c>
      <c r="BA134" s="386">
        <f t="shared" si="123"/>
        <v>0.43826399999999999</v>
      </c>
      <c r="BB134" s="386">
        <f t="shared" si="124"/>
        <v>2.5268919919735469</v>
      </c>
      <c r="BC134">
        <f t="shared" si="96"/>
        <v>48</v>
      </c>
      <c r="BD134" s="604">
        <f t="shared" si="125"/>
        <v>0.94998916631612806</v>
      </c>
      <c r="BE134" s="614">
        <f t="shared" si="97"/>
        <v>34.87698360943935</v>
      </c>
      <c r="BF134" s="614">
        <f t="shared" si="98"/>
        <v>16.800159689785069</v>
      </c>
      <c r="BG134" s="9"/>
      <c r="BH134" s="4">
        <f t="shared" si="126"/>
        <v>94.998916631612801</v>
      </c>
      <c r="BI134" s="386">
        <f t="shared" si="127"/>
        <v>0.64873904241365588</v>
      </c>
      <c r="BJ134" s="386">
        <f t="shared" si="128"/>
        <v>1.0695841280288525</v>
      </c>
      <c r="BK134" s="386">
        <f t="shared" si="129"/>
        <v>0.32120246068594943</v>
      </c>
      <c r="BL134" s="386">
        <f t="shared" si="130"/>
        <v>0.13670052587163961</v>
      </c>
    </row>
    <row r="135" spans="7:64" x14ac:dyDescent="0.2">
      <c r="G135">
        <v>126</v>
      </c>
      <c r="H135" s="610">
        <f t="shared" si="59"/>
        <v>26.01</v>
      </c>
      <c r="I135" s="4" t="str">
        <f t="shared" si="60"/>
        <v>BUCK</v>
      </c>
      <c r="J135">
        <f t="shared" si="99"/>
        <v>1</v>
      </c>
      <c r="K135">
        <f t="shared" si="61"/>
        <v>4</v>
      </c>
      <c r="L135" s="4">
        <f t="shared" si="62"/>
        <v>2.0504933999743686</v>
      </c>
      <c r="M135" s="4">
        <f t="shared" si="63"/>
        <v>4</v>
      </c>
      <c r="N135" s="386">
        <f t="shared" si="64"/>
        <v>0.46616033755274255</v>
      </c>
      <c r="O135" s="386">
        <f t="shared" si="115"/>
        <v>0</v>
      </c>
      <c r="P135" s="4">
        <f t="shared" si="65"/>
        <v>3.7306766243755205</v>
      </c>
      <c r="Q135" s="386">
        <f t="shared" si="66"/>
        <v>4.1424423962567252</v>
      </c>
      <c r="R135" s="386">
        <f t="shared" si="116"/>
        <v>0.23069002596051133</v>
      </c>
      <c r="S135" s="386">
        <f t="shared" si="117"/>
        <v>0.42260571903924354</v>
      </c>
      <c r="T135" s="386">
        <f t="shared" si="118"/>
        <v>0.65329574499975485</v>
      </c>
      <c r="U135" s="4">
        <f t="shared" si="68"/>
        <v>1.0769535766713256</v>
      </c>
      <c r="V135" s="386">
        <f t="shared" si="119"/>
        <v>3.1315383170239346E-2</v>
      </c>
      <c r="W135" s="386">
        <f t="shared" si="120"/>
        <v>3.1315383170239346E-2</v>
      </c>
      <c r="X135" s="386">
        <f t="shared" si="69"/>
        <v>2.0664721485945754</v>
      </c>
      <c r="Y135" s="386">
        <f t="shared" si="121"/>
        <v>0.13664982850934657</v>
      </c>
      <c r="Z135" s="603">
        <f t="shared" si="122"/>
        <v>0.13664982850934657</v>
      </c>
      <c r="AA135" s="386">
        <f t="shared" si="70"/>
        <v>2.8282913007550259</v>
      </c>
      <c r="AB135" s="386">
        <f t="shared" si="71"/>
        <v>7.9992316819265566E-2</v>
      </c>
      <c r="AC135" s="386">
        <f t="shared" si="72"/>
        <v>0.41811990465418902</v>
      </c>
      <c r="AD135">
        <f t="shared" si="73"/>
        <v>0</v>
      </c>
      <c r="AE135" s="386">
        <f t="shared" si="74"/>
        <v>0.50753109390317297</v>
      </c>
      <c r="AF135" s="386">
        <f t="shared" si="75"/>
        <v>3.0266478692405903</v>
      </c>
      <c r="AG135" s="386">
        <f t="shared" si="76"/>
        <v>9.1605973243786054E-2</v>
      </c>
      <c r="AH135" s="386">
        <f t="shared" si="77"/>
        <v>0.19239999999999999</v>
      </c>
      <c r="AI135" s="386">
        <f t="shared" si="78"/>
        <v>0.29017289764567605</v>
      </c>
      <c r="AJ135" s="386">
        <f t="shared" si="79"/>
        <v>0</v>
      </c>
      <c r="AK135" s="386">
        <f t="shared" si="80"/>
        <v>0</v>
      </c>
      <c r="AL135" s="386">
        <f t="shared" si="81"/>
        <v>0</v>
      </c>
      <c r="AM135">
        <f t="shared" si="82"/>
        <v>0</v>
      </c>
      <c r="AN135" s="386">
        <f t="shared" si="83"/>
        <v>0</v>
      </c>
      <c r="AO135" s="386">
        <f t="shared" si="84"/>
        <v>4.1424423962567252</v>
      </c>
      <c r="AP135" s="386">
        <f t="shared" si="85"/>
        <v>0.17159829006305161</v>
      </c>
      <c r="AQ135" s="386">
        <f t="shared" si="86"/>
        <v>0</v>
      </c>
      <c r="AR135" s="386">
        <f t="shared" si="87"/>
        <v>0.1787129980756339</v>
      </c>
      <c r="AS135" s="386">
        <f t="shared" si="88"/>
        <v>0.17159829006305161</v>
      </c>
      <c r="AT135" s="386">
        <f t="shared" si="89"/>
        <v>0</v>
      </c>
      <c r="AU135" s="386">
        <f t="shared" si="90"/>
        <v>9.6089000000000008E-2</v>
      </c>
      <c r="AV135" s="386">
        <f t="shared" si="91"/>
        <v>0.13740895986567908</v>
      </c>
      <c r="AW135" s="386">
        <f t="shared" si="92"/>
        <v>6.5920000000000006E-2</v>
      </c>
      <c r="AX135" s="386">
        <f t="shared" si="93"/>
        <v>3.6000000000000004E-2</v>
      </c>
      <c r="AY135" s="386">
        <f t="shared" si="94"/>
        <v>0.40226399999999995</v>
      </c>
      <c r="AZ135" s="386">
        <f t="shared" si="95"/>
        <v>0.30415082926829268</v>
      </c>
      <c r="BA135" s="386">
        <f t="shared" si="123"/>
        <v>0.43826399999999999</v>
      </c>
      <c r="BB135" s="386">
        <f t="shared" si="124"/>
        <v>2.5353599061695031</v>
      </c>
      <c r="BC135">
        <f t="shared" si="96"/>
        <v>48</v>
      </c>
      <c r="BD135" s="604">
        <f t="shared" si="125"/>
        <v>0.94982998219707981</v>
      </c>
      <c r="BE135" s="614">
        <f t="shared" si="97"/>
        <v>35.00996544638403</v>
      </c>
      <c r="BF135" s="614">
        <f t="shared" si="98"/>
        <v>16.830028063449213</v>
      </c>
      <c r="BG135" s="9"/>
      <c r="BH135" s="4">
        <f t="shared" si="126"/>
        <v>94.98299821970798</v>
      </c>
      <c r="BI135" s="386">
        <f t="shared" si="127"/>
        <v>0.65329574499975485</v>
      </c>
      <c r="BJ135" s="386">
        <f t="shared" si="128"/>
        <v>1.0725059896244831</v>
      </c>
      <c r="BK135" s="386">
        <f t="shared" si="129"/>
        <v>0.32188226764567607</v>
      </c>
      <c r="BL135" s="386">
        <f t="shared" si="130"/>
        <v>0.13740895986567908</v>
      </c>
    </row>
    <row r="136" spans="7:64" x14ac:dyDescent="0.2">
      <c r="G136">
        <v>127</v>
      </c>
      <c r="H136" s="610">
        <f t="shared" si="59"/>
        <v>26.145</v>
      </c>
      <c r="I136" s="4" t="str">
        <f t="shared" si="60"/>
        <v>BUCK</v>
      </c>
      <c r="J136">
        <f t="shared" si="99"/>
        <v>1</v>
      </c>
      <c r="K136">
        <f t="shared" si="61"/>
        <v>4</v>
      </c>
      <c r="L136" s="4">
        <f t="shared" si="62"/>
        <v>2.0399056543634857</v>
      </c>
      <c r="M136" s="4">
        <f t="shared" si="63"/>
        <v>4</v>
      </c>
      <c r="N136" s="386">
        <f t="shared" si="64"/>
        <v>0.46375882465178403</v>
      </c>
      <c r="O136" s="386">
        <f t="shared" si="115"/>
        <v>0</v>
      </c>
      <c r="P136" s="4">
        <f t="shared" si="65"/>
        <v>3.747459319017711</v>
      </c>
      <c r="Q136" s="386">
        <f t="shared" si="66"/>
        <v>4.1437045758967574</v>
      </c>
      <c r="R136" s="386">
        <f t="shared" si="116"/>
        <v>0.23083322380488766</v>
      </c>
      <c r="S136" s="386">
        <f t="shared" si="117"/>
        <v>0.42699875197721315</v>
      </c>
      <c r="T136" s="386">
        <f t="shared" si="118"/>
        <v>0.65783197578210084</v>
      </c>
      <c r="U136" s="4">
        <f t="shared" si="68"/>
        <v>1.0817983233060235</v>
      </c>
      <c r="V136" s="386">
        <f t="shared" si="119"/>
        <v>3.1597765532308544E-2</v>
      </c>
      <c r="W136" s="386">
        <f t="shared" si="120"/>
        <v>3.1597765532308544E-2</v>
      </c>
      <c r="X136" s="386">
        <f t="shared" si="69"/>
        <v>2.0664026848621311</v>
      </c>
      <c r="Y136" s="386">
        <f t="shared" si="121"/>
        <v>0.13664064179217358</v>
      </c>
      <c r="Z136" s="603">
        <f t="shared" si="122"/>
        <v>0.13664064179217358</v>
      </c>
      <c r="AA136" s="386">
        <f t="shared" si="70"/>
        <v>2.8218561979691521</v>
      </c>
      <c r="AB136" s="386">
        <f t="shared" si="71"/>
        <v>7.9628724020169184E-2</v>
      </c>
      <c r="AC136" s="386">
        <f t="shared" si="72"/>
        <v>0.42029007716969519</v>
      </c>
      <c r="AD136">
        <f t="shared" si="73"/>
        <v>0</v>
      </c>
      <c r="AE136" s="386">
        <f t="shared" si="74"/>
        <v>0.50932805845931051</v>
      </c>
      <c r="AF136" s="386">
        <f t="shared" si="75"/>
        <v>3.0343722926316752</v>
      </c>
      <c r="AG136" s="386">
        <f t="shared" si="76"/>
        <v>9.2074152102908077E-2</v>
      </c>
      <c r="AH136" s="386">
        <f t="shared" si="77"/>
        <v>0.19239999999999999</v>
      </c>
      <c r="AI136" s="386">
        <f t="shared" si="78"/>
        <v>0.29068350147024519</v>
      </c>
      <c r="AJ136" s="386">
        <f t="shared" si="79"/>
        <v>0</v>
      </c>
      <c r="AK136" s="386">
        <f t="shared" si="80"/>
        <v>0</v>
      </c>
      <c r="AL136" s="386">
        <f t="shared" si="81"/>
        <v>0</v>
      </c>
      <c r="AM136">
        <f t="shared" si="82"/>
        <v>0</v>
      </c>
      <c r="AN136" s="386">
        <f t="shared" si="83"/>
        <v>0</v>
      </c>
      <c r="AO136" s="386">
        <f t="shared" si="84"/>
        <v>4.1437045758967574</v>
      </c>
      <c r="AP136" s="386">
        <f t="shared" si="85"/>
        <v>0.17170287612307727</v>
      </c>
      <c r="AQ136" s="386">
        <f t="shared" si="86"/>
        <v>0</v>
      </c>
      <c r="AR136" s="386">
        <f t="shared" si="87"/>
        <v>0.17882643936307058</v>
      </c>
      <c r="AS136" s="386">
        <f t="shared" si="88"/>
        <v>0.17170287612307727</v>
      </c>
      <c r="AT136" s="386">
        <f t="shared" si="89"/>
        <v>0</v>
      </c>
      <c r="AU136" s="386">
        <f t="shared" si="90"/>
        <v>9.6588500000000008E-2</v>
      </c>
      <c r="AV136" s="386">
        <f t="shared" si="91"/>
        <v>0.13811122815436211</v>
      </c>
      <c r="AW136" s="386">
        <f t="shared" si="92"/>
        <v>6.5920000000000006E-2</v>
      </c>
      <c r="AX136" s="386">
        <f t="shared" si="93"/>
        <v>3.6000000000000004E-2</v>
      </c>
      <c r="AY136" s="386">
        <f t="shared" si="94"/>
        <v>0.40226399999999995</v>
      </c>
      <c r="AZ136" s="386">
        <f t="shared" si="95"/>
        <v>0.30415082926829268</v>
      </c>
      <c r="BA136" s="386">
        <f t="shared" si="123"/>
        <v>0.43826399999999999</v>
      </c>
      <c r="BB136" s="386">
        <f t="shared" si="124"/>
        <v>2.543792110553571</v>
      </c>
      <c r="BC136">
        <f t="shared" si="96"/>
        <v>48</v>
      </c>
      <c r="BD136" s="604">
        <f t="shared" si="125"/>
        <v>0.94967152237035213</v>
      </c>
      <c r="BE136" s="614">
        <f t="shared" si="97"/>
        <v>35.143160390640006</v>
      </c>
      <c r="BF136" s="614">
        <f t="shared" si="98"/>
        <v>16.859643085274222</v>
      </c>
      <c r="BG136" s="9"/>
      <c r="BH136" s="4">
        <f t="shared" si="126"/>
        <v>94.967152237035208</v>
      </c>
      <c r="BI136" s="386">
        <f t="shared" si="127"/>
        <v>0.65783197578210084</v>
      </c>
      <c r="BJ136" s="386">
        <f t="shared" si="128"/>
        <v>1.0754264992926261</v>
      </c>
      <c r="BK136" s="386">
        <f t="shared" si="129"/>
        <v>0.32255770647024518</v>
      </c>
      <c r="BL136" s="386">
        <f t="shared" si="130"/>
        <v>0.13811122815436211</v>
      </c>
    </row>
    <row r="137" spans="7:64" x14ac:dyDescent="0.2">
      <c r="G137">
        <v>128</v>
      </c>
      <c r="H137" s="610">
        <f t="shared" ref="H137:H200" si="131">VIN_min+(VIN_max-VIN_min)*(G137/200)</f>
        <v>26.28</v>
      </c>
      <c r="I137" s="4" t="str">
        <f t="shared" ref="I137:I200" si="132">IF(H137&gt;VIN_BB_to_buck, "BUCK", IF(H137&lt;VIN_boost_to_BB,"BOOST","BUCK-BST"))</f>
        <v>BUCK</v>
      </c>
      <c r="J137">
        <f t="shared" si="99"/>
        <v>1</v>
      </c>
      <c r="K137">
        <f t="shared" ref="K137:K200" si="133">Iout</f>
        <v>4</v>
      </c>
      <c r="L137" s="4">
        <f t="shared" ref="L137:L200" si="134">Vout*K137/(H137*Efficiency)</f>
        <v>2.0294266869609334</v>
      </c>
      <c r="M137" s="4">
        <f t="shared" ref="M137:M200" si="135">Iout/(1-O137)</f>
        <v>4</v>
      </c>
      <c r="N137" s="386">
        <f t="shared" ref="N137:N200" si="136">CHOOSE(J137,(Vout+(Rdson2+Rs+Rdcr)*K137)/(H137+(Rs+Rdson2-Rdson1)*K137),1,IF(H137&lt;Vout,D_max_buck_BB,Vout/H137*(1-D_min_boost_exitBB_to_buck)))</f>
        <v>0.46138192862566435</v>
      </c>
      <c r="O137" s="386">
        <f t="shared" si="115"/>
        <v>0</v>
      </c>
      <c r="P137" s="4">
        <f t="shared" ref="P137:P200" si="137">MAX(0, CHOOSE(J137, (H137-(Rdson1+Rdcr)*K137-Vout)*N137/(Fsw*Lf), (H137-(Rdson4+Rdcr+Rs)*L137)*O137/(Fsw*Lf), IF(H137&lt;Vout, (H137-(Rdson4+Rdcr+Rs)*L137)*O137/(0.5*Fsw*Lf),(H137-(Rdson1+Rdcr)*K137-Vout)*N137/(0.5*Fsw*Lf))))</f>
        <v>3.7640699814824758</v>
      </c>
      <c r="Q137" s="386">
        <f t="shared" ref="Q137:Q200" si="138">CHOOSE(J137, SQRT(K137^2+(P137^2)/12), SQRT(L137^2+(P137^2)/12), SQRT(M137^2+(P137^2)/12))</f>
        <v>4.1449590149310431</v>
      </c>
      <c r="R137" s="386">
        <f t="shared" si="116"/>
        <v>0.23097558987351305</v>
      </c>
      <c r="S137" s="386">
        <f t="shared" si="117"/>
        <v>0.43137208922114767</v>
      </c>
      <c r="T137" s="386">
        <f t="shared" si="118"/>
        <v>0.66234767909466075</v>
      </c>
      <c r="U137" s="4">
        <f t="shared" ref="U137:U200" si="139">IF(H137&gt;Vout, P137/SQRT(12), SQRT(O137/(1-O137))*SQRT(K137^2+(P137^2)/12))</f>
        <v>1.0865934085287485</v>
      </c>
      <c r="V137" s="386">
        <f t="shared" si="119"/>
        <v>3.1878501357369346E-2</v>
      </c>
      <c r="W137" s="386">
        <f t="shared" si="120"/>
        <v>3.1878501357369346E-2</v>
      </c>
      <c r="X137" s="386">
        <f t="shared" ref="X137:X200" si="140">IF(H137&gt;Vout, SQRT(N137*(1-N137))*SQRT(K137^2+(P137^2)/12), P137/SQRT(12))</f>
        <v>2.0662886537298841</v>
      </c>
      <c r="Y137" s="386">
        <f t="shared" si="121"/>
        <v>0.13662556161705144</v>
      </c>
      <c r="Z137" s="603">
        <f t="shared" si="122"/>
        <v>0.13662556161705144</v>
      </c>
      <c r="AA137" s="386">
        <f t="shared" ref="AA137:AA200" si="141">CHOOSE(J137, SQRT(N137)*SQRT(K137^2+(P137^2)/12), SQRT(L137^2+(P137^2)/12), SQRT(N137)*SQRT(M137^2+(P137^2)/12))</f>
        <v>2.8154675791147277</v>
      </c>
      <c r="AB137" s="386">
        <f t="shared" ref="AB137:AB200" si="142">Rdson1*AA137^2</f>
        <v>7.9268576890461462E-2</v>
      </c>
      <c r="AC137" s="386">
        <f t="shared" ref="AC137:AC200" si="143">CHOOSE(J137, (H137*K137/2)*(Fsw)*(Tr_buck+Tf_buck), 0, (H137*M137/2)*(Fsw/2)*(Tr_buck+Tf_buck))</f>
        <v>0.42246024968520135</v>
      </c>
      <c r="AD137">
        <f t="shared" ref="AD137:AD200" si="144">IF(H137&gt;Vout, IF(K137&gt;P137/2,0,ABS(K137-P137/2)*Vsd_Q1*Deadtime*Fsw),0)</f>
        <v>0</v>
      </c>
      <c r="AE137" s="386">
        <f t="shared" ref="AE137:AE200" si="145">(AD137+AC137+AB137*(1+RdsonTopTc*Ta-RdsonTopTc*25))/(1-AB137*RdsonTopTc*ThetaJA_Q1)</f>
        <v>0.51112864064449071</v>
      </c>
      <c r="AF137" s="386">
        <f t="shared" ref="AF137:AF200" si="146">CHOOSE(J137, SQRT((1-N137))*SQRT(K137^2+(P137^2)/12), 0, SQRT((1-N137))*SQRT(M137^2+(P137^2)/12))</f>
        <v>3.0420104448229592</v>
      </c>
      <c r="AG137" s="386">
        <f t="shared" ref="AG137:AG200" si="147">Rdson2*AF137^2</f>
        <v>9.2538275464119787E-2</v>
      </c>
      <c r="AH137" s="386">
        <f t="shared" ref="AH137:AH200" si="148">CHOOSE(J137, IF(K137&lt;P137/2,Deadtime*Fsw*IF(VfdSky_Q2&gt;0,0,Vsd_Q2)*(K137+P137/2),2*Deadtime*Fsw*IF(VfdSky_Q2&gt;0,0,Vsd_Q2)*K137),0, IF(K137&lt;P137/2,Deadtime*Fsw/2*IF(VfdSky_Q2&gt;0,0,Vsd_Q2)*(K137+P137/2),2*Deadtime*Fsw/2*IF(VfdSky_Q2&gt;0,0,Vsd_Q2)*K137))</f>
        <v>0.19239999999999999</v>
      </c>
      <c r="AI137" s="386">
        <f t="shared" ref="AI137:AI200" si="149">(AH137+AG137*(1+RdsonBotTc*Ta-RdsonBotTc*25))/(1-AG137*RdsonBotTc*ThetaJA_Q2)</f>
        <v>0.29118979418583629</v>
      </c>
      <c r="AJ137" s="386">
        <f t="shared" ref="AJ137:AJ200" si="150">CHOOSE(J137, 0, SQRT(O137)*SQRT(L137^2+(P137^2)/12), SQRT(O137)*SQRT(M137^2+(P137^2)/12))</f>
        <v>0</v>
      </c>
      <c r="AK137" s="386">
        <f t="shared" ref="AK137:AK200" si="151">Rdson4*AJ137^2</f>
        <v>0</v>
      </c>
      <c r="AL137" s="386">
        <f t="shared" ref="AL137:AL200" si="152">CHOOSE(J137, 0, (Vout*L137/2)*(Fsw)*(Tr_boost+Tf_boost), (Vout*Iout/2)*(Fsw/2)*(Tr_boost+Tf_boost))</f>
        <v>0</v>
      </c>
      <c r="AM137">
        <f t="shared" ref="AM137:AM200" si="153">IF(H137&gt;Vout, 0, IF(L137&gt;P137/2,0,ABS(L137-P137/2)*Vsd_Q4*Deadtime*Fsw))</f>
        <v>0</v>
      </c>
      <c r="AN137" s="386">
        <f t="shared" ref="AN137:AN200" si="154">(AM137+AL137+AK137*(1+RdsonTopTc*Ta-RdsonTopTc*25))/(1-AK137*RdsonTopTc*ThetaJA_Q4)</f>
        <v>0</v>
      </c>
      <c r="AO137" s="386">
        <f t="shared" ref="AO137:AO200" si="155">CHOOSE(J137, SQRT(Iout^2+(P137^2)/12), SQRT(1-O137)*SQRT(L137^2+(P137^2)/12), SQRT(1-O137)*SQRT(M137^2+(P137^2)/12))</f>
        <v>4.1449590149310431</v>
      </c>
      <c r="AP137" s="386">
        <f t="shared" ref="AP137:AP200" si="156">Rdson3*AO137^2</f>
        <v>0.17180685235458124</v>
      </c>
      <c r="AQ137" s="386">
        <f t="shared" ref="AQ137:AQ200" si="157">CHOOSE(J137, 0, IF(L137&lt;P137/2,Deadtime*Fsw*IF(VfdSky_Q3&gt;0,0,Vsd_Q3)*(L137+P137/2), 2*Deadtime*Fsw*IF(VfdSky_Q3&gt;0,0,Vsd_Q3)*L137), IF(L137&lt;P137/2,Deadtime*Fsw/2*IF(VfdSky_Q3&gt;0,0,Vsd_Q3)*(L137+P137/2), 2*Deadtime*Fsw/2*IF(VfdSky_Q3&gt;0,0,Vsd_Q3)*L137))</f>
        <v>0</v>
      </c>
      <c r="AR137" s="386">
        <f t="shared" ref="AR137:AR200" si="158">(AQ137+AP137*(1+RdsonBotTc*Ta-RdsonBotTc*25))/(1-AP137*RdsonBotTc*ThetaJA_Q3)</f>
        <v>0.17893922487179531</v>
      </c>
      <c r="AS137" s="386">
        <f t="shared" ref="AS137:AS200" si="159">CHOOSE(J137, Rdson3*Q137^2, Rdson1*Q137^2, 0)</f>
        <v>0.17180685235458124</v>
      </c>
      <c r="AT137" s="386">
        <f t="shared" ref="AT137:AT200" si="160">CHOOSE(J137, 2*Deadtime*Fsw*IF(VfdSky_Q2&gt;0,VfdSky_Q2,0)*K137, 2*Deadtime*Fsw*IF(VfdSky_Q3&gt;0,VfdSky_Q3,0)*L137, 2*Deadtime*Fsw/2*IF(VfdSky_Q2&gt;0,VfdSky_Q2,0)*K137+2*Deadtime*Fsw/2*IF(VfdSky_Q3&gt;0,VfdSky_Q3,0)*L137)</f>
        <v>0</v>
      </c>
      <c r="AU137" s="386">
        <f t="shared" ref="AU137:AU200" si="161">CHOOSE(J137, IF(QrrSky_Q2&gt;0,QrrSky_Q2,Qrr_Q2)*Fsw*(H137-K137*Rdson1), IF(QrrSky_Q3&gt;0,QrrSky_Q3,Qrr_Q3)*Fsw*Vout,  IF(QrrSky_Q2&gt;0,QrrSky_Q2,Qrr_Q2)*Fsw/2*(H137-K137*Rdson1)+IF(QrrSky_Q3&gt;0,QrrSky_Q3,Qrr_Q3)*Fsw/2*Vout)</f>
        <v>9.7088000000000008E-2</v>
      </c>
      <c r="AV137" s="386">
        <f t="shared" ref="AV137:AV200" si="162">CHOOSE(J137, Rs*AF137^2, Rs*AJ137^2, Rs*(AF137^2+AJ137^2))</f>
        <v>0.13880741319617967</v>
      </c>
      <c r="AW137" s="386">
        <f t="shared" ref="AW137:AW200" si="163">Rshunt_std/1000*Iout^2</f>
        <v>6.5920000000000006E-2</v>
      </c>
      <c r="AX137" s="386">
        <f t="shared" ref="AX137:AX200" si="164">IF(Vout&gt;8, Iq*Vout, Iq*H137)</f>
        <v>3.6000000000000004E-2</v>
      </c>
      <c r="AY137" s="386">
        <f t="shared" ref="AY137:AY200" si="165">CHOOSE(J137, (Qg_Q1+Qg_Q2)*Fsw, (Qg_Q3+Qg_Q4)*Fsw, (Qg_Q1+Qg_Q2+Qg_Q3+Qg_Q4)*Fsw/2)*IF(Vout&gt;8, Vout, H137)</f>
        <v>0.40226399999999995</v>
      </c>
      <c r="AZ137" s="386">
        <f t="shared" ref="AZ137:AZ200" si="166">(Vin-Vdd)*Fsw*(Qg_Q1+Qg_Q2)+(RdsonDRT+RdsonDRT2)*Fsw*Qg_Q1*Vdd/(RdsonDRT+2*Rgate1+RdsonDRT2)+(RdsonDRB+RdsonDRB2)*Fsw*Qg_Q2*Vdd/(RdsonDRB+2*Rgate2+RdsonDRB2)</f>
        <v>0.30415082926829268</v>
      </c>
      <c r="BA137" s="386">
        <f t="shared" si="123"/>
        <v>0.43826399999999999</v>
      </c>
      <c r="BB137" s="386">
        <f t="shared" si="124"/>
        <v>2.5521888149673839</v>
      </c>
      <c r="BC137">
        <f t="shared" ref="BC137:BC200" si="167">Vout*K137</f>
        <v>48</v>
      </c>
      <c r="BD137" s="604">
        <f t="shared" si="125"/>
        <v>0.94951378219627669</v>
      </c>
      <c r="BE137" s="614">
        <f t="shared" ref="BE137:BE200" si="168">IF(H137&gt;Vout,ThetaJA_Q1*(AE137+AU137),ThetaJA_Q4*(AN137+AU137))</f>
        <v>35.27656515738046</v>
      </c>
      <c r="BF137" s="614">
        <f t="shared" ref="BF137:BF200" si="169">IF(H137&gt;Vout, AI137*ThetaJA_Q2, ThetaJA_Q3*AR137)</f>
        <v>16.889008062778505</v>
      </c>
      <c r="BG137" s="9"/>
      <c r="BH137" s="4">
        <f t="shared" si="126"/>
        <v>94.951378219627671</v>
      </c>
      <c r="BI137" s="386">
        <f t="shared" si="127"/>
        <v>0.66234767909466075</v>
      </c>
      <c r="BJ137" s="386">
        <f t="shared" si="128"/>
        <v>1.0783456597021224</v>
      </c>
      <c r="BK137" s="386">
        <f t="shared" si="129"/>
        <v>0.32322883418583631</v>
      </c>
      <c r="BL137" s="386">
        <f t="shared" si="130"/>
        <v>0.13880741319617967</v>
      </c>
    </row>
    <row r="138" spans="7:64" x14ac:dyDescent="0.2">
      <c r="G138">
        <v>129</v>
      </c>
      <c r="H138" s="610">
        <f t="shared" si="131"/>
        <v>26.414999999999999</v>
      </c>
      <c r="I138" s="4" t="str">
        <f t="shared" si="132"/>
        <v>BUCK</v>
      </c>
      <c r="J138">
        <f t="shared" ref="J138:J201" si="170">IF(I138="BOOST",2, IF(I138="BUCK", 1,3))</f>
        <v>1</v>
      </c>
      <c r="K138">
        <f t="shared" si="133"/>
        <v>4</v>
      </c>
      <c r="L138" s="4">
        <f t="shared" si="134"/>
        <v>2.0190548299577262</v>
      </c>
      <c r="M138" s="4">
        <f t="shared" si="135"/>
        <v>4</v>
      </c>
      <c r="N138" s="386">
        <f t="shared" si="136"/>
        <v>0.45902927289896128</v>
      </c>
      <c r="O138" s="386">
        <f t="shared" ref="O138:O169" si="171">CHOOSE(J138,0,(Vout+(Rdson3+Rdcr)*L138-H138)/(Vout+(Rdson3-Rdson4-Rs)*L138),IF(H138&gt;Vout,D_min_boost_exitBB_to_buck, (Vout-H138*D_max_buck_BB)/Vout))</f>
        <v>0</v>
      </c>
      <c r="P138" s="4">
        <f t="shared" si="137"/>
        <v>3.7805112434235211</v>
      </c>
      <c r="Q138" s="386">
        <f t="shared" si="138"/>
        <v>4.1462057480469587</v>
      </c>
      <c r="R138" s="386">
        <f t="shared" si="116"/>
        <v>0.23111712725130332</v>
      </c>
      <c r="S138" s="386">
        <f t="shared" si="117"/>
        <v>0.43572567987070221</v>
      </c>
      <c r="T138" s="386">
        <f t="shared" si="118"/>
        <v>0.6668428071220055</v>
      </c>
      <c r="U138" s="4">
        <f t="shared" si="139"/>
        <v>1.0913395920324884</v>
      </c>
      <c r="V138" s="386">
        <f t="shared" si="119"/>
        <v>3.2157596838716232E-2</v>
      </c>
      <c r="W138" s="386">
        <f t="shared" si="120"/>
        <v>3.2157596838716232E-2</v>
      </c>
      <c r="X138" s="386">
        <f t="shared" si="140"/>
        <v>2.0661313289190981</v>
      </c>
      <c r="Y138" s="386">
        <f t="shared" si="121"/>
        <v>0.13660475738691197</v>
      </c>
      <c r="Z138" s="603">
        <f t="shared" si="122"/>
        <v>0.13660475738691197</v>
      </c>
      <c r="AA138" s="386">
        <f t="shared" si="141"/>
        <v>2.8091248418878259</v>
      </c>
      <c r="AB138" s="386">
        <f t="shared" si="142"/>
        <v>7.8911823773113024E-2</v>
      </c>
      <c r="AC138" s="386">
        <f t="shared" si="143"/>
        <v>0.42463042220070751</v>
      </c>
      <c r="AD138">
        <f t="shared" si="144"/>
        <v>0</v>
      </c>
      <c r="AE138" s="386">
        <f t="shared" si="145"/>
        <v>0.51293278505143247</v>
      </c>
      <c r="AF138" s="386">
        <f t="shared" si="146"/>
        <v>3.0495638586241047</v>
      </c>
      <c r="AG138" s="386">
        <f t="shared" si="147"/>
        <v>9.2998397278263381E-2</v>
      </c>
      <c r="AH138" s="386">
        <f t="shared" si="148"/>
        <v>0.19239999999999999</v>
      </c>
      <c r="AI138" s="386">
        <f t="shared" si="149"/>
        <v>0.29169183178056618</v>
      </c>
      <c r="AJ138" s="386">
        <f t="shared" si="150"/>
        <v>0</v>
      </c>
      <c r="AK138" s="386">
        <f t="shared" si="151"/>
        <v>0</v>
      </c>
      <c r="AL138" s="386">
        <f t="shared" si="152"/>
        <v>0</v>
      </c>
      <c r="AM138">
        <f t="shared" si="153"/>
        <v>0</v>
      </c>
      <c r="AN138" s="386">
        <f t="shared" si="154"/>
        <v>0</v>
      </c>
      <c r="AO138" s="386">
        <f t="shared" si="155"/>
        <v>4.1462057480469587</v>
      </c>
      <c r="AP138" s="386">
        <f t="shared" si="156"/>
        <v>0.17191022105137641</v>
      </c>
      <c r="AQ138" s="386">
        <f t="shared" si="157"/>
        <v>0</v>
      </c>
      <c r="AR138" s="386">
        <f t="shared" si="158"/>
        <v>0.17905135699086111</v>
      </c>
      <c r="AS138" s="386">
        <f t="shared" si="159"/>
        <v>0.17191022105137641</v>
      </c>
      <c r="AT138" s="386">
        <f t="shared" si="160"/>
        <v>0</v>
      </c>
      <c r="AU138" s="386">
        <f t="shared" si="161"/>
        <v>9.7587500000000008E-2</v>
      </c>
      <c r="AV138" s="386">
        <f t="shared" si="162"/>
        <v>0.13949759591739508</v>
      </c>
      <c r="AW138" s="386">
        <f t="shared" si="163"/>
        <v>6.5920000000000006E-2</v>
      </c>
      <c r="AX138" s="386">
        <f t="shared" si="164"/>
        <v>3.6000000000000004E-2</v>
      </c>
      <c r="AY138" s="386">
        <f t="shared" si="165"/>
        <v>0.40226399999999995</v>
      </c>
      <c r="AZ138" s="386">
        <f t="shared" si="166"/>
        <v>0.30415082926829268</v>
      </c>
      <c r="BA138" s="386">
        <f t="shared" si="123"/>
        <v>0.43826399999999999</v>
      </c>
      <c r="BB138" s="386">
        <f t="shared" si="124"/>
        <v>2.5605502310878885</v>
      </c>
      <c r="BC138">
        <f t="shared" si="167"/>
        <v>48</v>
      </c>
      <c r="BD138" s="604">
        <f t="shared" si="125"/>
        <v>0.94935675700946986</v>
      </c>
      <c r="BE138" s="614">
        <f t="shared" si="168"/>
        <v>35.410176532983087</v>
      </c>
      <c r="BF138" s="614">
        <f t="shared" si="169"/>
        <v>16.918126243272837</v>
      </c>
      <c r="BG138" s="9"/>
      <c r="BH138" s="4">
        <f t="shared" si="126"/>
        <v>94.935675700946987</v>
      </c>
      <c r="BI138" s="386">
        <f t="shared" si="127"/>
        <v>0.6668428071220055</v>
      </c>
      <c r="BJ138" s="386">
        <f t="shared" si="128"/>
        <v>1.0812634738228597</v>
      </c>
      <c r="BK138" s="386">
        <f t="shared" si="129"/>
        <v>0.32389570678056617</v>
      </c>
      <c r="BL138" s="386">
        <f t="shared" si="130"/>
        <v>0.13949759591739508</v>
      </c>
    </row>
    <row r="139" spans="7:64" x14ac:dyDescent="0.2">
      <c r="G139">
        <v>130</v>
      </c>
      <c r="H139" s="610">
        <f t="shared" si="131"/>
        <v>26.55</v>
      </c>
      <c r="I139" s="4" t="str">
        <f t="shared" si="132"/>
        <v>BUCK</v>
      </c>
      <c r="J139">
        <f t="shared" si="170"/>
        <v>1</v>
      </c>
      <c r="K139">
        <f t="shared" si="133"/>
        <v>4</v>
      </c>
      <c r="L139" s="4">
        <f t="shared" si="134"/>
        <v>2.0087884494664157</v>
      </c>
      <c r="M139" s="4">
        <f t="shared" si="135"/>
        <v>4</v>
      </c>
      <c r="N139" s="386">
        <f t="shared" si="136"/>
        <v>0.45670048853814355</v>
      </c>
      <c r="O139" s="386">
        <f t="shared" si="171"/>
        <v>0</v>
      </c>
      <c r="P139" s="4">
        <f t="shared" si="137"/>
        <v>3.7967856830900804</v>
      </c>
      <c r="Q139" s="386">
        <f t="shared" si="138"/>
        <v>4.1474448109982713</v>
      </c>
      <c r="R139" s="386">
        <f t="shared" si="116"/>
        <v>0.23125783915452955</v>
      </c>
      <c r="S139" s="386">
        <f t="shared" si="117"/>
        <v>0.44005948039963111</v>
      </c>
      <c r="T139" s="386">
        <f t="shared" si="118"/>
        <v>0.67131731955416063</v>
      </c>
      <c r="U139" s="4">
        <f t="shared" si="139"/>
        <v>1.0960376180936875</v>
      </c>
      <c r="V139" s="386">
        <f t="shared" si="119"/>
        <v>3.2435058427465066E-2</v>
      </c>
      <c r="W139" s="386">
        <f t="shared" si="120"/>
        <v>3.2435058427465066E-2</v>
      </c>
      <c r="X139" s="386">
        <f t="shared" si="140"/>
        <v>2.0659319447496567</v>
      </c>
      <c r="Y139" s="386">
        <f t="shared" si="121"/>
        <v>0.13657839361078714</v>
      </c>
      <c r="Z139" s="603">
        <f t="shared" si="122"/>
        <v>0.13657839361078714</v>
      </c>
      <c r="AA139" s="386">
        <f t="shared" si="141"/>
        <v>2.8028273957378622</v>
      </c>
      <c r="AB139" s="386">
        <f t="shared" si="142"/>
        <v>7.8558414102986876E-2</v>
      </c>
      <c r="AC139" s="386">
        <f t="shared" si="143"/>
        <v>0.42680059471621368</v>
      </c>
      <c r="AD139">
        <f t="shared" si="144"/>
        <v>0</v>
      </c>
      <c r="AE139" s="386">
        <f t="shared" si="145"/>
        <v>0.51474043746574139</v>
      </c>
      <c r="AF139" s="386">
        <f t="shared" si="146"/>
        <v>3.0570340282662536</v>
      </c>
      <c r="AG139" s="386">
        <f t="shared" si="147"/>
        <v>9.3454570499777984E-2</v>
      </c>
      <c r="AH139" s="386">
        <f t="shared" si="148"/>
        <v>0.19239999999999999</v>
      </c>
      <c r="AI139" s="386">
        <f t="shared" si="149"/>
        <v>0.29218966922959722</v>
      </c>
      <c r="AJ139" s="386">
        <f t="shared" si="150"/>
        <v>0</v>
      </c>
      <c r="AK139" s="386">
        <f t="shared" si="151"/>
        <v>0</v>
      </c>
      <c r="AL139" s="386">
        <f t="shared" si="152"/>
        <v>0</v>
      </c>
      <c r="AM139">
        <f t="shared" si="153"/>
        <v>0</v>
      </c>
      <c r="AN139" s="386">
        <f t="shared" si="154"/>
        <v>0</v>
      </c>
      <c r="AO139" s="386">
        <f t="shared" si="155"/>
        <v>4.1474448109982713</v>
      </c>
      <c r="AP139" s="386">
        <f t="shared" si="156"/>
        <v>0.17201298460276487</v>
      </c>
      <c r="AQ139" s="386">
        <f t="shared" si="157"/>
        <v>0</v>
      </c>
      <c r="AR139" s="386">
        <f t="shared" si="158"/>
        <v>0.17916283821397741</v>
      </c>
      <c r="AS139" s="386">
        <f t="shared" si="159"/>
        <v>0.17201298460276487</v>
      </c>
      <c r="AT139" s="386">
        <f t="shared" si="160"/>
        <v>0</v>
      </c>
      <c r="AU139" s="386">
        <f t="shared" si="161"/>
        <v>9.8087000000000008E-2</v>
      </c>
      <c r="AV139" s="386">
        <f t="shared" si="162"/>
        <v>0.14018185574966696</v>
      </c>
      <c r="AW139" s="386">
        <f t="shared" si="163"/>
        <v>6.5920000000000006E-2</v>
      </c>
      <c r="AX139" s="386">
        <f t="shared" si="164"/>
        <v>3.6000000000000004E-2</v>
      </c>
      <c r="AY139" s="386">
        <f t="shared" si="165"/>
        <v>0.40226399999999995</v>
      </c>
      <c r="AZ139" s="386">
        <f t="shared" si="166"/>
        <v>0.30415082926829268</v>
      </c>
      <c r="BA139" s="386">
        <f t="shared" si="123"/>
        <v>0.43826399999999999</v>
      </c>
      <c r="BB139" s="386">
        <f t="shared" si="124"/>
        <v>2.568876572251396</v>
      </c>
      <c r="BC139">
        <f t="shared" si="167"/>
        <v>48</v>
      </c>
      <c r="BD139" s="604">
        <f t="shared" si="125"/>
        <v>0.94920044212212118</v>
      </c>
      <c r="BE139" s="614">
        <f t="shared" si="168"/>
        <v>35.543991373013</v>
      </c>
      <c r="BF139" s="614">
        <f t="shared" si="169"/>
        <v>16.947000815316638</v>
      </c>
      <c r="BG139" s="9"/>
      <c r="BH139" s="4">
        <f t="shared" si="126"/>
        <v>94.920044212212119</v>
      </c>
      <c r="BI139" s="386">
        <f t="shared" si="127"/>
        <v>0.67131731955416063</v>
      </c>
      <c r="BJ139" s="386">
        <f t="shared" si="128"/>
        <v>1.0841799449093159</v>
      </c>
      <c r="BK139" s="386">
        <f t="shared" si="129"/>
        <v>0.32455837922959724</v>
      </c>
      <c r="BL139" s="386">
        <f t="shared" si="130"/>
        <v>0.14018185574966696</v>
      </c>
    </row>
    <row r="140" spans="7:64" x14ac:dyDescent="0.2">
      <c r="G140">
        <v>131</v>
      </c>
      <c r="H140" s="610">
        <f t="shared" si="131"/>
        <v>26.685000000000002</v>
      </c>
      <c r="I140" s="4" t="str">
        <f t="shared" si="132"/>
        <v>BUCK</v>
      </c>
      <c r="J140">
        <f t="shared" si="170"/>
        <v>1</v>
      </c>
      <c r="K140">
        <f t="shared" si="133"/>
        <v>4</v>
      </c>
      <c r="L140" s="4">
        <f t="shared" si="134"/>
        <v>1.9986259446630439</v>
      </c>
      <c r="M140" s="4">
        <f t="shared" si="135"/>
        <v>4</v>
      </c>
      <c r="N140" s="386">
        <f t="shared" si="136"/>
        <v>0.45439521405870253</v>
      </c>
      <c r="O140" s="386">
        <f t="shared" si="171"/>
        <v>0</v>
      </c>
      <c r="P140" s="4">
        <f t="shared" si="137"/>
        <v>3.8128958266747559</v>
      </c>
      <c r="Q140" s="386">
        <f t="shared" si="138"/>
        <v>4.1486762405321711</v>
      </c>
      <c r="R140" s="386">
        <f t="shared" si="116"/>
        <v>0.23139772892264487</v>
      </c>
      <c r="S140" s="386">
        <f t="shared" si="117"/>
        <v>0.44437345433282954</v>
      </c>
      <c r="T140" s="386">
        <f t="shared" si="118"/>
        <v>0.67577118325547447</v>
      </c>
      <c r="U140" s="4">
        <f t="shared" si="139"/>
        <v>1.1006882159613356</v>
      </c>
      <c r="V140" s="386">
        <f t="shared" si="119"/>
        <v>3.2710892816415989E-2</v>
      </c>
      <c r="W140" s="386">
        <f t="shared" si="120"/>
        <v>3.2710892816415989E-2</v>
      </c>
      <c r="X140" s="386">
        <f t="shared" si="140"/>
        <v>2.0656916975816841</v>
      </c>
      <c r="Y140" s="386">
        <f t="shared" si="121"/>
        <v>0.1365466300626528</v>
      </c>
      <c r="Z140" s="603">
        <f t="shared" si="122"/>
        <v>0.1365466300626528</v>
      </c>
      <c r="AA140" s="386">
        <f t="shared" si="141"/>
        <v>2.7965746615559048</v>
      </c>
      <c r="AB140" s="386">
        <f t="shared" si="142"/>
        <v>7.8208298376565233E-2</v>
      </c>
      <c r="AC140" s="386">
        <f t="shared" si="143"/>
        <v>0.4289707672317199</v>
      </c>
      <c r="AD140">
        <f t="shared" si="144"/>
        <v>0</v>
      </c>
      <c r="AE140" s="386">
        <f t="shared" si="145"/>
        <v>0.51655154483235399</v>
      </c>
      <c r="AF140" s="386">
        <f t="shared" si="146"/>
        <v>3.0644224106835578</v>
      </c>
      <c r="AG140" s="386">
        <f t="shared" si="147"/>
        <v>9.3906847110996283E-2</v>
      </c>
      <c r="AH140" s="386">
        <f t="shared" si="148"/>
        <v>0.19239999999999999</v>
      </c>
      <c r="AI140" s="386">
        <f t="shared" si="149"/>
        <v>0.29268336051946664</v>
      </c>
      <c r="AJ140" s="386">
        <f t="shared" si="150"/>
        <v>0</v>
      </c>
      <c r="AK140" s="386">
        <f t="shared" si="151"/>
        <v>0</v>
      </c>
      <c r="AL140" s="386">
        <f t="shared" si="152"/>
        <v>0</v>
      </c>
      <c r="AM140">
        <f t="shared" si="153"/>
        <v>0</v>
      </c>
      <c r="AN140" s="386">
        <f t="shared" si="154"/>
        <v>0</v>
      </c>
      <c r="AO140" s="386">
        <f t="shared" si="155"/>
        <v>4.1486762405321711</v>
      </c>
      <c r="AP140" s="386">
        <f t="shared" si="156"/>
        <v>0.17211514548756149</v>
      </c>
      <c r="AQ140" s="386">
        <f t="shared" si="157"/>
        <v>0</v>
      </c>
      <c r="AR140" s="386">
        <f t="shared" si="158"/>
        <v>0.17927367113304507</v>
      </c>
      <c r="AS140" s="386">
        <f t="shared" si="159"/>
        <v>0.17211514548756149</v>
      </c>
      <c r="AT140" s="386">
        <f t="shared" si="160"/>
        <v>0</v>
      </c>
      <c r="AU140" s="386">
        <f t="shared" si="161"/>
        <v>9.8586500000000021E-2</v>
      </c>
      <c r="AV140" s="386">
        <f t="shared" si="162"/>
        <v>0.1408602706664944</v>
      </c>
      <c r="AW140" s="386">
        <f t="shared" si="163"/>
        <v>6.5920000000000006E-2</v>
      </c>
      <c r="AX140" s="386">
        <f t="shared" si="164"/>
        <v>3.6000000000000004E-2</v>
      </c>
      <c r="AY140" s="386">
        <f t="shared" si="165"/>
        <v>0.40226399999999995</v>
      </c>
      <c r="AZ140" s="386">
        <f t="shared" si="166"/>
        <v>0.30415082926829268</v>
      </c>
      <c r="BA140" s="386">
        <f t="shared" si="123"/>
        <v>0.43826399999999999</v>
      </c>
      <c r="BB140" s="386">
        <f t="shared" si="124"/>
        <v>2.577168053285904</v>
      </c>
      <c r="BC140">
        <f t="shared" si="167"/>
        <v>48</v>
      </c>
      <c r="BD140" s="604">
        <f t="shared" si="125"/>
        <v>0.94904483282712249</v>
      </c>
      <c r="BE140" s="614">
        <f t="shared" si="168"/>
        <v>35.678006600276532</v>
      </c>
      <c r="BF140" s="614">
        <f t="shared" si="169"/>
        <v>16.975634910129067</v>
      </c>
      <c r="BG140" s="9"/>
      <c r="BH140" s="4">
        <f t="shared" si="126"/>
        <v>94.904483282712249</v>
      </c>
      <c r="BI140" s="386">
        <f t="shared" si="127"/>
        <v>0.67577118325547447</v>
      </c>
      <c r="BJ140" s="386">
        <f t="shared" si="128"/>
        <v>1.0870950764848657</v>
      </c>
      <c r="BK140" s="386">
        <f t="shared" si="129"/>
        <v>0.32521690551946664</v>
      </c>
      <c r="BL140" s="386">
        <f t="shared" si="130"/>
        <v>0.1408602706664944</v>
      </c>
    </row>
    <row r="141" spans="7:64" x14ac:dyDescent="0.2">
      <c r="G141">
        <v>132</v>
      </c>
      <c r="H141" s="610">
        <f t="shared" si="131"/>
        <v>26.82</v>
      </c>
      <c r="I141" s="4" t="str">
        <f t="shared" si="132"/>
        <v>BUCK</v>
      </c>
      <c r="J141">
        <f t="shared" si="170"/>
        <v>1</v>
      </c>
      <c r="K141">
        <f t="shared" si="133"/>
        <v>4</v>
      </c>
      <c r="L141" s="4">
        <f t="shared" si="134"/>
        <v>1.9885657469550087</v>
      </c>
      <c r="M141" s="4">
        <f t="shared" si="135"/>
        <v>4</v>
      </c>
      <c r="N141" s="386">
        <f t="shared" si="136"/>
        <v>0.45211309523809523</v>
      </c>
      <c r="O141" s="386">
        <f t="shared" si="171"/>
        <v>0</v>
      </c>
      <c r="P141" s="4">
        <f t="shared" si="137"/>
        <v>3.8288441496207453</v>
      </c>
      <c r="Q141" s="386">
        <f t="shared" si="138"/>
        <v>4.1499000743199126</v>
      </c>
      <c r="R141" s="386">
        <f t="shared" si="116"/>
        <v>0.23153680001050231</v>
      </c>
      <c r="S141" s="386">
        <f t="shared" si="117"/>
        <v>0.4486675719364191</v>
      </c>
      <c r="T141" s="386">
        <f t="shared" si="118"/>
        <v>0.6802043719469214</v>
      </c>
      <c r="U141" s="4">
        <f t="shared" si="139"/>
        <v>1.1052921002343306</v>
      </c>
      <c r="V141" s="386">
        <f t="shared" si="119"/>
        <v>3.2985106924691268E-2</v>
      </c>
      <c r="W141" s="386">
        <f t="shared" si="120"/>
        <v>3.2985106924691268E-2</v>
      </c>
      <c r="X141" s="386">
        <f t="shared" si="140"/>
        <v>2.0654117471946738</v>
      </c>
      <c r="Y141" s="386">
        <f t="shared" si="121"/>
        <v>0.13650962193439217</v>
      </c>
      <c r="Z141" s="603">
        <f t="shared" si="122"/>
        <v>0.13650962193439217</v>
      </c>
      <c r="AA141" s="386">
        <f t="shared" si="141"/>
        <v>2.7903660713733975</v>
      </c>
      <c r="AB141" s="386">
        <f t="shared" si="142"/>
        <v>7.7861428122718096E-2</v>
      </c>
      <c r="AC141" s="386">
        <f t="shared" si="143"/>
        <v>0.43114093974722606</v>
      </c>
      <c r="AD141">
        <f t="shared" si="144"/>
        <v>0</v>
      </c>
      <c r="AE141" s="386">
        <f t="shared" si="145"/>
        <v>0.51836605522314738</v>
      </c>
      <c r="AF141" s="386">
        <f t="shared" si="146"/>
        <v>3.0717304267413521</v>
      </c>
      <c r="AG141" s="386">
        <f t="shared" si="147"/>
        <v>9.4355278145686089E-2</v>
      </c>
      <c r="AH141" s="386">
        <f t="shared" si="148"/>
        <v>0.19239999999999999</v>
      </c>
      <c r="AI141" s="386">
        <f t="shared" si="149"/>
        <v>0.2931729586716661</v>
      </c>
      <c r="AJ141" s="386">
        <f t="shared" si="150"/>
        <v>0</v>
      </c>
      <c r="AK141" s="386">
        <f t="shared" si="151"/>
        <v>0</v>
      </c>
      <c r="AL141" s="386">
        <f t="shared" si="152"/>
        <v>0</v>
      </c>
      <c r="AM141">
        <f t="shared" si="153"/>
        <v>0</v>
      </c>
      <c r="AN141" s="386">
        <f t="shared" si="154"/>
        <v>0</v>
      </c>
      <c r="AO141" s="386">
        <f t="shared" si="155"/>
        <v>4.1499000743199126</v>
      </c>
      <c r="AP141" s="386">
        <f t="shared" si="156"/>
        <v>0.17221670626840418</v>
      </c>
      <c r="AQ141" s="386">
        <f t="shared" si="157"/>
        <v>0</v>
      </c>
      <c r="AR141" s="386">
        <f t="shared" si="158"/>
        <v>0.17938385843199958</v>
      </c>
      <c r="AS141" s="386">
        <f t="shared" si="159"/>
        <v>0.17221670626840418</v>
      </c>
      <c r="AT141" s="386">
        <f t="shared" si="160"/>
        <v>0</v>
      </c>
      <c r="AU141" s="386">
        <f t="shared" si="161"/>
        <v>9.9086000000000007E-2</v>
      </c>
      <c r="AV141" s="386">
        <f t="shared" si="162"/>
        <v>0.14153291721852912</v>
      </c>
      <c r="AW141" s="386">
        <f t="shared" si="163"/>
        <v>6.5920000000000006E-2</v>
      </c>
      <c r="AX141" s="386">
        <f t="shared" si="164"/>
        <v>3.6000000000000004E-2</v>
      </c>
      <c r="AY141" s="386">
        <f t="shared" si="165"/>
        <v>0.40226399999999995</v>
      </c>
      <c r="AZ141" s="386">
        <f t="shared" si="166"/>
        <v>0.30415082926829268</v>
      </c>
      <c r="BA141" s="386">
        <f t="shared" si="123"/>
        <v>0.43826399999999999</v>
      </c>
      <c r="BB141" s="386">
        <f t="shared" si="124"/>
        <v>2.585424890351347</v>
      </c>
      <c r="BC141">
        <f t="shared" si="167"/>
        <v>48</v>
      </c>
      <c r="BD141" s="604">
        <f t="shared" si="125"/>
        <v>0.94888992440104047</v>
      </c>
      <c r="BE141" s="614">
        <f t="shared" si="168"/>
        <v>35.812219202942551</v>
      </c>
      <c r="BF141" s="614">
        <f t="shared" si="169"/>
        <v>17.004031602956633</v>
      </c>
      <c r="BG141" s="9"/>
      <c r="BH141" s="4">
        <f t="shared" si="126"/>
        <v>94.888992440104047</v>
      </c>
      <c r="BI141" s="386">
        <f t="shared" si="127"/>
        <v>0.6802043719469214</v>
      </c>
      <c r="BJ141" s="386">
        <f t="shared" si="128"/>
        <v>1.0900088723268131</v>
      </c>
      <c r="BK141" s="386">
        <f t="shared" si="129"/>
        <v>0.32587133867166612</v>
      </c>
      <c r="BL141" s="386">
        <f t="shared" si="130"/>
        <v>0.14153291721852912</v>
      </c>
    </row>
    <row r="142" spans="7:64" x14ac:dyDescent="0.2">
      <c r="G142">
        <v>133</v>
      </c>
      <c r="H142" s="610">
        <f t="shared" si="131"/>
        <v>26.955000000000002</v>
      </c>
      <c r="I142" s="4" t="str">
        <f t="shared" si="132"/>
        <v>BUCK</v>
      </c>
      <c r="J142">
        <f t="shared" si="170"/>
        <v>1</v>
      </c>
      <c r="K142">
        <f t="shared" si="133"/>
        <v>4</v>
      </c>
      <c r="L142" s="4">
        <f t="shared" si="134"/>
        <v>1.9786063191739316</v>
      </c>
      <c r="M142" s="4">
        <f t="shared" si="135"/>
        <v>4</v>
      </c>
      <c r="N142" s="386">
        <f t="shared" si="136"/>
        <v>0.44985378493429573</v>
      </c>
      <c r="O142" s="386">
        <f t="shared" si="171"/>
        <v>0</v>
      </c>
      <c r="P142" s="4">
        <f t="shared" si="137"/>
        <v>3.8446330778898745</v>
      </c>
      <c r="Q142" s="386">
        <f t="shared" si="138"/>
        <v>4.1511163508908959</v>
      </c>
      <c r="R142" s="386">
        <f t="shared" si="116"/>
        <v>0.2316750559809459</v>
      </c>
      <c r="S142" s="386">
        <f t="shared" si="117"/>
        <v>0.45294180992034849</v>
      </c>
      <c r="T142" s="386">
        <f t="shared" si="118"/>
        <v>0.68461686590129434</v>
      </c>
      <c r="U142" s="4">
        <f t="shared" si="139"/>
        <v>1.1098499712275294</v>
      </c>
      <c r="V142" s="386">
        <f t="shared" si="119"/>
        <v>3.3257707883111193E-2</v>
      </c>
      <c r="W142" s="386">
        <f t="shared" si="120"/>
        <v>3.3257707883111193E-2</v>
      </c>
      <c r="X142" s="386">
        <f t="shared" si="140"/>
        <v>2.0650932181072998</v>
      </c>
      <c r="Y142" s="386">
        <f t="shared" si="121"/>
        <v>0.13646751998312845</v>
      </c>
      <c r="Z142" s="603">
        <f t="shared" si="122"/>
        <v>0.13646751998312845</v>
      </c>
      <c r="AA142" s="386">
        <f t="shared" si="141"/>
        <v>2.7842010680708977</v>
      </c>
      <c r="AB142" s="386">
        <f t="shared" si="142"/>
        <v>7.7517755874471281E-2</v>
      </c>
      <c r="AC142" s="386">
        <f t="shared" si="143"/>
        <v>0.43331111226273222</v>
      </c>
      <c r="AD142">
        <f t="shared" si="144"/>
        <v>0</v>
      </c>
      <c r="AE142" s="386">
        <f t="shared" si="145"/>
        <v>0.52018391780566986</v>
      </c>
      <c r="AF142" s="386">
        <f t="shared" si="146"/>
        <v>3.0789594624136609</v>
      </c>
      <c r="AG142" s="386">
        <f t="shared" si="147"/>
        <v>9.4799913711866191E-2</v>
      </c>
      <c r="AH142" s="386">
        <f t="shared" si="148"/>
        <v>0.19239999999999999</v>
      </c>
      <c r="AI142" s="386">
        <f t="shared" si="149"/>
        <v>0.29365851576550134</v>
      </c>
      <c r="AJ142" s="386">
        <f t="shared" si="150"/>
        <v>0</v>
      </c>
      <c r="AK142" s="386">
        <f t="shared" si="151"/>
        <v>0</v>
      </c>
      <c r="AL142" s="386">
        <f t="shared" si="152"/>
        <v>0</v>
      </c>
      <c r="AM142">
        <f t="shared" si="153"/>
        <v>0</v>
      </c>
      <c r="AN142" s="386">
        <f t="shared" si="154"/>
        <v>0</v>
      </c>
      <c r="AO142" s="386">
        <f t="shared" si="155"/>
        <v>4.1511163508908959</v>
      </c>
      <c r="AP142" s="386">
        <f t="shared" si="156"/>
        <v>0.17231766958633749</v>
      </c>
      <c r="AQ142" s="386">
        <f t="shared" si="157"/>
        <v>0</v>
      </c>
      <c r="AR142" s="386">
        <f t="shared" si="158"/>
        <v>0.17949340288094895</v>
      </c>
      <c r="AS142" s="386">
        <f t="shared" si="159"/>
        <v>0.17231766958633749</v>
      </c>
      <c r="AT142" s="386">
        <f t="shared" si="160"/>
        <v>0</v>
      </c>
      <c r="AU142" s="386">
        <f t="shared" si="161"/>
        <v>9.9585500000000021E-2</v>
      </c>
      <c r="AV142" s="386">
        <f t="shared" si="162"/>
        <v>0.14219987056779929</v>
      </c>
      <c r="AW142" s="386">
        <f t="shared" si="163"/>
        <v>6.5920000000000006E-2</v>
      </c>
      <c r="AX142" s="386">
        <f t="shared" si="164"/>
        <v>3.6000000000000004E-2</v>
      </c>
      <c r="AY142" s="386">
        <f t="shared" si="165"/>
        <v>0.40226399999999995</v>
      </c>
      <c r="AZ142" s="386">
        <f t="shared" si="166"/>
        <v>0.30415082926829268</v>
      </c>
      <c r="BA142" s="386">
        <f t="shared" si="123"/>
        <v>0.43826399999999999</v>
      </c>
      <c r="BB142" s="386">
        <f t="shared" si="124"/>
        <v>2.5936473007874539</v>
      </c>
      <c r="BC142">
        <f t="shared" si="167"/>
        <v>48</v>
      </c>
      <c r="BD142" s="604">
        <f t="shared" si="125"/>
        <v>0.94873571210694108</v>
      </c>
      <c r="BE142" s="614">
        <f t="shared" si="168"/>
        <v>35.946626232728853</v>
      </c>
      <c r="BF142" s="614">
        <f t="shared" si="169"/>
        <v>17.032193914399077</v>
      </c>
      <c r="BG142" s="9"/>
      <c r="BH142" s="4">
        <f t="shared" si="126"/>
        <v>94.873571210694109</v>
      </c>
      <c r="BI142" s="386">
        <f t="shared" si="127"/>
        <v>0.68461686590129434</v>
      </c>
      <c r="BJ142" s="386">
        <f t="shared" si="128"/>
        <v>1.0929213364521202</v>
      </c>
      <c r="BK142" s="386">
        <f t="shared" si="129"/>
        <v>0.32652173076550134</v>
      </c>
      <c r="BL142" s="386">
        <f t="shared" si="130"/>
        <v>0.14219987056779929</v>
      </c>
    </row>
    <row r="143" spans="7:64" x14ac:dyDescent="0.2">
      <c r="G143">
        <v>134</v>
      </c>
      <c r="H143" s="610">
        <f t="shared" si="131"/>
        <v>27.09</v>
      </c>
      <c r="I143" s="4" t="str">
        <f t="shared" si="132"/>
        <v>BUCK</v>
      </c>
      <c r="J143">
        <f t="shared" si="170"/>
        <v>1</v>
      </c>
      <c r="K143">
        <f t="shared" si="133"/>
        <v>4</v>
      </c>
      <c r="L143" s="4">
        <f t="shared" si="134"/>
        <v>1.9687461547926663</v>
      </c>
      <c r="M143" s="4">
        <f t="shared" si="135"/>
        <v>4</v>
      </c>
      <c r="N143" s="386">
        <f t="shared" si="136"/>
        <v>0.44761694290976056</v>
      </c>
      <c r="O143" s="386">
        <f t="shared" si="171"/>
        <v>0</v>
      </c>
      <c r="P143" s="4">
        <f t="shared" si="137"/>
        <v>3.8602649891927898</v>
      </c>
      <c r="Q143" s="386">
        <f t="shared" si="138"/>
        <v>4.1523251095700147</v>
      </c>
      <c r="R143" s="386">
        <f t="shared" si="116"/>
        <v>0.23181250049775681</v>
      </c>
      <c r="S143" s="386">
        <f t="shared" si="117"/>
        <v>0.45719615115297269</v>
      </c>
      <c r="T143" s="386">
        <f t="shared" si="118"/>
        <v>0.68900865165072944</v>
      </c>
      <c r="U143" s="4">
        <f t="shared" si="139"/>
        <v>1.1143625153268726</v>
      </c>
      <c r="V143" s="386">
        <f t="shared" si="119"/>
        <v>3.3528703020272124E-2</v>
      </c>
      <c r="W143" s="386">
        <f t="shared" si="120"/>
        <v>3.3528703020272124E-2</v>
      </c>
      <c r="X143" s="386">
        <f t="shared" si="140"/>
        <v>2.0647372008408946</v>
      </c>
      <c r="Y143" s="386">
        <f t="shared" si="121"/>
        <v>0.13642047067316138</v>
      </c>
      <c r="Z143" s="603">
        <f t="shared" si="122"/>
        <v>0.13642047067316138</v>
      </c>
      <c r="AA143" s="386">
        <f t="shared" si="141"/>
        <v>2.7780791050964213</v>
      </c>
      <c r="AB143" s="386">
        <f t="shared" si="142"/>
        <v>7.717723514173333E-2</v>
      </c>
      <c r="AC143" s="386">
        <f t="shared" si="143"/>
        <v>0.43548128477823839</v>
      </c>
      <c r="AD143">
        <f t="shared" si="144"/>
        <v>0</v>
      </c>
      <c r="AE143" s="386">
        <f t="shared" si="145"/>
        <v>0.52200508281294455</v>
      </c>
      <c r="AF143" s="386">
        <f t="shared" si="146"/>
        <v>3.0861108699125346</v>
      </c>
      <c r="AG143" s="386">
        <f t="shared" si="147"/>
        <v>9.5240803013923014E-2</v>
      </c>
      <c r="AH143" s="386">
        <f t="shared" si="148"/>
        <v>0.19239999999999999</v>
      </c>
      <c r="AI143" s="386">
        <f t="shared" si="149"/>
        <v>0.29414008296025734</v>
      </c>
      <c r="AJ143" s="386">
        <f t="shared" si="150"/>
        <v>0</v>
      </c>
      <c r="AK143" s="386">
        <f t="shared" si="151"/>
        <v>0</v>
      </c>
      <c r="AL143" s="386">
        <f t="shared" si="152"/>
        <v>0</v>
      </c>
      <c r="AM143">
        <f t="shared" si="153"/>
        <v>0</v>
      </c>
      <c r="AN143" s="386">
        <f t="shared" si="154"/>
        <v>0</v>
      </c>
      <c r="AO143" s="386">
        <f t="shared" si="155"/>
        <v>4.1523251095700147</v>
      </c>
      <c r="AP143" s="386">
        <f t="shared" si="156"/>
        <v>0.17241803815565634</v>
      </c>
      <c r="AQ143" s="386">
        <f t="shared" si="157"/>
        <v>0</v>
      </c>
      <c r="AR143" s="386">
        <f t="shared" si="158"/>
        <v>0.17960230733059174</v>
      </c>
      <c r="AS143" s="386">
        <f t="shared" si="159"/>
        <v>0.17241803815565634</v>
      </c>
      <c r="AT143" s="386">
        <f t="shared" si="160"/>
        <v>0</v>
      </c>
      <c r="AU143" s="386">
        <f t="shared" si="161"/>
        <v>0.10008500000000001</v>
      </c>
      <c r="AV143" s="386">
        <f t="shared" si="162"/>
        <v>0.14286120452088452</v>
      </c>
      <c r="AW143" s="386">
        <f t="shared" si="163"/>
        <v>6.5920000000000006E-2</v>
      </c>
      <c r="AX143" s="386">
        <f t="shared" si="164"/>
        <v>3.6000000000000004E-2</v>
      </c>
      <c r="AY143" s="386">
        <f t="shared" si="165"/>
        <v>0.40226399999999995</v>
      </c>
      <c r="AZ143" s="386">
        <f t="shared" si="166"/>
        <v>0.30415082926829268</v>
      </c>
      <c r="BA143" s="386">
        <f t="shared" si="123"/>
        <v>0.43826399999999999</v>
      </c>
      <c r="BB143" s="386">
        <f t="shared" si="124"/>
        <v>2.6018355029688411</v>
      </c>
      <c r="BC143">
        <f t="shared" si="167"/>
        <v>48</v>
      </c>
      <c r="BD143" s="604">
        <f t="shared" si="125"/>
        <v>0.94858219119707254</v>
      </c>
      <c r="BE143" s="614">
        <f t="shared" si="168"/>
        <v>36.081224803150782</v>
      </c>
      <c r="BF143" s="614">
        <f t="shared" si="169"/>
        <v>17.060124811694926</v>
      </c>
      <c r="BG143" s="9"/>
      <c r="BH143" s="4">
        <f t="shared" si="126"/>
        <v>94.858219119707258</v>
      </c>
      <c r="BI143" s="386">
        <f t="shared" si="127"/>
        <v>0.68900865165072944</v>
      </c>
      <c r="BJ143" s="386">
        <f t="shared" si="128"/>
        <v>1.0958324731037936</v>
      </c>
      <c r="BK143" s="386">
        <f t="shared" si="129"/>
        <v>0.32716813296025737</v>
      </c>
      <c r="BL143" s="386">
        <f t="shared" si="130"/>
        <v>0.14286120452088452</v>
      </c>
    </row>
    <row r="144" spans="7:64" x14ac:dyDescent="0.2">
      <c r="G144">
        <v>135</v>
      </c>
      <c r="H144" s="610">
        <f t="shared" si="131"/>
        <v>27.225000000000001</v>
      </c>
      <c r="I144" s="4" t="str">
        <f t="shared" si="132"/>
        <v>BUCK</v>
      </c>
      <c r="J144">
        <f t="shared" si="170"/>
        <v>1</v>
      </c>
      <c r="K144">
        <f t="shared" si="133"/>
        <v>4</v>
      </c>
      <c r="L144" s="4">
        <f t="shared" si="134"/>
        <v>1.9589837771655954</v>
      </c>
      <c r="M144" s="4">
        <f t="shared" si="135"/>
        <v>4</v>
      </c>
      <c r="N144" s="386">
        <f t="shared" si="136"/>
        <v>0.44540223566061937</v>
      </c>
      <c r="O144" s="386">
        <f t="shared" si="171"/>
        <v>0</v>
      </c>
      <c r="P144" s="4">
        <f t="shared" si="137"/>
        <v>3.8757422141826483</v>
      </c>
      <c r="Q144" s="386">
        <f t="shared" si="138"/>
        <v>4.1535263904181203</v>
      </c>
      <c r="R144" s="386">
        <f t="shared" si="116"/>
        <v>0.23194913731893765</v>
      </c>
      <c r="S144" s="386">
        <f t="shared" si="117"/>
        <v>0.46143058438713713</v>
      </c>
      <c r="T144" s="386">
        <f t="shared" si="118"/>
        <v>0.69337972170607476</v>
      </c>
      <c r="U144" s="4">
        <f t="shared" si="139"/>
        <v>1.1188304053339742</v>
      </c>
      <c r="V144" s="386">
        <f t="shared" si="119"/>
        <v>3.3798099849294196E-2</v>
      </c>
      <c r="W144" s="386">
        <f t="shared" si="120"/>
        <v>3.3798099849294196E-2</v>
      </c>
      <c r="X144" s="386">
        <f t="shared" si="140"/>
        <v>2.0643447531293924</v>
      </c>
      <c r="Y144" s="386">
        <f t="shared" si="121"/>
        <v>0.13636861631273126</v>
      </c>
      <c r="Z144" s="603">
        <f t="shared" si="122"/>
        <v>0.13636861631273126</v>
      </c>
      <c r="AA144" s="386">
        <f t="shared" si="141"/>
        <v>2.7719996461930188</v>
      </c>
      <c r="AB144" s="386">
        <f t="shared" si="142"/>
        <v>7.683982038494222E-2</v>
      </c>
      <c r="AC144" s="386">
        <f t="shared" si="143"/>
        <v>0.43765145729374455</v>
      </c>
      <c r="AD144">
        <f t="shared" si="144"/>
        <v>0</v>
      </c>
      <c r="AE144" s="386">
        <f t="shared" si="145"/>
        <v>0.52382950151430352</v>
      </c>
      <c r="AF144" s="386">
        <f t="shared" si="146"/>
        <v>3.0931859687716092</v>
      </c>
      <c r="AG144" s="386">
        <f t="shared" si="147"/>
        <v>9.567799437405558E-2</v>
      </c>
      <c r="AH144" s="386">
        <f t="shared" si="148"/>
        <v>0.19239999999999999</v>
      </c>
      <c r="AI144" s="386">
        <f t="shared" si="149"/>
        <v>0.29461771051669633</v>
      </c>
      <c r="AJ144" s="386">
        <f t="shared" si="150"/>
        <v>0</v>
      </c>
      <c r="AK144" s="386">
        <f t="shared" si="151"/>
        <v>0</v>
      </c>
      <c r="AL144" s="386">
        <f t="shared" si="152"/>
        <v>0</v>
      </c>
      <c r="AM144">
        <f t="shared" si="153"/>
        <v>0</v>
      </c>
      <c r="AN144" s="386">
        <f t="shared" si="154"/>
        <v>0</v>
      </c>
      <c r="AO144" s="386">
        <f t="shared" si="155"/>
        <v>4.1535263904181203</v>
      </c>
      <c r="AP144" s="386">
        <f t="shared" si="156"/>
        <v>0.1725178147589978</v>
      </c>
      <c r="AQ144" s="386">
        <f t="shared" si="157"/>
        <v>0</v>
      </c>
      <c r="AR144" s="386">
        <f t="shared" si="158"/>
        <v>0.17971057470690205</v>
      </c>
      <c r="AS144" s="386">
        <f t="shared" si="159"/>
        <v>0.1725178147589978</v>
      </c>
      <c r="AT144" s="386">
        <f t="shared" si="160"/>
        <v>0</v>
      </c>
      <c r="AU144" s="386">
        <f t="shared" si="161"/>
        <v>0.10058450000000001</v>
      </c>
      <c r="AV144" s="386">
        <f t="shared" si="162"/>
        <v>0.14351699156108336</v>
      </c>
      <c r="AW144" s="386">
        <f t="shared" si="163"/>
        <v>6.5920000000000006E-2</v>
      </c>
      <c r="AX144" s="386">
        <f t="shared" si="164"/>
        <v>3.6000000000000004E-2</v>
      </c>
      <c r="AY144" s="386">
        <f t="shared" si="165"/>
        <v>0.40226399999999995</v>
      </c>
      <c r="AZ144" s="386">
        <f t="shared" si="166"/>
        <v>0.30415082926829268</v>
      </c>
      <c r="BA144" s="386">
        <f t="shared" si="123"/>
        <v>0.43826399999999999</v>
      </c>
      <c r="BB144" s="386">
        <f t="shared" si="124"/>
        <v>2.6099897161670857</v>
      </c>
      <c r="BC144">
        <f t="shared" si="167"/>
        <v>48</v>
      </c>
      <c r="BD144" s="604">
        <f t="shared" si="125"/>
        <v>0.94842935691541275</v>
      </c>
      <c r="BE144" s="614">
        <f t="shared" si="168"/>
        <v>36.216012087829604</v>
      </c>
      <c r="BF144" s="614">
        <f t="shared" si="169"/>
        <v>17.087827209968388</v>
      </c>
      <c r="BG144" s="9"/>
      <c r="BH144" s="4">
        <f t="shared" si="126"/>
        <v>94.842935691541271</v>
      </c>
      <c r="BI144" s="386">
        <f t="shared" si="127"/>
        <v>0.69337972170607476</v>
      </c>
      <c r="BJ144" s="386">
        <f t="shared" si="128"/>
        <v>1.098742286737902</v>
      </c>
      <c r="BK144" s="386">
        <f t="shared" si="129"/>
        <v>0.32781059551669633</v>
      </c>
      <c r="BL144" s="386">
        <f t="shared" si="130"/>
        <v>0.14351699156108336</v>
      </c>
    </row>
    <row r="145" spans="7:64" x14ac:dyDescent="0.2">
      <c r="G145">
        <v>136</v>
      </c>
      <c r="H145" s="610">
        <f t="shared" si="131"/>
        <v>27.360000000000003</v>
      </c>
      <c r="I145" s="4" t="str">
        <f t="shared" si="132"/>
        <v>BUCK</v>
      </c>
      <c r="J145">
        <f t="shared" si="170"/>
        <v>1</v>
      </c>
      <c r="K145">
        <f t="shared" si="133"/>
        <v>4</v>
      </c>
      <c r="L145" s="4">
        <f t="shared" si="134"/>
        <v>1.9493177387914229</v>
      </c>
      <c r="M145" s="4">
        <f t="shared" si="135"/>
        <v>4</v>
      </c>
      <c r="N145" s="386">
        <f t="shared" si="136"/>
        <v>0.44320933625091169</v>
      </c>
      <c r="O145" s="386">
        <f t="shared" si="171"/>
        <v>0</v>
      </c>
      <c r="P145" s="4">
        <f t="shared" si="137"/>
        <v>3.8910670376135252</v>
      </c>
      <c r="Q145" s="386">
        <f t="shared" si="138"/>
        <v>4.1547202341754463</v>
      </c>
      <c r="R145" s="386">
        <f t="shared" si="116"/>
        <v>0.23208497029031985</v>
      </c>
      <c r="S145" s="386">
        <f t="shared" si="117"/>
        <v>0.46564510399728704</v>
      </c>
      <c r="T145" s="386">
        <f t="shared" si="118"/>
        <v>0.69773007428760692</v>
      </c>
      <c r="U145" s="4">
        <f t="shared" si="139"/>
        <v>1.1232543008005242</v>
      </c>
      <c r="V145" s="386">
        <f t="shared" si="119"/>
        <v>3.4065906055205618E-2</v>
      </c>
      <c r="W145" s="386">
        <f t="shared" si="120"/>
        <v>3.4065906055205618E-2</v>
      </c>
      <c r="X145" s="386">
        <f t="shared" si="140"/>
        <v>2.0639169010784024</v>
      </c>
      <c r="Y145" s="386">
        <f t="shared" si="121"/>
        <v>0.13631209518582643</v>
      </c>
      <c r="Z145" s="603">
        <f t="shared" si="122"/>
        <v>0.13631209518582643</v>
      </c>
      <c r="AA145" s="386">
        <f t="shared" si="141"/>
        <v>2.7659621651352242</v>
      </c>
      <c r="AB145" s="386">
        <f t="shared" si="142"/>
        <v>7.6505466989595372E-2</v>
      </c>
      <c r="AC145" s="386">
        <f t="shared" si="143"/>
        <v>0.43982162980925082</v>
      </c>
      <c r="AD145">
        <f t="shared" si="144"/>
        <v>0</v>
      </c>
      <c r="AE145" s="386">
        <f t="shared" si="145"/>
        <v>0.52565712618721006</v>
      </c>
      <c r="AF145" s="386">
        <f t="shared" si="146"/>
        <v>3.1001860468861122</v>
      </c>
      <c r="AG145" s="386">
        <f t="shared" si="147"/>
        <v>9.6111535253073394E-2</v>
      </c>
      <c r="AH145" s="386">
        <f t="shared" si="148"/>
        <v>0.19239999999999999</v>
      </c>
      <c r="AI145" s="386">
        <f t="shared" si="149"/>
        <v>0.29509144781791441</v>
      </c>
      <c r="AJ145" s="386">
        <f t="shared" si="150"/>
        <v>0</v>
      </c>
      <c r="AK145" s="386">
        <f t="shared" si="151"/>
        <v>0</v>
      </c>
      <c r="AL145" s="386">
        <f t="shared" si="152"/>
        <v>0</v>
      </c>
      <c r="AM145">
        <f t="shared" si="153"/>
        <v>0</v>
      </c>
      <c r="AN145" s="386">
        <f t="shared" si="154"/>
        <v>0</v>
      </c>
      <c r="AO145" s="386">
        <f t="shared" si="155"/>
        <v>4.1547202341754463</v>
      </c>
      <c r="AP145" s="386">
        <f t="shared" si="156"/>
        <v>0.17261700224266874</v>
      </c>
      <c r="AQ145" s="386">
        <f t="shared" si="157"/>
        <v>0</v>
      </c>
      <c r="AR145" s="386">
        <f t="shared" si="158"/>
        <v>0.17981820800606899</v>
      </c>
      <c r="AS145" s="386">
        <f t="shared" si="159"/>
        <v>0.17261700224266874</v>
      </c>
      <c r="AT145" s="386">
        <f t="shared" si="160"/>
        <v>0</v>
      </c>
      <c r="AU145" s="386">
        <f t="shared" si="161"/>
        <v>0.10108400000000002</v>
      </c>
      <c r="AV145" s="386">
        <f t="shared" si="162"/>
        <v>0.14416730287961008</v>
      </c>
      <c r="AW145" s="386">
        <f t="shared" si="163"/>
        <v>6.5920000000000006E-2</v>
      </c>
      <c r="AX145" s="386">
        <f t="shared" si="164"/>
        <v>3.6000000000000004E-2</v>
      </c>
      <c r="AY145" s="386">
        <f t="shared" si="165"/>
        <v>0.40226399999999995</v>
      </c>
      <c r="AZ145" s="386">
        <f t="shared" si="166"/>
        <v>0.30415082926829268</v>
      </c>
      <c r="BA145" s="386">
        <f t="shared" si="123"/>
        <v>0.43826399999999999</v>
      </c>
      <c r="BB145" s="386">
        <f t="shared" si="124"/>
        <v>2.6181101604194432</v>
      </c>
      <c r="BC145">
        <f t="shared" si="167"/>
        <v>48</v>
      </c>
      <c r="BD145" s="604">
        <f t="shared" si="125"/>
        <v>0.94827720450008701</v>
      </c>
      <c r="BE145" s="614">
        <f t="shared" si="168"/>
        <v>36.350985318858186</v>
      </c>
      <c r="BF145" s="614">
        <f t="shared" si="169"/>
        <v>17.115303973439037</v>
      </c>
      <c r="BG145" s="9"/>
      <c r="BH145" s="4">
        <f t="shared" si="126"/>
        <v>94.827720450008698</v>
      </c>
      <c r="BI145" s="386">
        <f t="shared" si="127"/>
        <v>0.69773007428760692</v>
      </c>
      <c r="BJ145" s="386">
        <f t="shared" si="128"/>
        <v>1.1016507820111934</v>
      </c>
      <c r="BK145" s="386">
        <f t="shared" si="129"/>
        <v>0.32844916781791444</v>
      </c>
      <c r="BL145" s="386">
        <f t="shared" si="130"/>
        <v>0.14416730287961008</v>
      </c>
    </row>
    <row r="146" spans="7:64" x14ac:dyDescent="0.2">
      <c r="G146">
        <v>137</v>
      </c>
      <c r="H146" s="610">
        <f t="shared" si="131"/>
        <v>27.495000000000001</v>
      </c>
      <c r="I146" s="4" t="str">
        <f t="shared" si="132"/>
        <v>BUCK</v>
      </c>
      <c r="J146">
        <f t="shared" si="170"/>
        <v>1</v>
      </c>
      <c r="K146">
        <f t="shared" si="133"/>
        <v>4</v>
      </c>
      <c r="L146" s="4">
        <f t="shared" si="134"/>
        <v>1.9397466205976845</v>
      </c>
      <c r="M146" s="4">
        <f t="shared" si="135"/>
        <v>4</v>
      </c>
      <c r="N146" s="386">
        <f t="shared" si="136"/>
        <v>0.44103792415169657</v>
      </c>
      <c r="O146" s="386">
        <f t="shared" si="171"/>
        <v>0</v>
      </c>
      <c r="P146" s="4">
        <f t="shared" si="137"/>
        <v>3.9062416994647853</v>
      </c>
      <c r="Q146" s="386">
        <f t="shared" si="138"/>
        <v>4.1559066822078421</v>
      </c>
      <c r="R146" s="386">
        <f t="shared" si="116"/>
        <v>0.23222000333947601</v>
      </c>
      <c r="S146" s="386">
        <f t="shared" si="117"/>
        <v>0.46983970972714395</v>
      </c>
      <c r="T146" s="386">
        <f t="shared" si="118"/>
        <v>0.70205971306661996</v>
      </c>
      <c r="U146" s="4">
        <f t="shared" si="139"/>
        <v>1.1276348483528675</v>
      </c>
      <c r="V146" s="386">
        <f t="shared" si="119"/>
        <v>3.4332129482934452E-2</v>
      </c>
      <c r="W146" s="386">
        <f t="shared" si="120"/>
        <v>3.4332129482934452E-2</v>
      </c>
      <c r="X146" s="386">
        <f t="shared" si="140"/>
        <v>2.0634546402758911</v>
      </c>
      <c r="Y146" s="386">
        <f t="shared" si="121"/>
        <v>0.13625104167923544</v>
      </c>
      <c r="Z146" s="603">
        <f t="shared" si="122"/>
        <v>0.13625104167923544</v>
      </c>
      <c r="AA146" s="386">
        <f t="shared" si="141"/>
        <v>2.7599661454740212</v>
      </c>
      <c r="AB146" s="386">
        <f t="shared" si="142"/>
        <v>7.6174131241627266E-2</v>
      </c>
      <c r="AC146" s="386">
        <f t="shared" si="143"/>
        <v>0.44199180232475688</v>
      </c>
      <c r="AD146">
        <f t="shared" si="144"/>
        <v>0</v>
      </c>
      <c r="AE146" s="386">
        <f t="shared" si="145"/>
        <v>0.52748791009002838</v>
      </c>
      <c r="AF146" s="386">
        <f t="shared" si="146"/>
        <v>3.1071123615114193</v>
      </c>
      <c r="AG146" s="386">
        <f t="shared" si="147"/>
        <v>9.654147227057068E-2</v>
      </c>
      <c r="AH146" s="386">
        <f t="shared" si="148"/>
        <v>0.19239999999999999</v>
      </c>
      <c r="AI146" s="386">
        <f t="shared" si="149"/>
        <v>0.29556134338957729</v>
      </c>
      <c r="AJ146" s="386">
        <f t="shared" si="150"/>
        <v>0</v>
      </c>
      <c r="AK146" s="386">
        <f t="shared" si="151"/>
        <v>0</v>
      </c>
      <c r="AL146" s="386">
        <f t="shared" si="152"/>
        <v>0</v>
      </c>
      <c r="AM146">
        <f t="shared" si="153"/>
        <v>0</v>
      </c>
      <c r="AN146" s="386">
        <f t="shared" si="154"/>
        <v>0</v>
      </c>
      <c r="AO146" s="386">
        <f t="shared" si="155"/>
        <v>4.1559066822078421</v>
      </c>
      <c r="AP146" s="386">
        <f t="shared" si="156"/>
        <v>0.17271560351219795</v>
      </c>
      <c r="AQ146" s="386">
        <f t="shared" si="157"/>
        <v>0</v>
      </c>
      <c r="AR146" s="386">
        <f t="shared" si="158"/>
        <v>0.17992521028967781</v>
      </c>
      <c r="AS146" s="386">
        <f t="shared" si="159"/>
        <v>0.17271560351219795</v>
      </c>
      <c r="AT146" s="386">
        <f t="shared" si="160"/>
        <v>0</v>
      </c>
      <c r="AU146" s="386">
        <f t="shared" si="161"/>
        <v>0.10158350000000001</v>
      </c>
      <c r="AV146" s="386">
        <f t="shared" si="162"/>
        <v>0.14481220840585601</v>
      </c>
      <c r="AW146" s="386">
        <f t="shared" si="163"/>
        <v>6.5920000000000006E-2</v>
      </c>
      <c r="AX146" s="386">
        <f t="shared" si="164"/>
        <v>3.6000000000000004E-2</v>
      </c>
      <c r="AY146" s="386">
        <f t="shared" si="165"/>
        <v>0.40226399999999995</v>
      </c>
      <c r="AZ146" s="386">
        <f t="shared" si="166"/>
        <v>0.30415082926829268</v>
      </c>
      <c r="BA146" s="386">
        <f t="shared" si="123"/>
        <v>0.43826399999999999</v>
      </c>
      <c r="BB146" s="386">
        <f t="shared" si="124"/>
        <v>2.6261970564039299</v>
      </c>
      <c r="BC146">
        <f t="shared" si="167"/>
        <v>48</v>
      </c>
      <c r="BD146" s="604">
        <f t="shared" si="125"/>
        <v>0.94812572918566218</v>
      </c>
      <c r="BE146" s="614">
        <f t="shared" si="168"/>
        <v>36.486141785221648</v>
      </c>
      <c r="BF146" s="614">
        <f t="shared" si="169"/>
        <v>17.142557916595482</v>
      </c>
      <c r="BG146" s="9"/>
      <c r="BH146" s="4">
        <f t="shared" si="126"/>
        <v>94.812572918566218</v>
      </c>
      <c r="BI146" s="386">
        <f t="shared" si="127"/>
        <v>0.70205971306661996</v>
      </c>
      <c r="BJ146" s="386">
        <f t="shared" si="128"/>
        <v>1.1045579637692835</v>
      </c>
      <c r="BK146" s="386">
        <f t="shared" si="129"/>
        <v>0.3290838983895773</v>
      </c>
      <c r="BL146" s="386">
        <f t="shared" si="130"/>
        <v>0.14481220840585601</v>
      </c>
    </row>
    <row r="147" spans="7:64" x14ac:dyDescent="0.2">
      <c r="G147">
        <v>138</v>
      </c>
      <c r="H147" s="610">
        <f t="shared" si="131"/>
        <v>27.63</v>
      </c>
      <c r="I147" s="4" t="str">
        <f t="shared" si="132"/>
        <v>BUCK</v>
      </c>
      <c r="J147">
        <f t="shared" si="170"/>
        <v>1</v>
      </c>
      <c r="K147">
        <f t="shared" si="133"/>
        <v>4</v>
      </c>
      <c r="L147" s="4">
        <f t="shared" si="134"/>
        <v>1.9302690312462298</v>
      </c>
      <c r="M147" s="4">
        <f t="shared" si="135"/>
        <v>4</v>
      </c>
      <c r="N147" s="386">
        <f t="shared" si="136"/>
        <v>0.4388876850848682</v>
      </c>
      <c r="O147" s="386">
        <f t="shared" si="171"/>
        <v>0</v>
      </c>
      <c r="P147" s="4">
        <f t="shared" si="137"/>
        <v>3.9212683960325552</v>
      </c>
      <c r="Q147" s="386">
        <f t="shared" si="138"/>
        <v>4.1570857764557028</v>
      </c>
      <c r="R147" s="386">
        <f t="shared" si="116"/>
        <v>0.23235424046992703</v>
      </c>
      <c r="S147" s="386">
        <f t="shared" si="117"/>
        <v>0.47401440644752685</v>
      </c>
      <c r="T147" s="386">
        <f t="shared" si="118"/>
        <v>0.70636864691745394</v>
      </c>
      <c r="U147" s="4">
        <f t="shared" si="139"/>
        <v>1.1319726820070839</v>
      </c>
      <c r="V147" s="386">
        <f t="shared" si="119"/>
        <v>3.4596778125878393E-2</v>
      </c>
      <c r="W147" s="386">
        <f t="shared" si="120"/>
        <v>3.4596778125878393E-2</v>
      </c>
      <c r="X147" s="386">
        <f t="shared" si="140"/>
        <v>2.0629589368568468</v>
      </c>
      <c r="Y147" s="386">
        <f t="shared" si="121"/>
        <v>0.13618558640504103</v>
      </c>
      <c r="Z147" s="603">
        <f t="shared" si="122"/>
        <v>0.13618558640504103</v>
      </c>
      <c r="AA147" s="386">
        <f t="shared" si="141"/>
        <v>2.7540110802900144</v>
      </c>
      <c r="AB147" s="386">
        <f t="shared" si="142"/>
        <v>7.584577030360172E-2</v>
      </c>
      <c r="AC147" s="386">
        <f t="shared" si="143"/>
        <v>0.4441619748402631</v>
      </c>
      <c r="AD147">
        <f t="shared" si="144"/>
        <v>0</v>
      </c>
      <c r="AE147" s="386">
        <f t="shared" si="145"/>
        <v>0.52932180743570656</v>
      </c>
      <c r="AF147" s="386">
        <f t="shared" si="146"/>
        <v>3.1139661402221672</v>
      </c>
      <c r="AG147" s="386">
        <f t="shared" si="147"/>
        <v>9.6967851224501425E-2</v>
      </c>
      <c r="AH147" s="386">
        <f t="shared" si="148"/>
        <v>0.19239999999999999</v>
      </c>
      <c r="AI147" s="386">
        <f t="shared" si="149"/>
        <v>0.29602744491956184</v>
      </c>
      <c r="AJ147" s="386">
        <f t="shared" si="150"/>
        <v>0</v>
      </c>
      <c r="AK147" s="386">
        <f t="shared" si="151"/>
        <v>0</v>
      </c>
      <c r="AL147" s="386">
        <f t="shared" si="152"/>
        <v>0</v>
      </c>
      <c r="AM147">
        <f t="shared" si="153"/>
        <v>0</v>
      </c>
      <c r="AN147" s="386">
        <f t="shared" si="154"/>
        <v>0</v>
      </c>
      <c r="AO147" s="386">
        <f t="shared" si="155"/>
        <v>4.1570857764557028</v>
      </c>
      <c r="AP147" s="386">
        <f t="shared" si="156"/>
        <v>0.17281362152810315</v>
      </c>
      <c r="AQ147" s="386">
        <f t="shared" si="157"/>
        <v>0</v>
      </c>
      <c r="AR147" s="386">
        <f t="shared" si="158"/>
        <v>0.1800315846801227</v>
      </c>
      <c r="AS147" s="386">
        <f t="shared" si="159"/>
        <v>0.17281362152810315</v>
      </c>
      <c r="AT147" s="386">
        <f t="shared" si="160"/>
        <v>0</v>
      </c>
      <c r="AU147" s="386">
        <f t="shared" si="161"/>
        <v>0.10208300000000001</v>
      </c>
      <c r="AV147" s="386">
        <f t="shared" si="162"/>
        <v>0.14545177683675214</v>
      </c>
      <c r="AW147" s="386">
        <f t="shared" si="163"/>
        <v>6.5920000000000006E-2</v>
      </c>
      <c r="AX147" s="386">
        <f t="shared" si="164"/>
        <v>3.6000000000000004E-2</v>
      </c>
      <c r="AY147" s="386">
        <f t="shared" si="165"/>
        <v>0.40226399999999995</v>
      </c>
      <c r="AZ147" s="386">
        <f t="shared" si="166"/>
        <v>0.30415082926829268</v>
      </c>
      <c r="BA147" s="386">
        <f t="shared" si="123"/>
        <v>0.43826399999999999</v>
      </c>
      <c r="BB147" s="386">
        <f t="shared" si="124"/>
        <v>2.6342506253205173</v>
      </c>
      <c r="BC147">
        <f t="shared" si="167"/>
        <v>48</v>
      </c>
      <c r="BD147" s="604">
        <f t="shared" si="125"/>
        <v>0.94797492620532209</v>
      </c>
      <c r="BE147" s="614">
        <f t="shared" si="168"/>
        <v>36.621478831270984</v>
      </c>
      <c r="BF147" s="614">
        <f t="shared" si="169"/>
        <v>17.169591805334587</v>
      </c>
      <c r="BG147" s="9"/>
      <c r="BH147" s="4">
        <f t="shared" si="126"/>
        <v>94.797492620532211</v>
      </c>
      <c r="BI147" s="386">
        <f t="shared" si="127"/>
        <v>0.70636864691745394</v>
      </c>
      <c r="BJ147" s="386">
        <f t="shared" si="128"/>
        <v>1.1074638370353909</v>
      </c>
      <c r="BK147" s="386">
        <f t="shared" si="129"/>
        <v>0.32971483491956183</v>
      </c>
      <c r="BL147" s="386">
        <f t="shared" si="130"/>
        <v>0.14545177683675214</v>
      </c>
    </row>
    <row r="148" spans="7:64" x14ac:dyDescent="0.2">
      <c r="G148">
        <v>139</v>
      </c>
      <c r="H148" s="610">
        <f t="shared" si="131"/>
        <v>27.764999999999997</v>
      </c>
      <c r="I148" s="4" t="str">
        <f t="shared" si="132"/>
        <v>BUCK</v>
      </c>
      <c r="J148">
        <f t="shared" si="170"/>
        <v>1</v>
      </c>
      <c r="K148">
        <f t="shared" si="133"/>
        <v>4</v>
      </c>
      <c r="L148" s="4">
        <f t="shared" si="134"/>
        <v>1.9208836064589712</v>
      </c>
      <c r="M148" s="4">
        <f t="shared" si="135"/>
        <v>4</v>
      </c>
      <c r="N148" s="386">
        <f t="shared" si="136"/>
        <v>0.43675831087151845</v>
      </c>
      <c r="O148" s="386">
        <f t="shared" si="171"/>
        <v>0</v>
      </c>
      <c r="P148" s="4">
        <f t="shared" si="137"/>
        <v>3.9361492809894254</v>
      </c>
      <c r="Q148" s="386">
        <f t="shared" si="138"/>
        <v>4.1582575593854374</v>
      </c>
      <c r="R148" s="386">
        <f t="shared" si="116"/>
        <v>0.23248768575562573</v>
      </c>
      <c r="S148" s="386">
        <f t="shared" si="117"/>
        <v>0.47816920392389567</v>
      </c>
      <c r="T148" s="386">
        <f t="shared" si="118"/>
        <v>0.71065688967952134</v>
      </c>
      <c r="U148" s="4">
        <f t="shared" si="139"/>
        <v>1.1362684234748983</v>
      </c>
      <c r="V148" s="386">
        <f t="shared" si="119"/>
        <v>3.4859860115025537E-2</v>
      </c>
      <c r="W148" s="386">
        <f t="shared" si="120"/>
        <v>3.4859860115025537E-2</v>
      </c>
      <c r="X148" s="386">
        <f t="shared" si="140"/>
        <v>2.0624307285241388</v>
      </c>
      <c r="Y148" s="386">
        <f t="shared" si="121"/>
        <v>0.13611585631873951</v>
      </c>
      <c r="Z148" s="603">
        <f t="shared" si="122"/>
        <v>0.13611585631873951</v>
      </c>
      <c r="AA148" s="386">
        <f t="shared" si="141"/>
        <v>2.7480964719544678</v>
      </c>
      <c r="AB148" s="386">
        <f t="shared" si="142"/>
        <v>7.5520342191685935E-2</v>
      </c>
      <c r="AC148" s="386">
        <f t="shared" si="143"/>
        <v>0.44633214735576915</v>
      </c>
      <c r="AD148">
        <f t="shared" si="144"/>
        <v>0</v>
      </c>
      <c r="AE148" s="386">
        <f t="shared" si="145"/>
        <v>0.53115877336633111</v>
      </c>
      <c r="AF148" s="386">
        <f t="shared" si="146"/>
        <v>3.1207485818337788</v>
      </c>
      <c r="AG148" s="386">
        <f t="shared" si="147"/>
        <v>9.7390717110175412E-2</v>
      </c>
      <c r="AH148" s="386">
        <f t="shared" si="148"/>
        <v>0.19239999999999999</v>
      </c>
      <c r="AI148" s="386">
        <f t="shared" si="149"/>
        <v>0.29648979927702174</v>
      </c>
      <c r="AJ148" s="386">
        <f t="shared" si="150"/>
        <v>0</v>
      </c>
      <c r="AK148" s="386">
        <f t="shared" si="151"/>
        <v>0</v>
      </c>
      <c r="AL148" s="386">
        <f t="shared" si="152"/>
        <v>0</v>
      </c>
      <c r="AM148">
        <f t="shared" si="153"/>
        <v>0</v>
      </c>
      <c r="AN148" s="386">
        <f t="shared" si="154"/>
        <v>0</v>
      </c>
      <c r="AO148" s="386">
        <f t="shared" si="155"/>
        <v>4.1582575593854374</v>
      </c>
      <c r="AP148" s="386">
        <f t="shared" si="156"/>
        <v>0.17291105930186135</v>
      </c>
      <c r="AQ148" s="386">
        <f t="shared" si="157"/>
        <v>0</v>
      </c>
      <c r="AR148" s="386">
        <f t="shared" si="158"/>
        <v>0.18013733435623874</v>
      </c>
      <c r="AS148" s="386">
        <f t="shared" si="159"/>
        <v>0.17291105930186135</v>
      </c>
      <c r="AT148" s="386">
        <f t="shared" si="160"/>
        <v>0</v>
      </c>
      <c r="AU148" s="386">
        <f t="shared" si="161"/>
        <v>0.10258249999999999</v>
      </c>
      <c r="AV148" s="386">
        <f t="shared" si="162"/>
        <v>0.1460860756652631</v>
      </c>
      <c r="AW148" s="386">
        <f t="shared" si="163"/>
        <v>6.5920000000000006E-2</v>
      </c>
      <c r="AX148" s="386">
        <f t="shared" si="164"/>
        <v>3.6000000000000004E-2</v>
      </c>
      <c r="AY148" s="386">
        <f t="shared" si="165"/>
        <v>0.40226399999999995</v>
      </c>
      <c r="AZ148" s="386">
        <f t="shared" si="166"/>
        <v>0.30415082926829268</v>
      </c>
      <c r="BA148" s="386">
        <f t="shared" si="123"/>
        <v>0.43826399999999999</v>
      </c>
      <c r="BB148" s="386">
        <f t="shared" si="124"/>
        <v>2.6422710887781413</v>
      </c>
      <c r="BC148">
        <f t="shared" si="167"/>
        <v>48</v>
      </c>
      <c r="BD148" s="604">
        <f t="shared" si="125"/>
        <v>0.94782479079293014</v>
      </c>
      <c r="BE148" s="614">
        <f t="shared" si="168"/>
        <v>36.756993855247202</v>
      </c>
      <c r="BF148" s="614">
        <f t="shared" si="169"/>
        <v>17.196408358067259</v>
      </c>
      <c r="BG148" s="9"/>
      <c r="BH148" s="4">
        <f t="shared" si="126"/>
        <v>94.782479079293012</v>
      </c>
      <c r="BI148" s="386">
        <f t="shared" si="127"/>
        <v>0.71065688967952134</v>
      </c>
      <c r="BJ148" s="386">
        <f t="shared" si="128"/>
        <v>1.1103684069995916</v>
      </c>
      <c r="BK148" s="386">
        <f t="shared" si="129"/>
        <v>0.33034202427702175</v>
      </c>
      <c r="BL148" s="386">
        <f t="shared" si="130"/>
        <v>0.1460860756652631</v>
      </c>
    </row>
    <row r="149" spans="7:64" x14ac:dyDescent="0.2">
      <c r="G149">
        <v>140</v>
      </c>
      <c r="H149" s="610">
        <f t="shared" si="131"/>
        <v>27.9</v>
      </c>
      <c r="I149" s="4" t="str">
        <f t="shared" si="132"/>
        <v>BUCK</v>
      </c>
      <c r="J149">
        <f t="shared" si="170"/>
        <v>1</v>
      </c>
      <c r="K149">
        <f t="shared" si="133"/>
        <v>4</v>
      </c>
      <c r="L149" s="4">
        <f t="shared" si="134"/>
        <v>1.9115890083632019</v>
      </c>
      <c r="M149" s="4">
        <f t="shared" si="135"/>
        <v>4</v>
      </c>
      <c r="N149" s="386">
        <f t="shared" si="136"/>
        <v>0.43464949928469243</v>
      </c>
      <c r="O149" s="386">
        <f t="shared" si="171"/>
        <v>0</v>
      </c>
      <c r="P149" s="4">
        <f t="shared" si="137"/>
        <v>3.9508864664134502</v>
      </c>
      <c r="Q149" s="386">
        <f t="shared" si="138"/>
        <v>4.159422073943376</v>
      </c>
      <c r="R149" s="386">
        <f t="shared" si="116"/>
        <v>0.2326203433357075</v>
      </c>
      <c r="S149" s="386">
        <f t="shared" si="117"/>
        <v>0.48230411659322781</v>
      </c>
      <c r="T149" s="386">
        <f t="shared" si="118"/>
        <v>0.71492445992893527</v>
      </c>
      <c r="U149" s="4">
        <f t="shared" si="139"/>
        <v>1.1405226824607275</v>
      </c>
      <c r="V149" s="386">
        <f t="shared" si="119"/>
        <v>3.5121383708600164E-2</v>
      </c>
      <c r="W149" s="386">
        <f t="shared" si="120"/>
        <v>3.5121383708600164E-2</v>
      </c>
      <c r="X149" s="386">
        <f t="shared" si="140"/>
        <v>2.0618709255276788</v>
      </c>
      <c r="Y149" s="386">
        <f t="shared" si="121"/>
        <v>0.13604197483316374</v>
      </c>
      <c r="Z149" s="603">
        <f t="shared" si="122"/>
        <v>0.13604197483316374</v>
      </c>
      <c r="AA149" s="386">
        <f t="shared" si="141"/>
        <v>2.7422218318979268</v>
      </c>
      <c r="AB149" s="386">
        <f t="shared" si="142"/>
        <v>7.5197805753376215E-2</v>
      </c>
      <c r="AC149" s="386">
        <f t="shared" si="143"/>
        <v>0.44850231987127542</v>
      </c>
      <c r="AD149">
        <f t="shared" si="144"/>
        <v>0</v>
      </c>
      <c r="AE149" s="386">
        <f t="shared" si="145"/>
        <v>0.53299876392852297</v>
      </c>
      <c r="AF149" s="386">
        <f t="shared" si="146"/>
        <v>3.1274608572881926</v>
      </c>
      <c r="AG149" s="386">
        <f t="shared" si="147"/>
        <v>9.7810114138697973E-2</v>
      </c>
      <c r="AH149" s="386">
        <f t="shared" si="148"/>
        <v>0.19239999999999999</v>
      </c>
      <c r="AI149" s="386">
        <f t="shared" si="149"/>
        <v>0.2969484525309008</v>
      </c>
      <c r="AJ149" s="386">
        <f t="shared" si="150"/>
        <v>0</v>
      </c>
      <c r="AK149" s="386">
        <f t="shared" si="151"/>
        <v>0</v>
      </c>
      <c r="AL149" s="386">
        <f t="shared" si="152"/>
        <v>0</v>
      </c>
      <c r="AM149">
        <f t="shared" si="153"/>
        <v>0</v>
      </c>
      <c r="AN149" s="386">
        <f t="shared" si="154"/>
        <v>0</v>
      </c>
      <c r="AO149" s="386">
        <f t="shared" si="155"/>
        <v>4.159422073943376</v>
      </c>
      <c r="AP149" s="386">
        <f t="shared" si="156"/>
        <v>0.17300791989207415</v>
      </c>
      <c r="AQ149" s="386">
        <f t="shared" si="157"/>
        <v>0</v>
      </c>
      <c r="AR149" s="386">
        <f t="shared" si="158"/>
        <v>0.18024246254914392</v>
      </c>
      <c r="AS149" s="386">
        <f t="shared" si="159"/>
        <v>0.17300791989207415</v>
      </c>
      <c r="AT149" s="386">
        <f t="shared" si="160"/>
        <v>0</v>
      </c>
      <c r="AU149" s="386">
        <f t="shared" si="161"/>
        <v>0.10308200000000001</v>
      </c>
      <c r="AV149" s="386">
        <f t="shared" si="162"/>
        <v>0.14671517120804695</v>
      </c>
      <c r="AW149" s="386">
        <f t="shared" si="163"/>
        <v>6.5920000000000006E-2</v>
      </c>
      <c r="AX149" s="386">
        <f t="shared" si="164"/>
        <v>3.6000000000000004E-2</v>
      </c>
      <c r="AY149" s="386">
        <f t="shared" si="165"/>
        <v>0.40226399999999995</v>
      </c>
      <c r="AZ149" s="386">
        <f t="shared" si="166"/>
        <v>0.30415082926829268</v>
      </c>
      <c r="BA149" s="386">
        <f t="shared" si="123"/>
        <v>0.43826399999999999</v>
      </c>
      <c r="BB149" s="386">
        <f t="shared" si="124"/>
        <v>2.650258668687314</v>
      </c>
      <c r="BC149">
        <f t="shared" si="167"/>
        <v>48</v>
      </c>
      <c r="BD149" s="604">
        <f t="shared" si="125"/>
        <v>0.94767531818498407</v>
      </c>
      <c r="BE149" s="614">
        <f t="shared" si="168"/>
        <v>36.892684307854331</v>
      </c>
      <c r="BF149" s="614">
        <f t="shared" si="169"/>
        <v>17.223010246792246</v>
      </c>
      <c r="BG149" s="9"/>
      <c r="BH149" s="4">
        <f t="shared" si="126"/>
        <v>94.767531818498412</v>
      </c>
      <c r="BI149" s="386">
        <f t="shared" si="127"/>
        <v>0.71492445992893527</v>
      </c>
      <c r="BJ149" s="386">
        <f t="shared" si="128"/>
        <v>1.1132716790085677</v>
      </c>
      <c r="BK149" s="386">
        <f t="shared" si="129"/>
        <v>0.33096551253090079</v>
      </c>
      <c r="BL149" s="386">
        <f t="shared" si="130"/>
        <v>0.14671517120804695</v>
      </c>
    </row>
    <row r="150" spans="7:64" x14ac:dyDescent="0.2">
      <c r="G150">
        <v>141</v>
      </c>
      <c r="H150" s="610">
        <f t="shared" si="131"/>
        <v>28.035</v>
      </c>
      <c r="I150" s="4" t="str">
        <f t="shared" si="132"/>
        <v>BUCK</v>
      </c>
      <c r="J150">
        <f t="shared" si="170"/>
        <v>1</v>
      </c>
      <c r="K150">
        <f t="shared" si="133"/>
        <v>4</v>
      </c>
      <c r="L150" s="4">
        <f t="shared" si="134"/>
        <v>1.902383924855835</v>
      </c>
      <c r="M150" s="4">
        <f t="shared" si="135"/>
        <v>4</v>
      </c>
      <c r="N150" s="386">
        <f t="shared" si="136"/>
        <v>0.43256095390638905</v>
      </c>
      <c r="O150" s="386">
        <f t="shared" si="171"/>
        <v>0</v>
      </c>
      <c r="P150" s="4">
        <f t="shared" si="137"/>
        <v>3.965482023787485</v>
      </c>
      <c r="Q150" s="386">
        <f t="shared" si="138"/>
        <v>4.160579363511987</v>
      </c>
      <c r="R150" s="386">
        <f t="shared" si="116"/>
        <v>0.23275221740949317</v>
      </c>
      <c r="S150" s="386">
        <f t="shared" si="117"/>
        <v>0.48641916334983443</v>
      </c>
      <c r="T150" s="386">
        <f t="shared" si="118"/>
        <v>0.71917138075932763</v>
      </c>
      <c r="U150" s="4">
        <f t="shared" si="139"/>
        <v>1.1447360569501632</v>
      </c>
      <c r="V150" s="386">
        <f t="shared" si="119"/>
        <v>3.5381357282208793E-2</v>
      </c>
      <c r="W150" s="386">
        <f t="shared" si="120"/>
        <v>3.5381357282208793E-2</v>
      </c>
      <c r="X150" s="386">
        <f t="shared" si="140"/>
        <v>2.0612804116038679</v>
      </c>
      <c r="Y150" s="386">
        <f t="shared" si="121"/>
        <v>0.13596406192837796</v>
      </c>
      <c r="Z150" s="603">
        <f t="shared" si="122"/>
        <v>0.13596406192837796</v>
      </c>
      <c r="AA150" s="386">
        <f t="shared" si="141"/>
        <v>2.7363866803861314</v>
      </c>
      <c r="AB150" s="386">
        <f t="shared" si="142"/>
        <v>7.4878120645946317E-2</v>
      </c>
      <c r="AC150" s="386">
        <f t="shared" si="143"/>
        <v>0.45067249238678159</v>
      </c>
      <c r="AD150">
        <f t="shared" si="144"/>
        <v>0</v>
      </c>
      <c r="AE150" s="386">
        <f t="shared" si="145"/>
        <v>0.53484173604963947</v>
      </c>
      <c r="AF150" s="386">
        <f t="shared" si="146"/>
        <v>3.134104110505453</v>
      </c>
      <c r="AG150" s="386">
        <f t="shared" si="147"/>
        <v>9.8226085754871767E-2</v>
      </c>
      <c r="AH150" s="386">
        <f t="shared" si="148"/>
        <v>0.19239999999999999</v>
      </c>
      <c r="AI150" s="386">
        <f t="shared" si="149"/>
        <v>0.29740344996791129</v>
      </c>
      <c r="AJ150" s="386">
        <f t="shared" si="150"/>
        <v>0</v>
      </c>
      <c r="AK150" s="386">
        <f t="shared" si="151"/>
        <v>0</v>
      </c>
      <c r="AL150" s="386">
        <f t="shared" si="152"/>
        <v>0</v>
      </c>
      <c r="AM150">
        <f t="shared" si="153"/>
        <v>0</v>
      </c>
      <c r="AN150" s="386">
        <f t="shared" si="154"/>
        <v>0</v>
      </c>
      <c r="AO150" s="386">
        <f t="shared" si="155"/>
        <v>4.160579363511987</v>
      </c>
      <c r="AP150" s="386">
        <f t="shared" si="156"/>
        <v>0.17310420640081811</v>
      </c>
      <c r="AQ150" s="386">
        <f t="shared" si="157"/>
        <v>0</v>
      </c>
      <c r="AR150" s="386">
        <f t="shared" si="158"/>
        <v>0.18034697253828089</v>
      </c>
      <c r="AS150" s="386">
        <f t="shared" si="159"/>
        <v>0.17310420640081811</v>
      </c>
      <c r="AT150" s="386">
        <f t="shared" si="160"/>
        <v>0</v>
      </c>
      <c r="AU150" s="386">
        <f t="shared" si="161"/>
        <v>0.10358150000000001</v>
      </c>
      <c r="AV150" s="386">
        <f t="shared" si="162"/>
        <v>0.14733912863230764</v>
      </c>
      <c r="AW150" s="386">
        <f t="shared" si="163"/>
        <v>6.5920000000000006E-2</v>
      </c>
      <c r="AX150" s="386">
        <f t="shared" si="164"/>
        <v>3.6000000000000004E-2</v>
      </c>
      <c r="AY150" s="386">
        <f t="shared" si="165"/>
        <v>0.40226399999999995</v>
      </c>
      <c r="AZ150" s="386">
        <f t="shared" si="166"/>
        <v>0.30415082926829268</v>
      </c>
      <c r="BA150" s="386">
        <f t="shared" si="123"/>
        <v>0.43826399999999999</v>
      </c>
      <c r="BB150" s="386">
        <f t="shared" si="124"/>
        <v>2.6582135871580541</v>
      </c>
      <c r="BC150">
        <f t="shared" si="167"/>
        <v>48</v>
      </c>
      <c r="BD150" s="604">
        <f t="shared" si="125"/>
        <v>0.9475265036224666</v>
      </c>
      <c r="BE150" s="614">
        <f t="shared" si="168"/>
        <v>37.028547690879087</v>
      </c>
      <c r="BF150" s="614">
        <f t="shared" si="169"/>
        <v>17.249400098138857</v>
      </c>
      <c r="BG150" s="9"/>
      <c r="BH150" s="4">
        <f t="shared" si="126"/>
        <v>94.752650362246655</v>
      </c>
      <c r="BI150" s="386">
        <f t="shared" si="127"/>
        <v>0.71917138075932763</v>
      </c>
      <c r="BJ150" s="386">
        <f t="shared" si="128"/>
        <v>1.1161736585558317</v>
      </c>
      <c r="BK150" s="386">
        <f t="shared" si="129"/>
        <v>0.33158534496791131</v>
      </c>
      <c r="BL150" s="386">
        <f t="shared" si="130"/>
        <v>0.14733912863230764</v>
      </c>
    </row>
    <row r="151" spans="7:64" x14ac:dyDescent="0.2">
      <c r="G151">
        <v>142</v>
      </c>
      <c r="H151" s="610">
        <f t="shared" si="131"/>
        <v>28.169999999999998</v>
      </c>
      <c r="I151" s="4" t="str">
        <f t="shared" si="132"/>
        <v>BUCK</v>
      </c>
      <c r="J151">
        <f t="shared" si="170"/>
        <v>1</v>
      </c>
      <c r="K151">
        <f t="shared" si="133"/>
        <v>4</v>
      </c>
      <c r="L151" s="4">
        <f t="shared" si="134"/>
        <v>1.893267068985919</v>
      </c>
      <c r="M151" s="4">
        <f t="shared" si="135"/>
        <v>4</v>
      </c>
      <c r="N151" s="386">
        <f t="shared" si="136"/>
        <v>0.43049238398866457</v>
      </c>
      <c r="O151" s="386">
        <f t="shared" si="171"/>
        <v>0</v>
      </c>
      <c r="P151" s="4">
        <f t="shared" si="137"/>
        <v>3.9799379849698435</v>
      </c>
      <c r="Q151" s="386">
        <f t="shared" si="138"/>
        <v>4.161729471868294</v>
      </c>
      <c r="R151" s="386">
        <f t="shared" si="116"/>
        <v>0.23288331223173298</v>
      </c>
      <c r="S151" s="386">
        <f t="shared" si="117"/>
        <v>0.49051436733976661</v>
      </c>
      <c r="T151" s="386">
        <f t="shared" si="118"/>
        <v>0.72339767957149959</v>
      </c>
      <c r="U151" s="4">
        <f t="shared" si="139"/>
        <v>1.148909133490178</v>
      </c>
      <c r="V151" s="386">
        <f t="shared" si="119"/>
        <v>3.5639789319463093E-2</v>
      </c>
      <c r="W151" s="386">
        <f t="shared" si="120"/>
        <v>3.5639789319463093E-2</v>
      </c>
      <c r="X151" s="386">
        <f t="shared" si="140"/>
        <v>2.0606600448772023</v>
      </c>
      <c r="Y151" s="386">
        <f t="shared" si="121"/>
        <v>0.13588223425770604</v>
      </c>
      <c r="Z151" s="603">
        <f t="shared" si="122"/>
        <v>0.13588223425770604</v>
      </c>
      <c r="AA151" s="386">
        <f t="shared" si="141"/>
        <v>2.7305905463029383</v>
      </c>
      <c r="AB151" s="386">
        <f t="shared" si="142"/>
        <v>7.4561247315589788E-2</v>
      </c>
      <c r="AC151" s="386">
        <f t="shared" si="143"/>
        <v>0.45284266490228775</v>
      </c>
      <c r="AD151">
        <f t="shared" si="144"/>
        <v>0</v>
      </c>
      <c r="AE151" s="386">
        <f t="shared" si="145"/>
        <v>0.53668764751475362</v>
      </c>
      <c r="AF151" s="386">
        <f t="shared" si="146"/>
        <v>3.1406794592027647</v>
      </c>
      <c r="AG151" s="386">
        <f t="shared" si="147"/>
        <v>9.8638674654581704E-2</v>
      </c>
      <c r="AH151" s="386">
        <f t="shared" si="148"/>
        <v>0.19239999999999999</v>
      </c>
      <c r="AI151" s="386">
        <f t="shared" si="149"/>
        <v>0.29785483610999836</v>
      </c>
      <c r="AJ151" s="386">
        <f t="shared" si="150"/>
        <v>0</v>
      </c>
      <c r="AK151" s="386">
        <f t="shared" si="151"/>
        <v>0</v>
      </c>
      <c r="AL151" s="386">
        <f t="shared" si="152"/>
        <v>0</v>
      </c>
      <c r="AM151">
        <f t="shared" si="153"/>
        <v>0</v>
      </c>
      <c r="AN151" s="386">
        <f t="shared" si="154"/>
        <v>0</v>
      </c>
      <c r="AO151" s="386">
        <f t="shared" si="155"/>
        <v>4.161729471868294</v>
      </c>
      <c r="AP151" s="386">
        <f t="shared" si="156"/>
        <v>0.17319992197017151</v>
      </c>
      <c r="AQ151" s="386">
        <f t="shared" si="157"/>
        <v>0</v>
      </c>
      <c r="AR151" s="386">
        <f t="shared" si="158"/>
        <v>0.18045086764764873</v>
      </c>
      <c r="AS151" s="386">
        <f t="shared" si="159"/>
        <v>0.17319992197017151</v>
      </c>
      <c r="AT151" s="386">
        <f t="shared" si="160"/>
        <v>0</v>
      </c>
      <c r="AU151" s="386">
        <f t="shared" si="161"/>
        <v>0.10408100000000001</v>
      </c>
      <c r="AV151" s="386">
        <f t="shared" si="162"/>
        <v>0.14795801198187256</v>
      </c>
      <c r="AW151" s="386">
        <f t="shared" si="163"/>
        <v>6.5920000000000006E-2</v>
      </c>
      <c r="AX151" s="386">
        <f t="shared" si="164"/>
        <v>3.6000000000000004E-2</v>
      </c>
      <c r="AY151" s="386">
        <f t="shared" si="165"/>
        <v>0.40226399999999995</v>
      </c>
      <c r="AZ151" s="386">
        <f t="shared" si="166"/>
        <v>0.30415082926829268</v>
      </c>
      <c r="BA151" s="386">
        <f t="shared" si="123"/>
        <v>0.43826399999999999</v>
      </c>
      <c r="BB151" s="386">
        <f t="shared" si="124"/>
        <v>2.6661360664029417</v>
      </c>
      <c r="BC151">
        <f t="shared" si="167"/>
        <v>48</v>
      </c>
      <c r="BD151" s="604">
        <f t="shared" si="125"/>
        <v>0.94737834235259799</v>
      </c>
      <c r="BE151" s="614">
        <f t="shared" si="168"/>
        <v>37.164581555855712</v>
      </c>
      <c r="BF151" s="614">
        <f t="shared" si="169"/>
        <v>17.275580494379906</v>
      </c>
      <c r="BG151" s="9"/>
      <c r="BH151" s="4">
        <f t="shared" si="126"/>
        <v>94.737834235259797</v>
      </c>
      <c r="BI151" s="386">
        <f t="shared" si="127"/>
        <v>0.72339767957149959</v>
      </c>
      <c r="BJ151" s="386">
        <f t="shared" si="128"/>
        <v>1.1190743512724006</v>
      </c>
      <c r="BK151" s="386">
        <f t="shared" si="129"/>
        <v>0.33220156610999835</v>
      </c>
      <c r="BL151" s="386">
        <f t="shared" si="130"/>
        <v>0.14795801198187256</v>
      </c>
    </row>
    <row r="152" spans="7:64" x14ac:dyDescent="0.2">
      <c r="G152">
        <v>143</v>
      </c>
      <c r="H152" s="610">
        <f t="shared" si="131"/>
        <v>28.305</v>
      </c>
      <c r="I152" s="4" t="str">
        <f t="shared" si="132"/>
        <v>BUCK</v>
      </c>
      <c r="J152">
        <f t="shared" si="170"/>
        <v>1</v>
      </c>
      <c r="K152">
        <f t="shared" si="133"/>
        <v>4</v>
      </c>
      <c r="L152" s="4">
        <f t="shared" si="134"/>
        <v>1.8842371783548255</v>
      </c>
      <c r="M152" s="4">
        <f t="shared" si="135"/>
        <v>4</v>
      </c>
      <c r="N152" s="386">
        <f t="shared" si="136"/>
        <v>0.42844350431870259</v>
      </c>
      <c r="O152" s="386">
        <f t="shared" si="171"/>
        <v>0</v>
      </c>
      <c r="P152" s="4">
        <f t="shared" si="137"/>
        <v>3.9942563431372458</v>
      </c>
      <c r="Q152" s="386">
        <f t="shared" si="138"/>
        <v>4.1628724431443986</v>
      </c>
      <c r="R152" s="386">
        <f t="shared" si="116"/>
        <v>0.23301363210808151</v>
      </c>
      <c r="S152" s="386">
        <f t="shared" si="117"/>
        <v>0.49458975576346242</v>
      </c>
      <c r="T152" s="386">
        <f t="shared" si="118"/>
        <v>0.72760338787154399</v>
      </c>
      <c r="U152" s="4">
        <f t="shared" si="139"/>
        <v>1.1530424874613296</v>
      </c>
      <c r="V152" s="386">
        <f t="shared" si="119"/>
        <v>3.5896688403057285E-2</v>
      </c>
      <c r="W152" s="386">
        <f t="shared" si="120"/>
        <v>3.5896688403057285E-2</v>
      </c>
      <c r="X152" s="386">
        <f t="shared" si="140"/>
        <v>2.0600106587258233</v>
      </c>
      <c r="Y152" s="386">
        <f t="shared" si="121"/>
        <v>0.13579660525004802</v>
      </c>
      <c r="Z152" s="603">
        <f t="shared" si="122"/>
        <v>0.13579660525004802</v>
      </c>
      <c r="AA152" s="386">
        <f t="shared" si="141"/>
        <v>2.7248329669399989</v>
      </c>
      <c r="AB152" s="386">
        <f t="shared" si="142"/>
        <v>7.424714697723038E-2</v>
      </c>
      <c r="AC152" s="386">
        <f t="shared" si="143"/>
        <v>0.45501283741779391</v>
      </c>
      <c r="AD152">
        <f t="shared" si="144"/>
        <v>0</v>
      </c>
      <c r="AE152" s="386">
        <f t="shared" si="145"/>
        <v>0.53853645694437657</v>
      </c>
      <c r="AF152" s="386">
        <f t="shared" si="146"/>
        <v>3.1471879956824917</v>
      </c>
      <c r="AG152" s="386">
        <f t="shared" si="147"/>
        <v>9.9047922801679802E-2</v>
      </c>
      <c r="AH152" s="386">
        <f t="shared" si="148"/>
        <v>0.19239999999999999</v>
      </c>
      <c r="AI152" s="386">
        <f t="shared" si="149"/>
        <v>0.29830265473130796</v>
      </c>
      <c r="AJ152" s="386">
        <f t="shared" si="150"/>
        <v>0</v>
      </c>
      <c r="AK152" s="386">
        <f t="shared" si="151"/>
        <v>0</v>
      </c>
      <c r="AL152" s="386">
        <f t="shared" si="152"/>
        <v>0</v>
      </c>
      <c r="AM152">
        <f t="shared" si="153"/>
        <v>0</v>
      </c>
      <c r="AN152" s="386">
        <f t="shared" si="154"/>
        <v>0</v>
      </c>
      <c r="AO152" s="386">
        <f t="shared" si="155"/>
        <v>4.1628724431443986</v>
      </c>
      <c r="AP152" s="386">
        <f t="shared" si="156"/>
        <v>0.17329506977891015</v>
      </c>
      <c r="AQ152" s="386">
        <f t="shared" si="157"/>
        <v>0</v>
      </c>
      <c r="AR152" s="386">
        <f t="shared" si="158"/>
        <v>0.18055415124221708</v>
      </c>
      <c r="AS152" s="386">
        <f t="shared" si="159"/>
        <v>0.17329506977891015</v>
      </c>
      <c r="AT152" s="386">
        <f t="shared" si="160"/>
        <v>0</v>
      </c>
      <c r="AU152" s="386">
        <f t="shared" si="161"/>
        <v>0.10458050000000001</v>
      </c>
      <c r="AV152" s="386">
        <f t="shared" si="162"/>
        <v>0.14857188420251968</v>
      </c>
      <c r="AW152" s="386">
        <f t="shared" si="163"/>
        <v>6.5920000000000006E-2</v>
      </c>
      <c r="AX152" s="386">
        <f t="shared" si="164"/>
        <v>3.6000000000000004E-2</v>
      </c>
      <c r="AY152" s="386">
        <f t="shared" si="165"/>
        <v>0.40226399999999995</v>
      </c>
      <c r="AZ152" s="386">
        <f t="shared" si="166"/>
        <v>0.30415082926829268</v>
      </c>
      <c r="BA152" s="386">
        <f t="shared" si="123"/>
        <v>0.43826399999999999</v>
      </c>
      <c r="BB152" s="386">
        <f t="shared" si="124"/>
        <v>2.6740263286450707</v>
      </c>
      <c r="BC152">
        <f t="shared" si="167"/>
        <v>48</v>
      </c>
      <c r="BD152" s="604">
        <f t="shared" si="125"/>
        <v>0.94723082963049465</v>
      </c>
      <c r="BE152" s="614">
        <f t="shared" si="168"/>
        <v>37.300783502773839</v>
      </c>
      <c r="BF152" s="614">
        <f t="shared" si="169"/>
        <v>17.30155397441586</v>
      </c>
      <c r="BG152" s="9"/>
      <c r="BH152" s="4">
        <f t="shared" si="126"/>
        <v>94.723082963049464</v>
      </c>
      <c r="BI152" s="386">
        <f t="shared" si="127"/>
        <v>0.72760338787154399</v>
      </c>
      <c r="BJ152" s="386">
        <f t="shared" si="128"/>
        <v>1.1219737629179016</v>
      </c>
      <c r="BK152" s="386">
        <f t="shared" si="129"/>
        <v>0.33281421973130798</v>
      </c>
      <c r="BL152" s="386">
        <f t="shared" si="130"/>
        <v>0.14857188420251968</v>
      </c>
    </row>
    <row r="153" spans="7:64" x14ac:dyDescent="0.2">
      <c r="G153">
        <v>144</v>
      </c>
      <c r="H153" s="610">
        <f t="shared" si="131"/>
        <v>28.439999999999998</v>
      </c>
      <c r="I153" s="4" t="str">
        <f t="shared" si="132"/>
        <v>BUCK</v>
      </c>
      <c r="J153">
        <f t="shared" si="170"/>
        <v>1</v>
      </c>
      <c r="K153">
        <f t="shared" si="133"/>
        <v>4</v>
      </c>
      <c r="L153" s="4">
        <f t="shared" si="134"/>
        <v>1.8752930145335209</v>
      </c>
      <c r="M153" s="4">
        <f t="shared" si="135"/>
        <v>4</v>
      </c>
      <c r="N153" s="386">
        <f t="shared" si="136"/>
        <v>0.4264140350877193</v>
      </c>
      <c r="O153" s="386">
        <f t="shared" si="171"/>
        <v>0</v>
      </c>
      <c r="P153" s="4">
        <f t="shared" si="137"/>
        <v>4.0084390537009575</v>
      </c>
      <c r="Q153" s="386">
        <f t="shared" si="138"/>
        <v>4.1640083217899857</v>
      </c>
      <c r="R153" s="386">
        <f t="shared" si="116"/>
        <v>0.23314318139078988</v>
      </c>
      <c r="S153" s="386">
        <f t="shared" si="117"/>
        <v>0.49864535968628454</v>
      </c>
      <c r="T153" s="386">
        <f t="shared" si="118"/>
        <v>0.73178854107707436</v>
      </c>
      <c r="U153" s="4">
        <f t="shared" si="139"/>
        <v>1.1571366833422283</v>
      </c>
      <c r="V153" s="386">
        <f t="shared" si="119"/>
        <v>3.6152063206278812E-2</v>
      </c>
      <c r="W153" s="386">
        <f t="shared" si="120"/>
        <v>3.6152063206278812E-2</v>
      </c>
      <c r="X153" s="386">
        <f t="shared" si="140"/>
        <v>2.0593330626126733</v>
      </c>
      <c r="Y153" s="386">
        <f t="shared" si="121"/>
        <v>0.13570728520863018</v>
      </c>
      <c r="Z153" s="603">
        <f t="shared" si="122"/>
        <v>0.13570728520863018</v>
      </c>
      <c r="AA153" s="386">
        <f t="shared" si="141"/>
        <v>2.7191134877929275</v>
      </c>
      <c r="AB153" s="386">
        <f t="shared" si="142"/>
        <v>7.3935781594974187E-2</v>
      </c>
      <c r="AC153" s="386">
        <f t="shared" si="143"/>
        <v>0.45718300993330008</v>
      </c>
      <c r="AD153">
        <f t="shared" si="144"/>
        <v>0</v>
      </c>
      <c r="AE153" s="386">
        <f t="shared" si="145"/>
        <v>0.54038812377289769</v>
      </c>
      <c r="AF153" s="386">
        <f t="shared" si="146"/>
        <v>3.153630787590525</v>
      </c>
      <c r="AG153" s="386">
        <f t="shared" si="147"/>
        <v>9.9453871444388345E-2</v>
      </c>
      <c r="AH153" s="386">
        <f t="shared" si="148"/>
        <v>0.19239999999999999</v>
      </c>
      <c r="AI153" s="386">
        <f t="shared" si="149"/>
        <v>0.29874694887467451</v>
      </c>
      <c r="AJ153" s="386">
        <f t="shared" si="150"/>
        <v>0</v>
      </c>
      <c r="AK153" s="386">
        <f t="shared" si="151"/>
        <v>0</v>
      </c>
      <c r="AL153" s="386">
        <f t="shared" si="152"/>
        <v>0</v>
      </c>
      <c r="AM153">
        <f t="shared" si="153"/>
        <v>0</v>
      </c>
      <c r="AN153" s="386">
        <f t="shared" si="154"/>
        <v>0</v>
      </c>
      <c r="AO153" s="386">
        <f t="shared" si="155"/>
        <v>4.1640083217899857</v>
      </c>
      <c r="AP153" s="386">
        <f t="shared" si="156"/>
        <v>0.17338965303936252</v>
      </c>
      <c r="AQ153" s="386">
        <f t="shared" si="157"/>
        <v>0</v>
      </c>
      <c r="AR153" s="386">
        <f t="shared" si="158"/>
        <v>0.18065682672451217</v>
      </c>
      <c r="AS153" s="386">
        <f t="shared" si="159"/>
        <v>0.17338965303936252</v>
      </c>
      <c r="AT153" s="386">
        <f t="shared" si="160"/>
        <v>0</v>
      </c>
      <c r="AU153" s="386">
        <f t="shared" si="161"/>
        <v>0.10507999999999999</v>
      </c>
      <c r="AV153" s="386">
        <f t="shared" si="162"/>
        <v>0.14918080716658252</v>
      </c>
      <c r="AW153" s="386">
        <f t="shared" si="163"/>
        <v>6.5920000000000006E-2</v>
      </c>
      <c r="AX153" s="386">
        <f t="shared" si="164"/>
        <v>3.6000000000000004E-2</v>
      </c>
      <c r="AY153" s="386">
        <f t="shared" si="165"/>
        <v>0.40226399999999995</v>
      </c>
      <c r="AZ153" s="386">
        <f t="shared" si="166"/>
        <v>0.30415082926829268</v>
      </c>
      <c r="BA153" s="386">
        <f t="shared" si="123"/>
        <v>0.43826399999999999</v>
      </c>
      <c r="BB153" s="386">
        <f t="shared" si="124"/>
        <v>2.6818845960306503</v>
      </c>
      <c r="BC153">
        <f t="shared" si="167"/>
        <v>48</v>
      </c>
      <c r="BD153" s="604">
        <f t="shared" si="125"/>
        <v>0.94708396072073664</v>
      </c>
      <c r="BE153" s="614">
        <f t="shared" si="168"/>
        <v>37.43715117882806</v>
      </c>
      <c r="BF153" s="614">
        <f t="shared" si="169"/>
        <v>17.327323034731123</v>
      </c>
      <c r="BG153" s="9"/>
      <c r="BH153" s="4">
        <f t="shared" si="126"/>
        <v>94.708396072073668</v>
      </c>
      <c r="BI153" s="386">
        <f t="shared" si="127"/>
        <v>0.73178854107707436</v>
      </c>
      <c r="BJ153" s="386">
        <f t="shared" si="128"/>
        <v>1.1248718993720843</v>
      </c>
      <c r="BK153" s="386">
        <f t="shared" si="129"/>
        <v>0.33342334887467451</v>
      </c>
      <c r="BL153" s="386">
        <f t="shared" si="130"/>
        <v>0.14918080716658252</v>
      </c>
    </row>
    <row r="154" spans="7:64" x14ac:dyDescent="0.2">
      <c r="G154">
        <v>145</v>
      </c>
      <c r="H154" s="610">
        <f t="shared" si="131"/>
        <v>28.574999999999999</v>
      </c>
      <c r="I154" s="4" t="str">
        <f t="shared" si="132"/>
        <v>BUCK</v>
      </c>
      <c r="J154">
        <f t="shared" si="170"/>
        <v>1</v>
      </c>
      <c r="K154">
        <f t="shared" si="133"/>
        <v>4</v>
      </c>
      <c r="L154" s="4">
        <f t="shared" si="134"/>
        <v>1.8664333624963545</v>
      </c>
      <c r="M154" s="4">
        <f t="shared" si="135"/>
        <v>4</v>
      </c>
      <c r="N154" s="386">
        <f t="shared" si="136"/>
        <v>0.42440370176357606</v>
      </c>
      <c r="O154" s="386">
        <f t="shared" si="171"/>
        <v>0</v>
      </c>
      <c r="P154" s="4">
        <f t="shared" si="137"/>
        <v>4.0224880351970178</v>
      </c>
      <c r="Q154" s="386">
        <f t="shared" si="138"/>
        <v>4.1651371525367482</v>
      </c>
      <c r="R154" s="386">
        <f t="shared" si="116"/>
        <v>0.23327196447460902</v>
      </c>
      <c r="S154" s="386">
        <f t="shared" si="117"/>
        <v>0.50268121385664932</v>
      </c>
      <c r="T154" s="386">
        <f t="shared" si="118"/>
        <v>0.73595317833125828</v>
      </c>
      <c r="U154" s="4">
        <f t="shared" si="139"/>
        <v>1.1611922749665236</v>
      </c>
      <c r="V154" s="386">
        <f t="shared" si="119"/>
        <v>3.6405922484932123E-2</v>
      </c>
      <c r="W154" s="386">
        <f t="shared" si="120"/>
        <v>3.6405922484932123E-2</v>
      </c>
      <c r="X154" s="386">
        <f t="shared" si="140"/>
        <v>2.0586280428838646</v>
      </c>
      <c r="Y154" s="386">
        <f t="shared" si="121"/>
        <v>0.13561438140633122</v>
      </c>
      <c r="Z154" s="603">
        <f t="shared" si="122"/>
        <v>0.13561438140633122</v>
      </c>
      <c r="AA154" s="386">
        <f t="shared" si="141"/>
        <v>2.7134316623637433</v>
      </c>
      <c r="AB154" s="386">
        <f t="shared" si="142"/>
        <v>7.3627113863180674E-2</v>
      </c>
      <c r="AC154" s="386">
        <f t="shared" si="143"/>
        <v>0.4593531824488063</v>
      </c>
      <c r="AD154">
        <f t="shared" si="144"/>
        <v>0</v>
      </c>
      <c r="AE154" s="386">
        <f t="shared" si="145"/>
        <v>0.54224260822771542</v>
      </c>
      <c r="AF154" s="386">
        <f t="shared" si="146"/>
        <v>3.1600088786463658</v>
      </c>
      <c r="AG154" s="386">
        <f t="shared" si="147"/>
        <v>9.9856561131238628E-2</v>
      </c>
      <c r="AH154" s="386">
        <f t="shared" si="148"/>
        <v>0.19239999999999999</v>
      </c>
      <c r="AI154" s="386">
        <f t="shared" si="149"/>
        <v>0.29918776086764792</v>
      </c>
      <c r="AJ154" s="386">
        <f t="shared" si="150"/>
        <v>0</v>
      </c>
      <c r="AK154" s="386">
        <f t="shared" si="151"/>
        <v>0</v>
      </c>
      <c r="AL154" s="386">
        <f t="shared" si="152"/>
        <v>0</v>
      </c>
      <c r="AM154">
        <f t="shared" si="153"/>
        <v>0</v>
      </c>
      <c r="AN154" s="386">
        <f t="shared" si="154"/>
        <v>0</v>
      </c>
      <c r="AO154" s="386">
        <f t="shared" si="155"/>
        <v>4.1651371525367482</v>
      </c>
      <c r="AP154" s="386">
        <f t="shared" si="156"/>
        <v>0.1734836749944193</v>
      </c>
      <c r="AQ154" s="386">
        <f t="shared" si="157"/>
        <v>0</v>
      </c>
      <c r="AR154" s="386">
        <f t="shared" si="158"/>
        <v>0.18075889753136945</v>
      </c>
      <c r="AS154" s="386">
        <f t="shared" si="159"/>
        <v>0.1734836749944193</v>
      </c>
      <c r="AT154" s="386">
        <f t="shared" si="160"/>
        <v>0</v>
      </c>
      <c r="AU154" s="386">
        <f t="shared" si="161"/>
        <v>0.10557950000000001</v>
      </c>
      <c r="AV154" s="386">
        <f t="shared" si="162"/>
        <v>0.14978484169685793</v>
      </c>
      <c r="AW154" s="386">
        <f t="shared" si="163"/>
        <v>6.5920000000000006E-2</v>
      </c>
      <c r="AX154" s="386">
        <f t="shared" si="164"/>
        <v>3.6000000000000004E-2</v>
      </c>
      <c r="AY154" s="386">
        <f t="shared" si="165"/>
        <v>0.40226399999999995</v>
      </c>
      <c r="AZ154" s="386">
        <f t="shared" si="166"/>
        <v>0.30415082926829268</v>
      </c>
      <c r="BA154" s="386">
        <f t="shared" si="123"/>
        <v>0.43826399999999999</v>
      </c>
      <c r="BB154" s="386">
        <f t="shared" si="124"/>
        <v>2.6897110905461123</v>
      </c>
      <c r="BC154">
        <f t="shared" si="167"/>
        <v>48</v>
      </c>
      <c r="BD154" s="604">
        <f t="shared" si="125"/>
        <v>0.94693773089884992</v>
      </c>
      <c r="BE154" s="614">
        <f t="shared" si="168"/>
        <v>37.573682277207496</v>
      </c>
      <c r="BF154" s="614">
        <f t="shared" si="169"/>
        <v>17.35289013032358</v>
      </c>
      <c r="BG154" s="9"/>
      <c r="BH154" s="4">
        <f t="shared" si="126"/>
        <v>94.693773089884985</v>
      </c>
      <c r="BI154" s="386">
        <f t="shared" si="127"/>
        <v>0.73595317833125828</v>
      </c>
      <c r="BJ154" s="386">
        <f t="shared" si="128"/>
        <v>1.1277687666267326</v>
      </c>
      <c r="BK154" s="386">
        <f t="shared" si="129"/>
        <v>0.33402899586764795</v>
      </c>
      <c r="BL154" s="386">
        <f t="shared" si="130"/>
        <v>0.14978484169685793</v>
      </c>
    </row>
    <row r="155" spans="7:64" x14ac:dyDescent="0.2">
      <c r="G155">
        <v>146</v>
      </c>
      <c r="H155" s="610">
        <f t="shared" si="131"/>
        <v>28.71</v>
      </c>
      <c r="I155" s="4" t="str">
        <f t="shared" si="132"/>
        <v>BUCK</v>
      </c>
      <c r="J155">
        <f t="shared" si="170"/>
        <v>1</v>
      </c>
      <c r="K155">
        <f t="shared" si="133"/>
        <v>4</v>
      </c>
      <c r="L155" s="4">
        <f t="shared" si="134"/>
        <v>1.8576570300708231</v>
      </c>
      <c r="M155" s="4">
        <f t="shared" si="135"/>
        <v>4</v>
      </c>
      <c r="N155" s="386">
        <f t="shared" si="136"/>
        <v>0.42241223496697949</v>
      </c>
      <c r="O155" s="386">
        <f t="shared" si="171"/>
        <v>0</v>
      </c>
      <c r="P155" s="4">
        <f t="shared" si="137"/>
        <v>4.0364051701514043</v>
      </c>
      <c r="Q155" s="386">
        <f t="shared" si="138"/>
        <v>4.1662589803646082</v>
      </c>
      <c r="R155" s="386">
        <f t="shared" si="116"/>
        <v>0.23339998579289056</v>
      </c>
      <c r="S155" s="386">
        <f t="shared" si="117"/>
        <v>0.50669735653142867</v>
      </c>
      <c r="T155" s="386">
        <f t="shared" si="118"/>
        <v>0.74009734232431923</v>
      </c>
      <c r="U155" s="4">
        <f t="shared" si="139"/>
        <v>1.1652098057726552</v>
      </c>
      <c r="V155" s="386">
        <f t="shared" si="119"/>
        <v>3.6658275069656215E-2</v>
      </c>
      <c r="W155" s="386">
        <f t="shared" si="120"/>
        <v>3.6658275069656215E-2</v>
      </c>
      <c r="X155" s="386">
        <f t="shared" si="140"/>
        <v>2.0578963635357543</v>
      </c>
      <c r="Y155" s="386">
        <f t="shared" si="121"/>
        <v>0.13551799817771781</v>
      </c>
      <c r="Z155" s="603">
        <f t="shared" si="122"/>
        <v>0.13551799817771781</v>
      </c>
      <c r="AA155" s="386">
        <f t="shared" si="141"/>
        <v>2.7077870519693197</v>
      </c>
      <c r="AB155" s="386">
        <f t="shared" si="142"/>
        <v>7.3321107188126997E-2</v>
      </c>
      <c r="AC155" s="386">
        <f t="shared" si="143"/>
        <v>0.46152335496431246</v>
      </c>
      <c r="AD155">
        <f t="shared" si="144"/>
        <v>0</v>
      </c>
      <c r="AE155" s="386">
        <f t="shared" si="145"/>
        <v>0.54409987130902793</v>
      </c>
      <c r="AF155" s="386">
        <f t="shared" si="146"/>
        <v>3.1663232893461855</v>
      </c>
      <c r="AG155" s="386">
        <f t="shared" si="147"/>
        <v>0.10025603172656049</v>
      </c>
      <c r="AH155" s="386">
        <f t="shared" si="148"/>
        <v>0.19239999999999999</v>
      </c>
      <c r="AI155" s="386">
        <f t="shared" si="149"/>
        <v>0.29962513233807292</v>
      </c>
      <c r="AJ155" s="386">
        <f t="shared" si="150"/>
        <v>0</v>
      </c>
      <c r="AK155" s="386">
        <f t="shared" si="151"/>
        <v>0</v>
      </c>
      <c r="AL155" s="386">
        <f t="shared" si="152"/>
        <v>0</v>
      </c>
      <c r="AM155">
        <f t="shared" si="153"/>
        <v>0</v>
      </c>
      <c r="AN155" s="386">
        <f t="shared" si="154"/>
        <v>0</v>
      </c>
      <c r="AO155" s="386">
        <f t="shared" si="155"/>
        <v>4.1662589803646082</v>
      </c>
      <c r="AP155" s="386">
        <f t="shared" si="156"/>
        <v>0.17357713891468746</v>
      </c>
      <c r="AQ155" s="386">
        <f t="shared" si="157"/>
        <v>0</v>
      </c>
      <c r="AR155" s="386">
        <f t="shared" si="158"/>
        <v>0.18086036713084197</v>
      </c>
      <c r="AS155" s="386">
        <f t="shared" si="159"/>
        <v>0.17357713891468746</v>
      </c>
      <c r="AT155" s="386">
        <f t="shared" si="160"/>
        <v>0</v>
      </c>
      <c r="AU155" s="386">
        <f t="shared" si="161"/>
        <v>0.10607900000000001</v>
      </c>
      <c r="AV155" s="386">
        <f t="shared" si="162"/>
        <v>0.15038404758984072</v>
      </c>
      <c r="AW155" s="386">
        <f t="shared" si="163"/>
        <v>6.5920000000000006E-2</v>
      </c>
      <c r="AX155" s="386">
        <f t="shared" si="164"/>
        <v>3.6000000000000004E-2</v>
      </c>
      <c r="AY155" s="386">
        <f t="shared" si="165"/>
        <v>0.40226399999999995</v>
      </c>
      <c r="AZ155" s="386">
        <f t="shared" si="166"/>
        <v>0.30415082926829268</v>
      </c>
      <c r="BA155" s="386">
        <f t="shared" si="123"/>
        <v>0.43826399999999999</v>
      </c>
      <c r="BB155" s="386">
        <f t="shared" si="124"/>
        <v>2.6975060339394772</v>
      </c>
      <c r="BC155">
        <f t="shared" si="167"/>
        <v>48</v>
      </c>
      <c r="BD155" s="604">
        <f t="shared" si="125"/>
        <v>0.94679213545270591</v>
      </c>
      <c r="BE155" s="614">
        <f t="shared" si="168"/>
        <v>37.71037453592362</v>
      </c>
      <c r="BF155" s="614">
        <f t="shared" si="169"/>
        <v>17.378257675608229</v>
      </c>
      <c r="BG155" s="9"/>
      <c r="BH155" s="4">
        <f t="shared" si="126"/>
        <v>94.679213545270585</v>
      </c>
      <c r="BI155" s="386">
        <f t="shared" si="127"/>
        <v>0.74009734232431923</v>
      </c>
      <c r="BJ155" s="386">
        <f t="shared" si="128"/>
        <v>1.1306643707779429</v>
      </c>
      <c r="BK155" s="386">
        <f t="shared" si="129"/>
        <v>0.33463120233807292</v>
      </c>
      <c r="BL155" s="386">
        <f t="shared" si="130"/>
        <v>0.15038404758984072</v>
      </c>
    </row>
    <row r="156" spans="7:64" x14ac:dyDescent="0.2">
      <c r="G156">
        <v>147</v>
      </c>
      <c r="H156" s="610">
        <f t="shared" si="131"/>
        <v>28.844999999999999</v>
      </c>
      <c r="I156" s="4" t="str">
        <f t="shared" si="132"/>
        <v>BUCK</v>
      </c>
      <c r="J156">
        <f t="shared" si="170"/>
        <v>1</v>
      </c>
      <c r="K156">
        <f t="shared" si="133"/>
        <v>4</v>
      </c>
      <c r="L156" s="4">
        <f t="shared" si="134"/>
        <v>1.848962847402785</v>
      </c>
      <c r="M156" s="4">
        <f t="shared" si="135"/>
        <v>4</v>
      </c>
      <c r="N156" s="386">
        <f t="shared" si="136"/>
        <v>0.42043937035115031</v>
      </c>
      <c r="O156" s="386">
        <f t="shared" si="171"/>
        <v>0</v>
      </c>
      <c r="P156" s="4">
        <f t="shared" si="137"/>
        <v>4.0501923059209544</v>
      </c>
      <c r="Q156" s="386">
        <f t="shared" si="138"/>
        <v>4.1673738504696747</v>
      </c>
      <c r="R156" s="386">
        <f t="shared" si="116"/>
        <v>0.2335272498138791</v>
      </c>
      <c r="S156" s="386">
        <f t="shared" si="117"/>
        <v>0.51069382930833795</v>
      </c>
      <c r="T156" s="386">
        <f t="shared" si="118"/>
        <v>0.74422107912221702</v>
      </c>
      <c r="U156" s="4">
        <f t="shared" si="139"/>
        <v>1.1691898090466071</v>
      </c>
      <c r="V156" s="386">
        <f t="shared" si="119"/>
        <v>3.6909129858617919E-2</v>
      </c>
      <c r="W156" s="386">
        <f t="shared" si="120"/>
        <v>3.6909129858617919E-2</v>
      </c>
      <c r="X156" s="386">
        <f t="shared" si="140"/>
        <v>2.0571387669521597</v>
      </c>
      <c r="Y156" s="386">
        <f t="shared" si="121"/>
        <v>0.13541823700791847</v>
      </c>
      <c r="Z156" s="603">
        <f t="shared" si="122"/>
        <v>0.13541823700791847</v>
      </c>
      <c r="AA156" s="386">
        <f t="shared" si="141"/>
        <v>2.7021792255556552</v>
      </c>
      <c r="AB156" s="386">
        <f t="shared" si="142"/>
        <v>7.3017725670245601E-2</v>
      </c>
      <c r="AC156" s="386">
        <f t="shared" si="143"/>
        <v>0.46369352747981862</v>
      </c>
      <c r="AD156">
        <f t="shared" si="144"/>
        <v>0</v>
      </c>
      <c r="AE156" s="386">
        <f t="shared" si="145"/>
        <v>0.54595987477026553</v>
      </c>
      <c r="AF156" s="386">
        <f t="shared" si="146"/>
        <v>3.1725750176400691</v>
      </c>
      <c r="AG156" s="386">
        <f t="shared" si="147"/>
        <v>0.10065232242553884</v>
      </c>
      <c r="AH156" s="386">
        <f t="shared" si="148"/>
        <v>0.19239999999999999</v>
      </c>
      <c r="AI156" s="386">
        <f t="shared" si="149"/>
        <v>0.30005910422923793</v>
      </c>
      <c r="AJ156" s="386">
        <f t="shared" si="150"/>
        <v>0</v>
      </c>
      <c r="AK156" s="386">
        <f t="shared" si="151"/>
        <v>0</v>
      </c>
      <c r="AL156" s="386">
        <f t="shared" si="152"/>
        <v>0</v>
      </c>
      <c r="AM156">
        <f t="shared" si="153"/>
        <v>0</v>
      </c>
      <c r="AN156" s="386">
        <f t="shared" si="154"/>
        <v>0</v>
      </c>
      <c r="AO156" s="386">
        <f t="shared" si="155"/>
        <v>4.1673738504696747</v>
      </c>
      <c r="AP156" s="386">
        <f t="shared" si="156"/>
        <v>0.17367004809578443</v>
      </c>
      <c r="AQ156" s="386">
        <f t="shared" si="157"/>
        <v>0</v>
      </c>
      <c r="AR156" s="386">
        <f t="shared" si="158"/>
        <v>0.18096123901926028</v>
      </c>
      <c r="AS156" s="386">
        <f t="shared" si="159"/>
        <v>0.17367004809578443</v>
      </c>
      <c r="AT156" s="386">
        <f t="shared" si="160"/>
        <v>0</v>
      </c>
      <c r="AU156" s="386">
        <f t="shared" si="161"/>
        <v>0.10657850000000001</v>
      </c>
      <c r="AV156" s="386">
        <f t="shared" si="162"/>
        <v>0.15097848363830826</v>
      </c>
      <c r="AW156" s="386">
        <f t="shared" si="163"/>
        <v>6.5920000000000006E-2</v>
      </c>
      <c r="AX156" s="386">
        <f t="shared" si="164"/>
        <v>3.6000000000000004E-2</v>
      </c>
      <c r="AY156" s="386">
        <f t="shared" si="165"/>
        <v>0.40226399999999995</v>
      </c>
      <c r="AZ156" s="386">
        <f t="shared" si="166"/>
        <v>0.30415082926829268</v>
      </c>
      <c r="BA156" s="386">
        <f t="shared" si="123"/>
        <v>0.43826399999999999</v>
      </c>
      <c r="BB156" s="386">
        <f t="shared" si="124"/>
        <v>2.7052696476458262</v>
      </c>
      <c r="BC156">
        <f t="shared" si="167"/>
        <v>48</v>
      </c>
      <c r="BD156" s="604">
        <f t="shared" si="125"/>
        <v>0.9466471696838431</v>
      </c>
      <c r="BE156" s="614">
        <f t="shared" si="168"/>
        <v>37.847225736675405</v>
      </c>
      <c r="BF156" s="614">
        <f t="shared" si="169"/>
        <v>17.403428045295801</v>
      </c>
      <c r="BG156" s="9"/>
      <c r="BH156" s="4">
        <f t="shared" si="126"/>
        <v>94.664716968384312</v>
      </c>
      <c r="BI156" s="386">
        <f t="shared" si="127"/>
        <v>0.74422107912221702</v>
      </c>
      <c r="BJ156" s="386">
        <f t="shared" si="128"/>
        <v>1.1335587180187636</v>
      </c>
      <c r="BK156" s="386">
        <f t="shared" si="129"/>
        <v>0.33523000922923796</v>
      </c>
      <c r="BL156" s="386">
        <f t="shared" si="130"/>
        <v>0.15097848363830826</v>
      </c>
    </row>
    <row r="157" spans="7:64" x14ac:dyDescent="0.2">
      <c r="G157">
        <v>148</v>
      </c>
      <c r="H157" s="610">
        <f t="shared" si="131"/>
        <v>28.98</v>
      </c>
      <c r="I157" s="4" t="str">
        <f t="shared" si="132"/>
        <v>BUCK</v>
      </c>
      <c r="J157">
        <f t="shared" si="170"/>
        <v>1</v>
      </c>
      <c r="K157">
        <f t="shared" si="133"/>
        <v>4</v>
      </c>
      <c r="L157" s="4">
        <f t="shared" si="134"/>
        <v>1.840349666436623</v>
      </c>
      <c r="M157" s="4">
        <f t="shared" si="135"/>
        <v>4</v>
      </c>
      <c r="N157" s="386">
        <f t="shared" si="136"/>
        <v>0.41848484848484846</v>
      </c>
      <c r="O157" s="386">
        <f t="shared" si="171"/>
        <v>0</v>
      </c>
      <c r="P157" s="4">
        <f t="shared" si="137"/>
        <v>4.0638512555108299</v>
      </c>
      <c r="Q157" s="386">
        <f t="shared" si="138"/>
        <v>4.1684818082338335</v>
      </c>
      <c r="R157" s="386">
        <f t="shared" si="116"/>
        <v>0.23365376103718391</v>
      </c>
      <c r="S157" s="386">
        <f t="shared" si="117"/>
        <v>0.51467067696502378</v>
      </c>
      <c r="T157" s="386">
        <f t="shared" si="118"/>
        <v>0.74832443800220771</v>
      </c>
      <c r="U157" s="4">
        <f t="shared" si="139"/>
        <v>1.1731328081578882</v>
      </c>
      <c r="V157" s="386">
        <f t="shared" si="119"/>
        <v>3.7158495810563137E-2</v>
      </c>
      <c r="W157" s="386">
        <f t="shared" si="120"/>
        <v>3.7158495810563137E-2</v>
      </c>
      <c r="X157" s="386">
        <f t="shared" si="140"/>
        <v>2.0563559746130537</v>
      </c>
      <c r="Y157" s="386">
        <f t="shared" si="121"/>
        <v>0.13531519661845767</v>
      </c>
      <c r="Z157" s="603">
        <f t="shared" si="122"/>
        <v>0.13531519661845767</v>
      </c>
      <c r="AA157" s="386">
        <f t="shared" si="141"/>
        <v>2.6966077595177276</v>
      </c>
      <c r="AB157" s="386">
        <f t="shared" si="142"/>
        <v>7.2716934086912183E-2</v>
      </c>
      <c r="AC157" s="386">
        <f t="shared" si="143"/>
        <v>0.46586369999532479</v>
      </c>
      <c r="AD157">
        <f t="shared" si="144"/>
        <v>0</v>
      </c>
      <c r="AE157" s="386">
        <f t="shared" si="145"/>
        <v>0.54782258109913406</v>
      </c>
      <c r="AF157" s="386">
        <f t="shared" si="146"/>
        <v>3.1787650395845857</v>
      </c>
      <c r="AG157" s="386">
        <f t="shared" si="147"/>
        <v>0.10104547176885192</v>
      </c>
      <c r="AH157" s="386">
        <f t="shared" si="148"/>
        <v>0.19239999999999999</v>
      </c>
      <c r="AI157" s="386">
        <f t="shared" si="149"/>
        <v>0.30048971681460712</v>
      </c>
      <c r="AJ157" s="386">
        <f t="shared" si="150"/>
        <v>0</v>
      </c>
      <c r="AK157" s="386">
        <f t="shared" si="151"/>
        <v>0</v>
      </c>
      <c r="AL157" s="386">
        <f t="shared" si="152"/>
        <v>0</v>
      </c>
      <c r="AM157">
        <f t="shared" si="153"/>
        <v>0</v>
      </c>
      <c r="AN157" s="386">
        <f t="shared" si="154"/>
        <v>0</v>
      </c>
      <c r="AO157" s="386">
        <f t="shared" si="155"/>
        <v>4.1684818082338335</v>
      </c>
      <c r="AP157" s="386">
        <f t="shared" si="156"/>
        <v>0.17376240585576411</v>
      </c>
      <c r="AQ157" s="386">
        <f t="shared" si="157"/>
        <v>0</v>
      </c>
      <c r="AR157" s="386">
        <f t="shared" si="158"/>
        <v>0.18106151671843429</v>
      </c>
      <c r="AS157" s="386">
        <f t="shared" si="159"/>
        <v>0.17376240585576411</v>
      </c>
      <c r="AT157" s="386">
        <f t="shared" si="160"/>
        <v>0</v>
      </c>
      <c r="AU157" s="386">
        <f t="shared" si="161"/>
        <v>0.10707800000000001</v>
      </c>
      <c r="AV157" s="386">
        <f t="shared" si="162"/>
        <v>0.15156820765327789</v>
      </c>
      <c r="AW157" s="386">
        <f t="shared" si="163"/>
        <v>6.5920000000000006E-2</v>
      </c>
      <c r="AX157" s="386">
        <f t="shared" si="164"/>
        <v>3.6000000000000004E-2</v>
      </c>
      <c r="AY157" s="386">
        <f t="shared" si="165"/>
        <v>0.40226399999999995</v>
      </c>
      <c r="AZ157" s="386">
        <f t="shared" si="166"/>
        <v>0.30415082926829268</v>
      </c>
      <c r="BA157" s="386">
        <f t="shared" si="123"/>
        <v>0.43826399999999999</v>
      </c>
      <c r="BB157" s="386">
        <f t="shared" si="124"/>
        <v>2.7130021527166823</v>
      </c>
      <c r="BC157">
        <f t="shared" si="167"/>
        <v>48</v>
      </c>
      <c r="BD157" s="604">
        <f t="shared" si="125"/>
        <v>0.94650282890871318</v>
      </c>
      <c r="BE157" s="614">
        <f t="shared" si="168"/>
        <v>37.984233703749773</v>
      </c>
      <c r="BF157" s="614">
        <f t="shared" si="169"/>
        <v>17.428403575247213</v>
      </c>
      <c r="BG157" s="9"/>
      <c r="BH157" s="4">
        <f t="shared" si="126"/>
        <v>94.650282890871324</v>
      </c>
      <c r="BI157" s="386">
        <f t="shared" si="127"/>
        <v>0.74832443800220771</v>
      </c>
      <c r="BJ157" s="386">
        <f t="shared" si="128"/>
        <v>1.1364518146321756</v>
      </c>
      <c r="BK157" s="386">
        <f t="shared" si="129"/>
        <v>0.33582545681460713</v>
      </c>
      <c r="BL157" s="386">
        <f t="shared" si="130"/>
        <v>0.15156820765327789</v>
      </c>
    </row>
    <row r="158" spans="7:64" x14ac:dyDescent="0.2">
      <c r="G158">
        <v>149</v>
      </c>
      <c r="H158" s="610">
        <f t="shared" si="131"/>
        <v>29.114999999999998</v>
      </c>
      <c r="I158" s="4" t="str">
        <f t="shared" si="132"/>
        <v>BUCK</v>
      </c>
      <c r="J158">
        <f t="shared" si="170"/>
        <v>1</v>
      </c>
      <c r="K158">
        <f t="shared" si="133"/>
        <v>4</v>
      </c>
      <c r="L158" s="4">
        <f t="shared" si="134"/>
        <v>1.8318163604098689</v>
      </c>
      <c r="M158" s="4">
        <f t="shared" si="135"/>
        <v>4</v>
      </c>
      <c r="N158" s="386">
        <f t="shared" si="136"/>
        <v>0.41654841473864612</v>
      </c>
      <c r="O158" s="386">
        <f t="shared" si="171"/>
        <v>0</v>
      </c>
      <c r="P158" s="4">
        <f t="shared" si="137"/>
        <v>4.077383798369282</v>
      </c>
      <c r="Q158" s="386">
        <f t="shared" si="138"/>
        <v>4.169582899195917</v>
      </c>
      <c r="R158" s="386">
        <f t="shared" si="116"/>
        <v>0.23377952399042581</v>
      </c>
      <c r="S158" s="386">
        <f t="shared" si="117"/>
        <v>0.51862794730458028</v>
      </c>
      <c r="T158" s="386">
        <f t="shared" si="118"/>
        <v>0.75240747129500607</v>
      </c>
      <c r="U158" s="4">
        <f t="shared" si="139"/>
        <v>1.1770393167889619</v>
      </c>
      <c r="V158" s="386">
        <f t="shared" si="119"/>
        <v>3.7406381938209707E-2</v>
      </c>
      <c r="W158" s="386">
        <f t="shared" si="120"/>
        <v>3.7406381938209707E-2</v>
      </c>
      <c r="X158" s="386">
        <f t="shared" si="140"/>
        <v>2.0555486877760392</v>
      </c>
      <c r="Y158" s="386">
        <f t="shared" si="121"/>
        <v>0.13520897305016949</v>
      </c>
      <c r="Z158" s="603">
        <f t="shared" si="122"/>
        <v>0.13520897305016949</v>
      </c>
      <c r="AA158" s="386">
        <f t="shared" si="141"/>
        <v>2.6910722375247516</v>
      </c>
      <c r="AB158" s="386">
        <f t="shared" si="142"/>
        <v>7.2418697875764729E-2</v>
      </c>
      <c r="AC158" s="386">
        <f t="shared" si="143"/>
        <v>0.46803387251083095</v>
      </c>
      <c r="AD158">
        <f t="shared" si="144"/>
        <v>0</v>
      </c>
      <c r="AE158" s="386">
        <f t="shared" si="145"/>
        <v>0.5496879534992507</v>
      </c>
      <c r="AF158" s="386">
        <f t="shared" si="146"/>
        <v>3.1848943099717699</v>
      </c>
      <c r="AG158" s="386">
        <f t="shared" si="147"/>
        <v>0.10143551765690557</v>
      </c>
      <c r="AH158" s="386">
        <f t="shared" si="148"/>
        <v>0.19239999999999999</v>
      </c>
      <c r="AI158" s="386">
        <f t="shared" si="149"/>
        <v>0.30091700971215107</v>
      </c>
      <c r="AJ158" s="386">
        <f t="shared" si="150"/>
        <v>0</v>
      </c>
      <c r="AK158" s="386">
        <f t="shared" si="151"/>
        <v>0</v>
      </c>
      <c r="AL158" s="386">
        <f t="shared" si="152"/>
        <v>0</v>
      </c>
      <c r="AM158">
        <f t="shared" si="153"/>
        <v>0</v>
      </c>
      <c r="AN158" s="386">
        <f t="shared" si="154"/>
        <v>0</v>
      </c>
      <c r="AO158" s="386">
        <f t="shared" si="155"/>
        <v>4.169582899195917</v>
      </c>
      <c r="AP158" s="386">
        <f t="shared" si="156"/>
        <v>0.1738542155326703</v>
      </c>
      <c r="AQ158" s="386">
        <f t="shared" si="157"/>
        <v>0</v>
      </c>
      <c r="AR158" s="386">
        <f t="shared" si="158"/>
        <v>0.18116120377299294</v>
      </c>
      <c r="AS158" s="386">
        <f t="shared" si="159"/>
        <v>0.1738542155326703</v>
      </c>
      <c r="AT158" s="386">
        <f t="shared" si="160"/>
        <v>0</v>
      </c>
      <c r="AU158" s="386">
        <f t="shared" si="161"/>
        <v>0.10757750000000001</v>
      </c>
      <c r="AV158" s="386">
        <f t="shared" si="162"/>
        <v>0.15215327648535834</v>
      </c>
      <c r="AW158" s="386">
        <f t="shared" si="163"/>
        <v>6.5920000000000006E-2</v>
      </c>
      <c r="AX158" s="386">
        <f t="shared" si="164"/>
        <v>3.6000000000000004E-2</v>
      </c>
      <c r="AY158" s="386">
        <f t="shared" si="165"/>
        <v>0.40226399999999995</v>
      </c>
      <c r="AZ158" s="386">
        <f t="shared" si="166"/>
        <v>0.30415082926829268</v>
      </c>
      <c r="BA158" s="386">
        <f t="shared" si="123"/>
        <v>0.43826399999999999</v>
      </c>
      <c r="BB158" s="386">
        <f t="shared" si="124"/>
        <v>2.7207037697531389</v>
      </c>
      <c r="BC158">
        <f t="shared" si="167"/>
        <v>48</v>
      </c>
      <c r="BD158" s="604">
        <f t="shared" si="125"/>
        <v>0.94635910845985527</v>
      </c>
      <c r="BE158" s="614">
        <f t="shared" si="168"/>
        <v>38.121396302956541</v>
      </c>
      <c r="BF158" s="614">
        <f t="shared" si="169"/>
        <v>17.453186563304762</v>
      </c>
      <c r="BG158" s="9"/>
      <c r="BH158" s="4">
        <f t="shared" si="126"/>
        <v>94.635910845985521</v>
      </c>
      <c r="BI158" s="386">
        <f t="shared" si="127"/>
        <v>0.75240747129500607</v>
      </c>
      <c r="BJ158" s="386">
        <f t="shared" si="128"/>
        <v>1.1393436669843948</v>
      </c>
      <c r="BK158" s="386">
        <f t="shared" si="129"/>
        <v>0.33641758471215111</v>
      </c>
      <c r="BL158" s="386">
        <f t="shared" si="130"/>
        <v>0.15215327648535834</v>
      </c>
    </row>
    <row r="159" spans="7:64" x14ac:dyDescent="0.2">
      <c r="G159">
        <v>150</v>
      </c>
      <c r="H159" s="610">
        <f t="shared" si="131"/>
        <v>29.25</v>
      </c>
      <c r="I159" s="4" t="str">
        <f t="shared" si="132"/>
        <v>BUCK</v>
      </c>
      <c r="J159">
        <f t="shared" si="170"/>
        <v>1</v>
      </c>
      <c r="K159">
        <f t="shared" si="133"/>
        <v>4</v>
      </c>
      <c r="L159" s="4">
        <f t="shared" si="134"/>
        <v>1.8233618233618234</v>
      </c>
      <c r="M159" s="4">
        <f t="shared" si="135"/>
        <v>4</v>
      </c>
      <c r="N159" s="386">
        <f t="shared" si="136"/>
        <v>0.41462981917434322</v>
      </c>
      <c r="O159" s="386">
        <f t="shared" si="171"/>
        <v>0</v>
      </c>
      <c r="P159" s="4">
        <f t="shared" si="137"/>
        <v>4.0907916811604608</v>
      </c>
      <c r="Q159" s="386">
        <f t="shared" si="138"/>
        <v>4.1706771690243505</v>
      </c>
      <c r="R159" s="386">
        <f t="shared" si="116"/>
        <v>0.23390454322604665</v>
      </c>
      <c r="S159" s="386">
        <f t="shared" si="117"/>
        <v>0.52256569100725236</v>
      </c>
      <c r="T159" s="386">
        <f t="shared" si="118"/>
        <v>0.75647023423329895</v>
      </c>
      <c r="U159" s="4">
        <f t="shared" si="139"/>
        <v>1.180909839158337</v>
      </c>
      <c r="V159" s="386">
        <f t="shared" si="119"/>
        <v>3.7652797301966169E-2</v>
      </c>
      <c r="W159" s="386">
        <f t="shared" si="120"/>
        <v>3.7652797301966169E-2</v>
      </c>
      <c r="X159" s="386">
        <f t="shared" si="140"/>
        <v>2.0547175881317941</v>
      </c>
      <c r="Y159" s="386">
        <f t="shared" si="121"/>
        <v>0.13509965974330038</v>
      </c>
      <c r="Z159" s="603">
        <f t="shared" si="122"/>
        <v>0.13509965974330038</v>
      </c>
      <c r="AA159" s="386">
        <f t="shared" si="141"/>
        <v>2.6855722503506185</v>
      </c>
      <c r="AB159" s="386">
        <f t="shared" si="142"/>
        <v>7.2122983118532852E-2</v>
      </c>
      <c r="AC159" s="386">
        <f t="shared" si="143"/>
        <v>0.47020404502633711</v>
      </c>
      <c r="AD159">
        <f t="shared" si="144"/>
        <v>0</v>
      </c>
      <c r="AE159" s="386">
        <f t="shared" si="145"/>
        <v>0.5515559558723494</v>
      </c>
      <c r="AF159" s="386">
        <f t="shared" si="146"/>
        <v>3.1909637629355312</v>
      </c>
      <c r="AG159" s="386">
        <f t="shared" si="147"/>
        <v>0.10182249736367686</v>
      </c>
      <c r="AH159" s="386">
        <f t="shared" si="148"/>
        <v>0.19239999999999999</v>
      </c>
      <c r="AI159" s="386">
        <f t="shared" si="149"/>
        <v>0.30134102189828788</v>
      </c>
      <c r="AJ159" s="386">
        <f t="shared" si="150"/>
        <v>0</v>
      </c>
      <c r="AK159" s="386">
        <f t="shared" si="151"/>
        <v>0</v>
      </c>
      <c r="AL159" s="386">
        <f t="shared" si="152"/>
        <v>0</v>
      </c>
      <c r="AM159">
        <f t="shared" si="153"/>
        <v>0</v>
      </c>
      <c r="AN159" s="386">
        <f t="shared" si="154"/>
        <v>0</v>
      </c>
      <c r="AO159" s="386">
        <f t="shared" si="155"/>
        <v>4.1706771690243505</v>
      </c>
      <c r="AP159" s="386">
        <f t="shared" si="156"/>
        <v>0.1739454804822097</v>
      </c>
      <c r="AQ159" s="386">
        <f t="shared" si="157"/>
        <v>0</v>
      </c>
      <c r="AR159" s="386">
        <f t="shared" si="158"/>
        <v>0.18126030374785268</v>
      </c>
      <c r="AS159" s="386">
        <f t="shared" si="159"/>
        <v>0.1739454804822097</v>
      </c>
      <c r="AT159" s="386">
        <f t="shared" si="160"/>
        <v>0</v>
      </c>
      <c r="AU159" s="386">
        <f t="shared" si="161"/>
        <v>0.10807700000000001</v>
      </c>
      <c r="AV159" s="386">
        <f t="shared" si="162"/>
        <v>0.15273374604551529</v>
      </c>
      <c r="AW159" s="386">
        <f t="shared" si="163"/>
        <v>6.5920000000000006E-2</v>
      </c>
      <c r="AX159" s="386">
        <f t="shared" si="164"/>
        <v>3.6000000000000004E-2</v>
      </c>
      <c r="AY159" s="386">
        <f t="shared" si="165"/>
        <v>0.40226399999999995</v>
      </c>
      <c r="AZ159" s="386">
        <f t="shared" si="166"/>
        <v>0.30415082926829268</v>
      </c>
      <c r="BA159" s="386">
        <f t="shared" si="123"/>
        <v>0.43826399999999999</v>
      </c>
      <c r="BB159" s="386">
        <f t="shared" si="124"/>
        <v>2.7283747188425713</v>
      </c>
      <c r="BC159">
        <f t="shared" si="167"/>
        <v>48</v>
      </c>
      <c r="BD159" s="604">
        <f t="shared" si="125"/>
        <v>0.94621600368700276</v>
      </c>
      <c r="BE159" s="614">
        <f t="shared" si="168"/>
        <v>38.258711440596265</v>
      </c>
      <c r="BF159" s="614">
        <f t="shared" si="169"/>
        <v>17.477779270100697</v>
      </c>
      <c r="BG159" s="9"/>
      <c r="BH159" s="4">
        <f t="shared" si="126"/>
        <v>94.621600368700271</v>
      </c>
      <c r="BI159" s="386">
        <f t="shared" si="127"/>
        <v>0.75647023423329895</v>
      </c>
      <c r="BJ159" s="386">
        <f t="shared" si="128"/>
        <v>1.1422342815184898</v>
      </c>
      <c r="BK159" s="386">
        <f t="shared" si="129"/>
        <v>0.33700643189828788</v>
      </c>
      <c r="BL159" s="386">
        <f t="shared" si="130"/>
        <v>0.15273374604551529</v>
      </c>
    </row>
    <row r="160" spans="7:64" x14ac:dyDescent="0.2">
      <c r="G160">
        <v>151</v>
      </c>
      <c r="H160" s="610">
        <f t="shared" si="131"/>
        <v>29.385000000000002</v>
      </c>
      <c r="I160" s="4" t="str">
        <f t="shared" si="132"/>
        <v>BUCK</v>
      </c>
      <c r="J160">
        <f t="shared" si="170"/>
        <v>1</v>
      </c>
      <c r="K160">
        <f t="shared" si="133"/>
        <v>4</v>
      </c>
      <c r="L160" s="4">
        <f t="shared" si="134"/>
        <v>1.8149849696557201</v>
      </c>
      <c r="M160" s="4">
        <f t="shared" si="135"/>
        <v>4</v>
      </c>
      <c r="N160" s="386">
        <f t="shared" si="136"/>
        <v>0.41272881643742565</v>
      </c>
      <c r="O160" s="386">
        <f t="shared" si="171"/>
        <v>0</v>
      </c>
      <c r="P160" s="4">
        <f t="shared" si="137"/>
        <v>4.1040766185159594</v>
      </c>
      <c r="Q160" s="386">
        <f t="shared" si="138"/>
        <v>4.1717646634912322</v>
      </c>
      <c r="R160" s="386">
        <f t="shared" si="116"/>
        <v>0.23402882331827782</v>
      </c>
      <c r="S160" s="386">
        <f t="shared" si="117"/>
        <v>0.52648396148805399</v>
      </c>
      <c r="T160" s="386">
        <f t="shared" si="118"/>
        <v>0.76051278480633178</v>
      </c>
      <c r="U160" s="4">
        <f t="shared" si="139"/>
        <v>1.1847448702375192</v>
      </c>
      <c r="V160" s="386">
        <f t="shared" si="119"/>
        <v>3.7897751003961137E-2</v>
      </c>
      <c r="W160" s="386">
        <f t="shared" si="120"/>
        <v>3.7897751003961137E-2</v>
      </c>
      <c r="X160" s="386">
        <f t="shared" si="140"/>
        <v>2.0538633384346663</v>
      </c>
      <c r="Y160" s="386">
        <f t="shared" si="121"/>
        <v>0.13498734761491177</v>
      </c>
      <c r="Z160" s="603">
        <f t="shared" si="122"/>
        <v>0.13498734761491177</v>
      </c>
      <c r="AA160" s="386">
        <f t="shared" si="141"/>
        <v>2.6801073957093653</v>
      </c>
      <c r="AB160" s="386">
        <f t="shared" si="142"/>
        <v>7.1829756525360375E-2</v>
      </c>
      <c r="AC160" s="386">
        <f t="shared" si="143"/>
        <v>0.47237421754184328</v>
      </c>
      <c r="AD160">
        <f t="shared" si="144"/>
        <v>0</v>
      </c>
      <c r="AE160" s="386">
        <f t="shared" si="145"/>
        <v>0.55342655280103292</v>
      </c>
      <c r="AF160" s="386">
        <f t="shared" si="146"/>
        <v>3.1969743125364767</v>
      </c>
      <c r="AG160" s="386">
        <f t="shared" si="147"/>
        <v>0.10220644755018078</v>
      </c>
      <c r="AH160" s="386">
        <f t="shared" si="148"/>
        <v>0.19239999999999999</v>
      </c>
      <c r="AI160" s="386">
        <f t="shared" si="149"/>
        <v>0.3017617917214494</v>
      </c>
      <c r="AJ160" s="386">
        <f t="shared" si="150"/>
        <v>0</v>
      </c>
      <c r="AK160" s="386">
        <f t="shared" si="151"/>
        <v>0</v>
      </c>
      <c r="AL160" s="386">
        <f t="shared" si="152"/>
        <v>0</v>
      </c>
      <c r="AM160">
        <f t="shared" si="153"/>
        <v>0</v>
      </c>
      <c r="AN160" s="386">
        <f t="shared" si="154"/>
        <v>0</v>
      </c>
      <c r="AO160" s="386">
        <f t="shared" si="155"/>
        <v>4.1717646634912322</v>
      </c>
      <c r="AP160" s="386">
        <f t="shared" si="156"/>
        <v>0.17403620407554116</v>
      </c>
      <c r="AQ160" s="386">
        <f t="shared" si="157"/>
        <v>0</v>
      </c>
      <c r="AR160" s="386">
        <f t="shared" si="158"/>
        <v>0.1813588202258119</v>
      </c>
      <c r="AS160" s="386">
        <f t="shared" si="159"/>
        <v>0.17403620407554116</v>
      </c>
      <c r="AT160" s="386">
        <f t="shared" si="160"/>
        <v>0</v>
      </c>
      <c r="AU160" s="386">
        <f t="shared" si="161"/>
        <v>0.10857650000000002</v>
      </c>
      <c r="AV160" s="386">
        <f t="shared" si="162"/>
        <v>0.15330967132527118</v>
      </c>
      <c r="AW160" s="386">
        <f t="shared" si="163"/>
        <v>6.5920000000000006E-2</v>
      </c>
      <c r="AX160" s="386">
        <f t="shared" si="164"/>
        <v>3.6000000000000004E-2</v>
      </c>
      <c r="AY160" s="386">
        <f t="shared" si="165"/>
        <v>0.40226399999999995</v>
      </c>
      <c r="AZ160" s="386">
        <f t="shared" si="166"/>
        <v>0.30415082926829268</v>
      </c>
      <c r="BA160" s="386">
        <f t="shared" si="123"/>
        <v>0.43826399999999999</v>
      </c>
      <c r="BB160" s="386">
        <f t="shared" si="124"/>
        <v>2.7360152194987704</v>
      </c>
      <c r="BC160">
        <f t="shared" si="167"/>
        <v>48</v>
      </c>
      <c r="BD160" s="604">
        <f t="shared" si="125"/>
        <v>0.946073509958124</v>
      </c>
      <c r="BE160" s="614">
        <f t="shared" si="168"/>
        <v>38.396177062459913</v>
      </c>
      <c r="BF160" s="614">
        <f t="shared" si="169"/>
        <v>17.502183919844065</v>
      </c>
      <c r="BG160" s="9"/>
      <c r="BH160" s="4">
        <f t="shared" si="126"/>
        <v>94.607350995812396</v>
      </c>
      <c r="BI160" s="386">
        <f t="shared" si="127"/>
        <v>0.76051278480633178</v>
      </c>
      <c r="BJ160" s="386">
        <f t="shared" si="128"/>
        <v>1.1451236647482943</v>
      </c>
      <c r="BK160" s="386">
        <f t="shared" si="129"/>
        <v>0.33759203672144944</v>
      </c>
      <c r="BL160" s="386">
        <f t="shared" si="130"/>
        <v>0.15330967132527118</v>
      </c>
    </row>
    <row r="161" spans="7:64" x14ac:dyDescent="0.2">
      <c r="G161">
        <v>152</v>
      </c>
      <c r="H161" s="610">
        <f t="shared" si="131"/>
        <v>29.52</v>
      </c>
      <c r="I161" s="4" t="str">
        <f t="shared" si="132"/>
        <v>BUCK</v>
      </c>
      <c r="J161">
        <f t="shared" si="170"/>
        <v>1</v>
      </c>
      <c r="K161">
        <f t="shared" si="133"/>
        <v>4</v>
      </c>
      <c r="L161" s="4">
        <f t="shared" si="134"/>
        <v>1.8066847335140017</v>
      </c>
      <c r="M161" s="4">
        <f t="shared" si="135"/>
        <v>4</v>
      </c>
      <c r="N161" s="386">
        <f t="shared" si="136"/>
        <v>0.41084516565246787</v>
      </c>
      <c r="O161" s="386">
        <f t="shared" si="171"/>
        <v>0</v>
      </c>
      <c r="P161" s="4">
        <f t="shared" si="137"/>
        <v>4.1172402937657777</v>
      </c>
      <c r="Q161" s="386">
        <f t="shared" si="138"/>
        <v>4.1728454284477605</v>
      </c>
      <c r="R161" s="386">
        <f t="shared" si="116"/>
        <v>0.2341523688602577</v>
      </c>
      <c r="S161" s="386">
        <f t="shared" si="117"/>
        <v>0.53038281476008375</v>
      </c>
      <c r="T161" s="386">
        <f t="shared" si="118"/>
        <v>0.76453518362034145</v>
      </c>
      <c r="U161" s="4">
        <f t="shared" si="139"/>
        <v>1.1885448959620228</v>
      </c>
      <c r="V161" s="386">
        <f t="shared" si="119"/>
        <v>3.8141252182369148E-2</v>
      </c>
      <c r="W161" s="386">
        <f t="shared" si="120"/>
        <v>3.8141252182369148E-2</v>
      </c>
      <c r="X161" s="386">
        <f t="shared" si="140"/>
        <v>2.0529865831094916</v>
      </c>
      <c r="Y161" s="386">
        <f t="shared" si="121"/>
        <v>0.13487212513368271</v>
      </c>
      <c r="Z161" s="603">
        <f t="shared" si="122"/>
        <v>0.13487212513368271</v>
      </c>
      <c r="AA161" s="386">
        <f t="shared" si="141"/>
        <v>2.6746772780954622</v>
      </c>
      <c r="AB161" s="386">
        <f t="shared" si="142"/>
        <v>7.1538985419601506E-2</v>
      </c>
      <c r="AC161" s="386">
        <f t="shared" si="143"/>
        <v>0.4745443900573495</v>
      </c>
      <c r="AD161">
        <f t="shared" si="144"/>
        <v>0</v>
      </c>
      <c r="AE161" s="386">
        <f t="shared" si="145"/>
        <v>0.55529970953205465</v>
      </c>
      <c r="AF161" s="386">
        <f t="shared" si="146"/>
        <v>3.2029268533260673</v>
      </c>
      <c r="AG161" s="386">
        <f t="shared" si="147"/>
        <v>0.10258740427757224</v>
      </c>
      <c r="AH161" s="386">
        <f t="shared" si="148"/>
        <v>0.19239999999999999</v>
      </c>
      <c r="AI161" s="386">
        <f t="shared" si="149"/>
        <v>0.30217935691528375</v>
      </c>
      <c r="AJ161" s="386">
        <f t="shared" si="150"/>
        <v>0</v>
      </c>
      <c r="AK161" s="386">
        <f t="shared" si="151"/>
        <v>0</v>
      </c>
      <c r="AL161" s="386">
        <f t="shared" si="152"/>
        <v>0</v>
      </c>
      <c r="AM161">
        <f t="shared" si="153"/>
        <v>0</v>
      </c>
      <c r="AN161" s="386">
        <f t="shared" si="154"/>
        <v>0</v>
      </c>
      <c r="AO161" s="386">
        <f t="shared" si="155"/>
        <v>4.1728454284477605</v>
      </c>
      <c r="AP161" s="386">
        <f t="shared" si="156"/>
        <v>0.17412638969717376</v>
      </c>
      <c r="AQ161" s="386">
        <f t="shared" si="157"/>
        <v>0</v>
      </c>
      <c r="AR161" s="386">
        <f t="shared" si="158"/>
        <v>0.18145675680526252</v>
      </c>
      <c r="AS161" s="386">
        <f t="shared" si="159"/>
        <v>0.17412638969717376</v>
      </c>
      <c r="AT161" s="386">
        <f t="shared" si="160"/>
        <v>0</v>
      </c>
      <c r="AU161" s="386">
        <f t="shared" si="161"/>
        <v>0.10907600000000001</v>
      </c>
      <c r="AV161" s="386">
        <f t="shared" si="162"/>
        <v>0.15388110641635833</v>
      </c>
      <c r="AW161" s="386">
        <f t="shared" si="163"/>
        <v>6.5920000000000006E-2</v>
      </c>
      <c r="AX161" s="386">
        <f t="shared" si="164"/>
        <v>3.6000000000000004E-2</v>
      </c>
      <c r="AY161" s="386">
        <f t="shared" si="165"/>
        <v>0.40226399999999995</v>
      </c>
      <c r="AZ161" s="386">
        <f t="shared" si="166"/>
        <v>0.30415082926829268</v>
      </c>
      <c r="BA161" s="386">
        <f t="shared" si="123"/>
        <v>0.43826399999999999</v>
      </c>
      <c r="BB161" s="386">
        <f t="shared" si="124"/>
        <v>2.7436254906053534</v>
      </c>
      <c r="BC161">
        <f t="shared" si="167"/>
        <v>48</v>
      </c>
      <c r="BD161" s="604">
        <f t="shared" si="125"/>
        <v>0.94593162266040087</v>
      </c>
      <c r="BE161" s="614">
        <f t="shared" si="168"/>
        <v>38.533791152859166</v>
      </c>
      <c r="BF161" s="614">
        <f t="shared" si="169"/>
        <v>17.526402701086457</v>
      </c>
      <c r="BG161" s="9"/>
      <c r="BH161" s="4">
        <f t="shared" si="126"/>
        <v>94.593162266040082</v>
      </c>
      <c r="BI161" s="386">
        <f t="shared" si="127"/>
        <v>0.76453518362034145</v>
      </c>
      <c r="BJ161" s="386">
        <f t="shared" si="128"/>
        <v>1.1480118232526009</v>
      </c>
      <c r="BK161" s="386">
        <f t="shared" si="129"/>
        <v>0.33817443691528376</v>
      </c>
      <c r="BL161" s="386">
        <f t="shared" si="130"/>
        <v>0.15388110641635833</v>
      </c>
    </row>
    <row r="162" spans="7:64" x14ac:dyDescent="0.2">
      <c r="G162">
        <v>153</v>
      </c>
      <c r="H162" s="610">
        <f t="shared" si="131"/>
        <v>29.655000000000001</v>
      </c>
      <c r="I162" s="4" t="str">
        <f t="shared" si="132"/>
        <v>BUCK</v>
      </c>
      <c r="J162">
        <f t="shared" si="170"/>
        <v>1</v>
      </c>
      <c r="K162">
        <f t="shared" si="133"/>
        <v>4</v>
      </c>
      <c r="L162" s="4">
        <f t="shared" si="134"/>
        <v>1.7984600685662899</v>
      </c>
      <c r="M162" s="4">
        <f t="shared" si="135"/>
        <v>4</v>
      </c>
      <c r="N162" s="386">
        <f t="shared" si="136"/>
        <v>0.40897863032138648</v>
      </c>
      <c r="O162" s="386">
        <f t="shared" si="171"/>
        <v>0</v>
      </c>
      <c r="P162" s="4">
        <f t="shared" si="137"/>
        <v>4.1302843596493704</v>
      </c>
      <c r="Q162" s="386">
        <f t="shared" si="138"/>
        <v>4.1739195098009523</v>
      </c>
      <c r="R162" s="386">
        <f t="shared" si="116"/>
        <v>0.23427518446129283</v>
      </c>
      <c r="S162" s="386">
        <f t="shared" si="117"/>
        <v>0.53426230930330632</v>
      </c>
      <c r="T162" s="386">
        <f t="shared" si="118"/>
        <v>0.76853749376459912</v>
      </c>
      <c r="U162" s="4">
        <f t="shared" si="139"/>
        <v>1.1923103934366326</v>
      </c>
      <c r="V162" s="386">
        <f t="shared" si="119"/>
        <v>3.8383310006019473E-2</v>
      </c>
      <c r="W162" s="386">
        <f t="shared" si="120"/>
        <v>3.8383310006019473E-2</v>
      </c>
      <c r="X162" s="386">
        <f t="shared" si="140"/>
        <v>2.0520879488356822</v>
      </c>
      <c r="Y162" s="386">
        <f t="shared" si="121"/>
        <v>0.1347540783922124</v>
      </c>
      <c r="Z162" s="603">
        <f t="shared" si="122"/>
        <v>0.1347540783922124</v>
      </c>
      <c r="AA162" s="386">
        <f t="shared" si="141"/>
        <v>2.66928150862877</v>
      </c>
      <c r="AB162" s="386">
        <f t="shared" si="142"/>
        <v>7.1250637723074828E-2</v>
      </c>
      <c r="AC162" s="386">
        <f t="shared" si="143"/>
        <v>0.47671456257285566</v>
      </c>
      <c r="AD162">
        <f t="shared" si="144"/>
        <v>0</v>
      </c>
      <c r="AE162" s="386">
        <f t="shared" si="145"/>
        <v>0.55717539196010724</v>
      </c>
      <c r="AF162" s="386">
        <f t="shared" si="146"/>
        <v>3.2088222608909862</v>
      </c>
      <c r="AG162" s="386">
        <f t="shared" si="147"/>
        <v>0.10296540301989542</v>
      </c>
      <c r="AH162" s="386">
        <f t="shared" si="148"/>
        <v>0.19239999999999999</v>
      </c>
      <c r="AI162" s="386">
        <f t="shared" si="149"/>
        <v>0.30259375461150689</v>
      </c>
      <c r="AJ162" s="386">
        <f t="shared" si="150"/>
        <v>0</v>
      </c>
      <c r="AK162" s="386">
        <f t="shared" si="151"/>
        <v>0</v>
      </c>
      <c r="AL162" s="386">
        <f t="shared" si="152"/>
        <v>0</v>
      </c>
      <c r="AM162">
        <f t="shared" si="153"/>
        <v>0</v>
      </c>
      <c r="AN162" s="386">
        <f t="shared" si="154"/>
        <v>0</v>
      </c>
      <c r="AO162" s="386">
        <f t="shared" si="155"/>
        <v>4.1739195098009523</v>
      </c>
      <c r="AP162" s="386">
        <f t="shared" si="156"/>
        <v>0.17421604074297023</v>
      </c>
      <c r="AQ162" s="386">
        <f t="shared" si="157"/>
        <v>0</v>
      </c>
      <c r="AR162" s="386">
        <f t="shared" si="158"/>
        <v>0.18155411709801547</v>
      </c>
      <c r="AS162" s="386">
        <f t="shared" si="159"/>
        <v>0.17421604074297023</v>
      </c>
      <c r="AT162" s="386">
        <f t="shared" si="160"/>
        <v>0</v>
      </c>
      <c r="AU162" s="386">
        <f t="shared" si="161"/>
        <v>0.10957550000000001</v>
      </c>
      <c r="AV162" s="386">
        <f t="shared" si="162"/>
        <v>0.15444810452984312</v>
      </c>
      <c r="AW162" s="386">
        <f t="shared" si="163"/>
        <v>6.5920000000000006E-2</v>
      </c>
      <c r="AX162" s="386">
        <f t="shared" si="164"/>
        <v>3.6000000000000004E-2</v>
      </c>
      <c r="AY162" s="386">
        <f t="shared" si="165"/>
        <v>0.40226399999999995</v>
      </c>
      <c r="AZ162" s="386">
        <f t="shared" si="166"/>
        <v>0.30415082926829268</v>
      </c>
      <c r="BA162" s="386">
        <f t="shared" si="123"/>
        <v>0.43826399999999999</v>
      </c>
      <c r="BB162" s="386">
        <f t="shared" si="124"/>
        <v>2.7512057503623035</v>
      </c>
      <c r="BC162">
        <f t="shared" si="167"/>
        <v>48</v>
      </c>
      <c r="BD162" s="604">
        <f t="shared" si="125"/>
        <v>0.94579033720114791</v>
      </c>
      <c r="BE162" s="614">
        <f t="shared" si="168"/>
        <v>38.671551733686222</v>
      </c>
      <c r="BF162" s="614">
        <f t="shared" si="169"/>
        <v>17.5504377674674</v>
      </c>
      <c r="BG162" s="9"/>
      <c r="BH162" s="4">
        <f t="shared" si="126"/>
        <v>94.579033720114793</v>
      </c>
      <c r="BI162" s="386">
        <f t="shared" si="127"/>
        <v>0.76853749376459912</v>
      </c>
      <c r="BJ162" s="386">
        <f t="shared" si="128"/>
        <v>1.1508987636696297</v>
      </c>
      <c r="BK162" s="386">
        <f t="shared" si="129"/>
        <v>0.33875366961150688</v>
      </c>
      <c r="BL162" s="386">
        <f t="shared" si="130"/>
        <v>0.15444810452984312</v>
      </c>
    </row>
    <row r="163" spans="7:64" x14ac:dyDescent="0.2">
      <c r="G163">
        <v>154</v>
      </c>
      <c r="H163" s="610">
        <f t="shared" si="131"/>
        <v>29.79</v>
      </c>
      <c r="I163" s="4" t="str">
        <f t="shared" si="132"/>
        <v>BUCK</v>
      </c>
      <c r="J163">
        <f t="shared" si="170"/>
        <v>1</v>
      </c>
      <c r="K163">
        <f t="shared" si="133"/>
        <v>4</v>
      </c>
      <c r="L163" s="4">
        <f t="shared" si="134"/>
        <v>1.7903099474096453</v>
      </c>
      <c r="M163" s="4">
        <f t="shared" si="135"/>
        <v>4</v>
      </c>
      <c r="N163" s="386">
        <f t="shared" si="136"/>
        <v>0.4071289782244556</v>
      </c>
      <c r="O163" s="386">
        <f t="shared" si="171"/>
        <v>0</v>
      </c>
      <c r="P163" s="4">
        <f t="shared" si="137"/>
        <v>4.1432104390073805</v>
      </c>
      <c r="Q163" s="386">
        <f t="shared" si="138"/>
        <v>4.1749869534915884</v>
      </c>
      <c r="R163" s="386">
        <f t="shared" si="116"/>
        <v>0.23439727474425495</v>
      </c>
      <c r="S163" s="386">
        <f t="shared" si="117"/>
        <v>0.53812250593857114</v>
      </c>
      <c r="T163" s="386">
        <f t="shared" si="118"/>
        <v>0.77251978068282612</v>
      </c>
      <c r="U163" s="4">
        <f t="shared" si="139"/>
        <v>1.1960418311350893</v>
      </c>
      <c r="V163" s="386">
        <f t="shared" si="119"/>
        <v>3.8623933669274392E-2</v>
      </c>
      <c r="W163" s="386">
        <f t="shared" si="120"/>
        <v>3.8623933669274392E-2</v>
      </c>
      <c r="X163" s="386">
        <f t="shared" si="140"/>
        <v>2.0511680451095757</v>
      </c>
      <c r="Y163" s="386">
        <f t="shared" si="121"/>
        <v>0.13463329117691644</v>
      </c>
      <c r="Z163" s="603">
        <f t="shared" si="122"/>
        <v>0.13463329117691644</v>
      </c>
      <c r="AA163" s="386">
        <f t="shared" si="141"/>
        <v>2.6639197049039902</v>
      </c>
      <c r="AB163" s="386">
        <f t="shared" si="142"/>
        <v>7.0964681941757632E-2</v>
      </c>
      <c r="AC163" s="386">
        <f t="shared" si="143"/>
        <v>0.47888473508836182</v>
      </c>
      <c r="AD163">
        <f t="shared" si="144"/>
        <v>0</v>
      </c>
      <c r="AE163" s="386">
        <f t="shared" si="145"/>
        <v>0.55905356661210315</v>
      </c>
      <c r="AF163" s="386">
        <f t="shared" si="146"/>
        <v>3.2146613923785519</v>
      </c>
      <c r="AG163" s="386">
        <f t="shared" si="147"/>
        <v>0.1033404786764921</v>
      </c>
      <c r="AH163" s="386">
        <f t="shared" si="148"/>
        <v>0.19239999999999999</v>
      </c>
      <c r="AI163" s="386">
        <f t="shared" si="149"/>
        <v>0.30300502135241403</v>
      </c>
      <c r="AJ163" s="386">
        <f t="shared" si="150"/>
        <v>0</v>
      </c>
      <c r="AK163" s="386">
        <f t="shared" si="151"/>
        <v>0</v>
      </c>
      <c r="AL163" s="386">
        <f t="shared" si="152"/>
        <v>0</v>
      </c>
      <c r="AM163">
        <f t="shared" si="153"/>
        <v>0</v>
      </c>
      <c r="AN163" s="386">
        <f t="shared" si="154"/>
        <v>0</v>
      </c>
      <c r="AO163" s="386">
        <f t="shared" si="155"/>
        <v>4.1749869534915884</v>
      </c>
      <c r="AP163" s="386">
        <f t="shared" si="156"/>
        <v>0.17430516061824974</v>
      </c>
      <c r="AQ163" s="386">
        <f t="shared" si="157"/>
        <v>0</v>
      </c>
      <c r="AR163" s="386">
        <f t="shared" si="158"/>
        <v>0.18165090472723369</v>
      </c>
      <c r="AS163" s="386">
        <f t="shared" si="159"/>
        <v>0.17430516061824974</v>
      </c>
      <c r="AT163" s="386">
        <f t="shared" si="160"/>
        <v>0</v>
      </c>
      <c r="AU163" s="386">
        <f t="shared" si="161"/>
        <v>0.11007500000000001</v>
      </c>
      <c r="AV163" s="386">
        <f t="shared" si="162"/>
        <v>0.15501071801473815</v>
      </c>
      <c r="AW163" s="386">
        <f t="shared" si="163"/>
        <v>6.5920000000000006E-2</v>
      </c>
      <c r="AX163" s="386">
        <f t="shared" si="164"/>
        <v>3.6000000000000004E-2</v>
      </c>
      <c r="AY163" s="386">
        <f t="shared" si="165"/>
        <v>0.40226399999999995</v>
      </c>
      <c r="AZ163" s="386">
        <f t="shared" si="166"/>
        <v>0.30415082926829268</v>
      </c>
      <c r="BA163" s="386">
        <f t="shared" si="123"/>
        <v>0.43826399999999999</v>
      </c>
      <c r="BB163" s="386">
        <f t="shared" si="124"/>
        <v>2.7587562162355059</v>
      </c>
      <c r="BC163">
        <f t="shared" si="167"/>
        <v>48</v>
      </c>
      <c r="BD163" s="604">
        <f t="shared" si="125"/>
        <v>0.94564964900867488</v>
      </c>
      <c r="BE163" s="614">
        <f t="shared" si="168"/>
        <v>38.809456863501985</v>
      </c>
      <c r="BF163" s="614">
        <f t="shared" si="169"/>
        <v>17.574291238440015</v>
      </c>
      <c r="BG163" s="9"/>
      <c r="BH163" s="4">
        <f t="shared" si="126"/>
        <v>94.564964900867494</v>
      </c>
      <c r="BI163" s="386">
        <f t="shared" si="127"/>
        <v>0.77251978068282612</v>
      </c>
      <c r="BJ163" s="386">
        <f t="shared" si="128"/>
        <v>1.1537844926917509</v>
      </c>
      <c r="BK163" s="386">
        <f t="shared" si="129"/>
        <v>0.33932977135241404</v>
      </c>
      <c r="BL163" s="386">
        <f t="shared" si="130"/>
        <v>0.15501071801473815</v>
      </c>
    </row>
    <row r="164" spans="7:64" x14ac:dyDescent="0.2">
      <c r="G164">
        <v>155</v>
      </c>
      <c r="H164" s="610">
        <f t="shared" si="131"/>
        <v>29.925000000000001</v>
      </c>
      <c r="I164" s="4" t="str">
        <f t="shared" si="132"/>
        <v>BUCK</v>
      </c>
      <c r="J164">
        <f t="shared" si="170"/>
        <v>1</v>
      </c>
      <c r="K164">
        <f t="shared" si="133"/>
        <v>4</v>
      </c>
      <c r="L164" s="4">
        <f t="shared" si="134"/>
        <v>1.7822333611807295</v>
      </c>
      <c r="M164" s="4">
        <f t="shared" si="135"/>
        <v>4</v>
      </c>
      <c r="N164" s="386">
        <f t="shared" si="136"/>
        <v>0.4052959813239953</v>
      </c>
      <c r="O164" s="386">
        <f t="shared" si="171"/>
        <v>0</v>
      </c>
      <c r="P164" s="4">
        <f t="shared" si="137"/>
        <v>4.1560201254547158</v>
      </c>
      <c r="Q164" s="386">
        <f t="shared" si="138"/>
        <v>4.1760478054733428</v>
      </c>
      <c r="R164" s="386">
        <f t="shared" si="116"/>
        <v>0.23451864434311012</v>
      </c>
      <c r="S164" s="386">
        <f t="shared" si="117"/>
        <v>0.54196346770668091</v>
      </c>
      <c r="T164" s="386">
        <f t="shared" si="118"/>
        <v>0.77648211204979101</v>
      </c>
      <c r="U164" s="4">
        <f t="shared" si="139"/>
        <v>1.1997396690943913</v>
      </c>
      <c r="V164" s="386">
        <f t="shared" si="119"/>
        <v>3.8863132387165426E-2</v>
      </c>
      <c r="W164" s="386">
        <f t="shared" si="120"/>
        <v>3.8863132387165426E-2</v>
      </c>
      <c r="X164" s="386">
        <f t="shared" si="140"/>
        <v>2.0502274647859804</v>
      </c>
      <c r="Y164" s="386">
        <f t="shared" si="121"/>
        <v>0.13450984503560795</v>
      </c>
      <c r="Z164" s="603">
        <f t="shared" si="122"/>
        <v>0.13450984503560795</v>
      </c>
      <c r="AA164" s="386">
        <f t="shared" si="141"/>
        <v>2.6585914908444681</v>
      </c>
      <c r="AB164" s="386">
        <f t="shared" si="142"/>
        <v>7.0681087151906116E-2</v>
      </c>
      <c r="AC164" s="386">
        <f t="shared" si="143"/>
        <v>0.48105490760386799</v>
      </c>
      <c r="AD164">
        <f t="shared" si="144"/>
        <v>0</v>
      </c>
      <c r="AE164" s="386">
        <f t="shared" si="145"/>
        <v>0.56093420063192723</v>
      </c>
      <c r="AF164" s="386">
        <f t="shared" si="146"/>
        <v>3.2204450870039856</v>
      </c>
      <c r="AG164" s="386">
        <f t="shared" si="147"/>
        <v>0.10371266558408108</v>
      </c>
      <c r="AH164" s="386">
        <f t="shared" si="148"/>
        <v>0.19239999999999999</v>
      </c>
      <c r="AI164" s="386">
        <f t="shared" si="149"/>
        <v>0.30341319310306342</v>
      </c>
      <c r="AJ164" s="386">
        <f t="shared" si="150"/>
        <v>0</v>
      </c>
      <c r="AK164" s="386">
        <f t="shared" si="151"/>
        <v>0</v>
      </c>
      <c r="AL164" s="386">
        <f t="shared" si="152"/>
        <v>0</v>
      </c>
      <c r="AM164">
        <f t="shared" si="153"/>
        <v>0</v>
      </c>
      <c r="AN164" s="386">
        <f t="shared" si="154"/>
        <v>0</v>
      </c>
      <c r="AO164" s="386">
        <f t="shared" si="155"/>
        <v>4.1760478054733428</v>
      </c>
      <c r="AP164" s="386">
        <f t="shared" si="156"/>
        <v>0.1743937527359872</v>
      </c>
      <c r="AQ164" s="386">
        <f t="shared" si="157"/>
        <v>0</v>
      </c>
      <c r="AR164" s="386">
        <f t="shared" si="158"/>
        <v>0.18174712332546933</v>
      </c>
      <c r="AS164" s="386">
        <f t="shared" si="159"/>
        <v>0.1743937527359872</v>
      </c>
      <c r="AT164" s="386">
        <f t="shared" si="160"/>
        <v>0</v>
      </c>
      <c r="AU164" s="386">
        <f t="shared" si="161"/>
        <v>0.11057450000000001</v>
      </c>
      <c r="AV164" s="386">
        <f t="shared" si="162"/>
        <v>0.15556899837612162</v>
      </c>
      <c r="AW164" s="386">
        <f t="shared" si="163"/>
        <v>6.5920000000000006E-2</v>
      </c>
      <c r="AX164" s="386">
        <f t="shared" si="164"/>
        <v>3.6000000000000004E-2</v>
      </c>
      <c r="AY164" s="386">
        <f t="shared" si="165"/>
        <v>0.40226399999999995</v>
      </c>
      <c r="AZ164" s="386">
        <f t="shared" si="166"/>
        <v>0.30415082926829268</v>
      </c>
      <c r="BA164" s="386">
        <f t="shared" si="123"/>
        <v>0.43826399999999999</v>
      </c>
      <c r="BB164" s="386">
        <f t="shared" si="124"/>
        <v>2.7662771049091455</v>
      </c>
      <c r="BC164">
        <f t="shared" si="167"/>
        <v>48</v>
      </c>
      <c r="BD164" s="604">
        <f t="shared" si="125"/>
        <v>0.94550955353309452</v>
      </c>
      <c r="BE164" s="614">
        <f t="shared" si="168"/>
        <v>38.947504636651779</v>
      </c>
      <c r="BF164" s="614">
        <f t="shared" si="169"/>
        <v>17.597965199977679</v>
      </c>
      <c r="BG164" s="9"/>
      <c r="BH164" s="4">
        <f t="shared" si="126"/>
        <v>94.550955353309448</v>
      </c>
      <c r="BI164" s="386">
        <f t="shared" si="127"/>
        <v>0.77648211204979101</v>
      </c>
      <c r="BJ164" s="386">
        <f t="shared" si="128"/>
        <v>1.1566690170604599</v>
      </c>
      <c r="BK164" s="386">
        <f t="shared" si="129"/>
        <v>0.33990277810306341</v>
      </c>
      <c r="BL164" s="386">
        <f t="shared" si="130"/>
        <v>0.15556899837612162</v>
      </c>
    </row>
    <row r="165" spans="7:64" x14ac:dyDescent="0.2">
      <c r="G165">
        <v>156</v>
      </c>
      <c r="H165" s="610">
        <f t="shared" si="131"/>
        <v>30.060000000000002</v>
      </c>
      <c r="I165" s="4" t="str">
        <f t="shared" si="132"/>
        <v>BUCK</v>
      </c>
      <c r="J165">
        <f t="shared" si="170"/>
        <v>1</v>
      </c>
      <c r="K165">
        <f t="shared" si="133"/>
        <v>4</v>
      </c>
      <c r="L165" s="4">
        <f t="shared" si="134"/>
        <v>1.7742293191394987</v>
      </c>
      <c r="M165" s="4">
        <f t="shared" si="135"/>
        <v>4</v>
      </c>
      <c r="N165" s="386">
        <f t="shared" si="136"/>
        <v>0.40347941567065071</v>
      </c>
      <c r="O165" s="386">
        <f t="shared" si="171"/>
        <v>0</v>
      </c>
      <c r="P165" s="4">
        <f t="shared" si="137"/>
        <v>4.16871498403549</v>
      </c>
      <c r="Q165" s="386">
        <f t="shared" si="138"/>
        <v>4.1771021116930056</v>
      </c>
      <c r="R165" s="386">
        <f t="shared" si="116"/>
        <v>0.2346392979005695</v>
      </c>
      <c r="S165" s="386">
        <f t="shared" si="117"/>
        <v>0.54578525975228542</v>
      </c>
      <c r="T165" s="386">
        <f t="shared" si="118"/>
        <v>0.7804245576528549</v>
      </c>
      <c r="U165" s="4">
        <f t="shared" si="139"/>
        <v>1.2034043591038583</v>
      </c>
      <c r="V165" s="386">
        <f t="shared" si="119"/>
        <v>3.9100915390774538E-2</v>
      </c>
      <c r="W165" s="386">
        <f t="shared" si="120"/>
        <v>3.9100915390774538E-2</v>
      </c>
      <c r="X165" s="386">
        <f t="shared" si="140"/>
        <v>2.0492667845998036</v>
      </c>
      <c r="Y165" s="386">
        <f t="shared" si="121"/>
        <v>0.13438381934284857</v>
      </c>
      <c r="Z165" s="603">
        <f t="shared" si="122"/>
        <v>0.13438381934284857</v>
      </c>
      <c r="AA165" s="386">
        <f t="shared" si="141"/>
        <v>2.6532964965601673</v>
      </c>
      <c r="AB165" s="386">
        <f t="shared" si="142"/>
        <v>7.0399822986584579E-2</v>
      </c>
      <c r="AC165" s="386">
        <f t="shared" si="143"/>
        <v>0.48322508011937415</v>
      </c>
      <c r="AD165">
        <f t="shared" si="144"/>
        <v>0</v>
      </c>
      <c r="AE165" s="386">
        <f t="shared" si="145"/>
        <v>0.56281726176564495</v>
      </c>
      <c r="AF165" s="386">
        <f t="shared" si="146"/>
        <v>3.2261741665402552</v>
      </c>
      <c r="AG165" s="386">
        <f t="shared" si="147"/>
        <v>0.10408199752851711</v>
      </c>
      <c r="AH165" s="386">
        <f t="shared" si="148"/>
        <v>0.19239999999999999</v>
      </c>
      <c r="AI165" s="386">
        <f t="shared" si="149"/>
        <v>0.30381830526314096</v>
      </c>
      <c r="AJ165" s="386">
        <f t="shared" si="150"/>
        <v>0</v>
      </c>
      <c r="AK165" s="386">
        <f t="shared" si="151"/>
        <v>0</v>
      </c>
      <c r="AL165" s="386">
        <f t="shared" si="152"/>
        <v>0</v>
      </c>
      <c r="AM165">
        <f t="shared" si="153"/>
        <v>0</v>
      </c>
      <c r="AN165" s="386">
        <f t="shared" si="154"/>
        <v>0</v>
      </c>
      <c r="AO165" s="386">
        <f t="shared" si="155"/>
        <v>4.1771021116930056</v>
      </c>
      <c r="AP165" s="386">
        <f t="shared" si="156"/>
        <v>0.17448182051510167</v>
      </c>
      <c r="AQ165" s="386">
        <f t="shared" si="157"/>
        <v>0</v>
      </c>
      <c r="AR165" s="386">
        <f t="shared" si="158"/>
        <v>0.18184277653279712</v>
      </c>
      <c r="AS165" s="386">
        <f t="shared" si="159"/>
        <v>0.17448182051510167</v>
      </c>
      <c r="AT165" s="386">
        <f t="shared" si="160"/>
        <v>0</v>
      </c>
      <c r="AU165" s="386">
        <f t="shared" si="161"/>
        <v>0.11107400000000002</v>
      </c>
      <c r="AV165" s="386">
        <f t="shared" si="162"/>
        <v>0.15612299629277568</v>
      </c>
      <c r="AW165" s="386">
        <f t="shared" si="163"/>
        <v>6.5920000000000006E-2</v>
      </c>
      <c r="AX165" s="386">
        <f t="shared" si="164"/>
        <v>3.6000000000000004E-2</v>
      </c>
      <c r="AY165" s="386">
        <f t="shared" si="165"/>
        <v>0.40226399999999995</v>
      </c>
      <c r="AZ165" s="386">
        <f t="shared" si="166"/>
        <v>0.30415082926829268</v>
      </c>
      <c r="BA165" s="386">
        <f t="shared" si="123"/>
        <v>0.43826399999999999</v>
      </c>
      <c r="BB165" s="386">
        <f t="shared" si="124"/>
        <v>2.7737686322408366</v>
      </c>
      <c r="BC165">
        <f t="shared" si="167"/>
        <v>48</v>
      </c>
      <c r="BD165" s="604">
        <f t="shared" si="125"/>
        <v>0.94537004624707877</v>
      </c>
      <c r="BE165" s="614">
        <f t="shared" si="168"/>
        <v>39.085693182407411</v>
      </c>
      <c r="BF165" s="614">
        <f t="shared" si="169"/>
        <v>17.621461705262178</v>
      </c>
      <c r="BG165" s="9"/>
      <c r="BH165" s="4">
        <f t="shared" si="126"/>
        <v>94.537004624707876</v>
      </c>
      <c r="BI165" s="386">
        <f t="shared" si="127"/>
        <v>0.7804245576528549</v>
      </c>
      <c r="BJ165" s="386">
        <f t="shared" si="128"/>
        <v>1.1595523435615831</v>
      </c>
      <c r="BK165" s="386">
        <f t="shared" si="129"/>
        <v>0.34047272526314099</v>
      </c>
      <c r="BL165" s="386">
        <f t="shared" si="130"/>
        <v>0.15612299629277568</v>
      </c>
    </row>
    <row r="166" spans="7:64" x14ac:dyDescent="0.2">
      <c r="G166">
        <v>157</v>
      </c>
      <c r="H166" s="610">
        <f t="shared" si="131"/>
        <v>30.195</v>
      </c>
      <c r="I166" s="4" t="str">
        <f t="shared" si="132"/>
        <v>BUCK</v>
      </c>
      <c r="J166">
        <f t="shared" si="170"/>
        <v>1</v>
      </c>
      <c r="K166">
        <f t="shared" si="133"/>
        <v>4</v>
      </c>
      <c r="L166" s="4">
        <f t="shared" si="134"/>
        <v>1.7662968482640613</v>
      </c>
      <c r="M166" s="4">
        <f t="shared" si="135"/>
        <v>4</v>
      </c>
      <c r="N166" s="386">
        <f t="shared" si="136"/>
        <v>0.40167906131217979</v>
      </c>
      <c r="O166" s="386">
        <f t="shared" si="171"/>
        <v>0</v>
      </c>
      <c r="P166" s="4">
        <f t="shared" si="137"/>
        <v>4.181296551860461</v>
      </c>
      <c r="Q166" s="386">
        <f t="shared" si="138"/>
        <v>4.1781499180717949</v>
      </c>
      <c r="R166" s="386">
        <f t="shared" si="116"/>
        <v>0.23475924006586144</v>
      </c>
      <c r="S166" s="386">
        <f t="shared" si="117"/>
        <v>0.54958794921243059</v>
      </c>
      <c r="T166" s="386">
        <f t="shared" si="118"/>
        <v>0.78434718927829206</v>
      </c>
      <c r="U166" s="4">
        <f t="shared" si="139"/>
        <v>1.2070363448891457</v>
      </c>
      <c r="V166" s="386">
        <f t="shared" si="119"/>
        <v>3.9337291922850411E-2</v>
      </c>
      <c r="W166" s="386">
        <f t="shared" si="120"/>
        <v>3.9337291922850411E-2</v>
      </c>
      <c r="X166" s="386">
        <f t="shared" si="140"/>
        <v>2.0482865656686187</v>
      </c>
      <c r="Y166" s="386">
        <f t="shared" si="121"/>
        <v>0.13425529136315342</v>
      </c>
      <c r="Z166" s="603">
        <f t="shared" si="122"/>
        <v>0.13425529136315342</v>
      </c>
      <c r="AA166" s="386">
        <f t="shared" si="141"/>
        <v>2.6480343582097059</v>
      </c>
      <c r="AB166" s="386">
        <f t="shared" si="142"/>
        <v>7.0120859622590889E-2</v>
      </c>
      <c r="AC166" s="386">
        <f t="shared" si="143"/>
        <v>0.48539525263488031</v>
      </c>
      <c r="AD166">
        <f t="shared" si="144"/>
        <v>0</v>
      </c>
      <c r="AE166" s="386">
        <f t="shared" si="145"/>
        <v>0.56470271834714925</v>
      </c>
      <c r="AF166" s="386">
        <f t="shared" si="146"/>
        <v>3.2318494357912559</v>
      </c>
      <c r="AG166" s="386">
        <f t="shared" si="147"/>
        <v>0.10444850775624259</v>
      </c>
      <c r="AH166" s="386">
        <f t="shared" si="148"/>
        <v>0.19239999999999999</v>
      </c>
      <c r="AI166" s="386">
        <f t="shared" si="149"/>
        <v>0.30422039267851775</v>
      </c>
      <c r="AJ166" s="386">
        <f t="shared" si="150"/>
        <v>0</v>
      </c>
      <c r="AK166" s="386">
        <f t="shared" si="151"/>
        <v>0</v>
      </c>
      <c r="AL166" s="386">
        <f t="shared" si="152"/>
        <v>0</v>
      </c>
      <c r="AM166">
        <f t="shared" si="153"/>
        <v>0</v>
      </c>
      <c r="AN166" s="386">
        <f t="shared" si="154"/>
        <v>0</v>
      </c>
      <c r="AO166" s="386">
        <f t="shared" si="155"/>
        <v>4.1781499180717949</v>
      </c>
      <c r="AP166" s="386">
        <f t="shared" si="156"/>
        <v>0.17456936737883347</v>
      </c>
      <c r="AQ166" s="386">
        <f t="shared" si="157"/>
        <v>0</v>
      </c>
      <c r="AR166" s="386">
        <f t="shared" si="158"/>
        <v>0.18193786799504394</v>
      </c>
      <c r="AS166" s="386">
        <f t="shared" si="159"/>
        <v>0.17456936737883347</v>
      </c>
      <c r="AT166" s="386">
        <f t="shared" si="160"/>
        <v>0</v>
      </c>
      <c r="AU166" s="386">
        <f t="shared" si="161"/>
        <v>0.11157350000000001</v>
      </c>
      <c r="AV166" s="386">
        <f t="shared" si="162"/>
        <v>0.15667276163436389</v>
      </c>
      <c r="AW166" s="386">
        <f t="shared" si="163"/>
        <v>6.5920000000000006E-2</v>
      </c>
      <c r="AX166" s="386">
        <f t="shared" si="164"/>
        <v>3.6000000000000004E-2</v>
      </c>
      <c r="AY166" s="386">
        <f t="shared" si="165"/>
        <v>0.40226399999999995</v>
      </c>
      <c r="AZ166" s="386">
        <f t="shared" si="166"/>
        <v>0.30415082926829268</v>
      </c>
      <c r="BA166" s="386">
        <f t="shared" si="123"/>
        <v>0.43826399999999999</v>
      </c>
      <c r="BB166" s="386">
        <f t="shared" si="124"/>
        <v>2.7812310132193705</v>
      </c>
      <c r="BC166">
        <f t="shared" si="167"/>
        <v>48</v>
      </c>
      <c r="BD166" s="604">
        <f t="shared" si="125"/>
        <v>0.94523112264656683</v>
      </c>
      <c r="BE166" s="614">
        <f t="shared" si="168"/>
        <v>39.224020664134656</v>
      </c>
      <c r="BF166" s="614">
        <f t="shared" si="169"/>
        <v>17.644782775354031</v>
      </c>
      <c r="BG166" s="9"/>
      <c r="BH166" s="4">
        <f t="shared" si="126"/>
        <v>94.523112264656689</v>
      </c>
      <c r="BI166" s="386">
        <f t="shared" si="127"/>
        <v>0.78434718927829206</v>
      </c>
      <c r="BJ166" s="386">
        <f t="shared" si="128"/>
        <v>1.1624344790207108</v>
      </c>
      <c r="BK166" s="386">
        <f t="shared" si="129"/>
        <v>0.34103964767851774</v>
      </c>
      <c r="BL166" s="386">
        <f t="shared" si="130"/>
        <v>0.15667276163436389</v>
      </c>
    </row>
    <row r="167" spans="7:64" x14ac:dyDescent="0.2">
      <c r="G167">
        <v>158</v>
      </c>
      <c r="H167" s="610">
        <f t="shared" si="131"/>
        <v>30.330000000000002</v>
      </c>
      <c r="I167" s="4" t="str">
        <f t="shared" si="132"/>
        <v>BUCK</v>
      </c>
      <c r="J167">
        <f t="shared" si="170"/>
        <v>1</v>
      </c>
      <c r="K167">
        <f t="shared" si="133"/>
        <v>4</v>
      </c>
      <c r="L167" s="4">
        <f t="shared" si="134"/>
        <v>1.7584349928563578</v>
      </c>
      <c r="M167" s="4">
        <f t="shared" si="135"/>
        <v>4</v>
      </c>
      <c r="N167" s="386">
        <f t="shared" si="136"/>
        <v>0.39989470220467255</v>
      </c>
      <c r="O167" s="386">
        <f t="shared" si="171"/>
        <v>0</v>
      </c>
      <c r="P167" s="4">
        <f t="shared" si="137"/>
        <v>4.1937663387274613</v>
      </c>
      <c r="Q167" s="386">
        <f t="shared" si="138"/>
        <v>4.1791912704876637</v>
      </c>
      <c r="R167" s="386">
        <f t="shared" si="116"/>
        <v>0.2348784754926152</v>
      </c>
      <c r="S167" s="386">
        <f t="shared" si="117"/>
        <v>0.55337160510956762</v>
      </c>
      <c r="T167" s="386">
        <f t="shared" si="118"/>
        <v>0.78825008060218282</v>
      </c>
      <c r="U167" s="4">
        <f t="shared" si="139"/>
        <v>1.2106360622913457</v>
      </c>
      <c r="V167" s="386">
        <f t="shared" si="119"/>
        <v>3.9572271233647961E-2</v>
      </c>
      <c r="W167" s="386">
        <f t="shared" si="120"/>
        <v>3.9572271233647961E-2</v>
      </c>
      <c r="X167" s="386">
        <f t="shared" si="140"/>
        <v>2.0472873539769729</v>
      </c>
      <c r="Y167" s="386">
        <f t="shared" si="121"/>
        <v>0.13412433631212911</v>
      </c>
      <c r="Z167" s="603">
        <f t="shared" si="122"/>
        <v>0.13412433631212911</v>
      </c>
      <c r="AA167" s="386">
        <f t="shared" si="141"/>
        <v>2.6428047178662903</v>
      </c>
      <c r="AB167" s="386">
        <f t="shared" si="142"/>
        <v>6.9844167767763227E-2</v>
      </c>
      <c r="AC167" s="386">
        <f t="shared" si="143"/>
        <v>0.48756542515038648</v>
      </c>
      <c r="AD167">
        <f t="shared" si="144"/>
        <v>0</v>
      </c>
      <c r="AE167" s="386">
        <f t="shared" si="145"/>
        <v>0.56659053928423353</v>
      </c>
      <c r="AF167" s="386">
        <f t="shared" si="146"/>
        <v>3.2374716830489758</v>
      </c>
      <c r="AG167" s="386">
        <f t="shared" si="147"/>
        <v>0.1048122289854397</v>
      </c>
      <c r="AH167" s="386">
        <f t="shared" si="148"/>
        <v>0.19239999999999999</v>
      </c>
      <c r="AI167" s="386">
        <f t="shared" si="149"/>
        <v>0.3046194896525094</v>
      </c>
      <c r="AJ167" s="386">
        <f t="shared" si="150"/>
        <v>0</v>
      </c>
      <c r="AK167" s="386">
        <f t="shared" si="151"/>
        <v>0</v>
      </c>
      <c r="AL167" s="386">
        <f t="shared" si="152"/>
        <v>0</v>
      </c>
      <c r="AM167">
        <f t="shared" si="153"/>
        <v>0</v>
      </c>
      <c r="AN167" s="386">
        <f t="shared" si="154"/>
        <v>0</v>
      </c>
      <c r="AO167" s="386">
        <f t="shared" si="155"/>
        <v>4.1791912704876637</v>
      </c>
      <c r="AP167" s="386">
        <f t="shared" si="156"/>
        <v>0.17465639675320294</v>
      </c>
      <c r="AQ167" s="386">
        <f t="shared" si="157"/>
        <v>0</v>
      </c>
      <c r="AR167" s="386">
        <f t="shared" si="158"/>
        <v>0.18203240136210624</v>
      </c>
      <c r="AS167" s="386">
        <f t="shared" si="159"/>
        <v>0.17465639675320294</v>
      </c>
      <c r="AT167" s="386">
        <f t="shared" si="160"/>
        <v>0</v>
      </c>
      <c r="AU167" s="386">
        <f t="shared" si="161"/>
        <v>0.11207300000000002</v>
      </c>
      <c r="AV167" s="386">
        <f t="shared" si="162"/>
        <v>0.15721834347815952</v>
      </c>
      <c r="AW167" s="386">
        <f t="shared" si="163"/>
        <v>6.5920000000000006E-2</v>
      </c>
      <c r="AX167" s="386">
        <f t="shared" si="164"/>
        <v>3.6000000000000004E-2</v>
      </c>
      <c r="AY167" s="386">
        <f t="shared" si="165"/>
        <v>0.40226399999999995</v>
      </c>
      <c r="AZ167" s="386">
        <f t="shared" si="166"/>
        <v>0.30415082926829268</v>
      </c>
      <c r="BA167" s="386">
        <f t="shared" si="123"/>
        <v>0.43826399999999999</v>
      </c>
      <c r="BB167" s="386">
        <f t="shared" si="124"/>
        <v>2.7886644619249688</v>
      </c>
      <c r="BC167">
        <f t="shared" si="167"/>
        <v>48</v>
      </c>
      <c r="BD167" s="604">
        <f t="shared" si="125"/>
        <v>0.94509277825142335</v>
      </c>
      <c r="BE167" s="614">
        <f t="shared" si="168"/>
        <v>39.362485278485543</v>
      </c>
      <c r="BF167" s="614">
        <f t="shared" si="169"/>
        <v>17.667930399845545</v>
      </c>
      <c r="BG167" s="9"/>
      <c r="BH167" s="4">
        <f t="shared" si="126"/>
        <v>94.509277825142334</v>
      </c>
      <c r="BI167" s="386">
        <f t="shared" si="127"/>
        <v>0.78825008060218282</v>
      </c>
      <c r="BJ167" s="386">
        <f t="shared" si="128"/>
        <v>1.1653154302988493</v>
      </c>
      <c r="BK167" s="386">
        <f t="shared" si="129"/>
        <v>0.34160357965250943</v>
      </c>
      <c r="BL167" s="386">
        <f t="shared" si="130"/>
        <v>0.15721834347815952</v>
      </c>
    </row>
    <row r="168" spans="7:64" x14ac:dyDescent="0.2">
      <c r="G168">
        <v>159</v>
      </c>
      <c r="H168" s="610">
        <f t="shared" si="131"/>
        <v>30.465</v>
      </c>
      <c r="I168" s="4" t="str">
        <f t="shared" si="132"/>
        <v>BUCK</v>
      </c>
      <c r="J168">
        <f t="shared" si="170"/>
        <v>1</v>
      </c>
      <c r="K168">
        <f t="shared" si="133"/>
        <v>4</v>
      </c>
      <c r="L168" s="4">
        <f t="shared" si="134"/>
        <v>1.7506428141583237</v>
      </c>
      <c r="M168" s="4">
        <f t="shared" si="135"/>
        <v>4</v>
      </c>
      <c r="N168" s="386">
        <f t="shared" si="136"/>
        <v>0.39812612612612613</v>
      </c>
      <c r="O168" s="386">
        <f t="shared" si="171"/>
        <v>0</v>
      </c>
      <c r="P168" s="4">
        <f t="shared" si="137"/>
        <v>4.2061258277253684</v>
      </c>
      <c r="Q168" s="386">
        <f t="shared" si="138"/>
        <v>4.1802262147585827</v>
      </c>
      <c r="R168" s="386">
        <f t="shared" si="116"/>
        <v>0.23499700883685348</v>
      </c>
      <c r="S168" s="386">
        <f t="shared" si="117"/>
        <v>0.55713629824884092</v>
      </c>
      <c r="T168" s="386">
        <f t="shared" si="118"/>
        <v>0.7921333070856944</v>
      </c>
      <c r="U168" s="4">
        <f t="shared" si="139"/>
        <v>1.2142039394413395</v>
      </c>
      <c r="V168" s="386">
        <f t="shared" si="119"/>
        <v>3.9805862576981439E-2</v>
      </c>
      <c r="W168" s="386">
        <f t="shared" si="120"/>
        <v>3.9805862576981439E-2</v>
      </c>
      <c r="X168" s="386">
        <f t="shared" si="140"/>
        <v>2.0462696808432068</v>
      </c>
      <c r="Y168" s="386">
        <f t="shared" si="121"/>
        <v>0.13399102741562111</v>
      </c>
      <c r="Z168" s="603">
        <f t="shared" si="122"/>
        <v>0.13399102741562111</v>
      </c>
      <c r="AA168" s="386">
        <f t="shared" si="141"/>
        <v>2.6376072233874246</v>
      </c>
      <c r="AB168" s="386">
        <f t="shared" si="142"/>
        <v>6.9569718648655202E-2</v>
      </c>
      <c r="AC168" s="386">
        <f t="shared" si="143"/>
        <v>0.4897355976658927</v>
      </c>
      <c r="AD168">
        <f t="shared" si="144"/>
        <v>0</v>
      </c>
      <c r="AE168" s="386">
        <f t="shared" si="145"/>
        <v>0.56848069404507051</v>
      </c>
      <c r="AF168" s="386">
        <f t="shared" si="146"/>
        <v>3.2430416805353195</v>
      </c>
      <c r="AG168" s="386">
        <f t="shared" si="147"/>
        <v>0.10517319341689349</v>
      </c>
      <c r="AH168" s="386">
        <f t="shared" si="148"/>
        <v>0.19239999999999999</v>
      </c>
      <c r="AI168" s="386">
        <f t="shared" si="149"/>
        <v>0.305015629956847</v>
      </c>
      <c r="AJ168" s="386">
        <f t="shared" si="150"/>
        <v>0</v>
      </c>
      <c r="AK168" s="386">
        <f t="shared" si="151"/>
        <v>0</v>
      </c>
      <c r="AL168" s="386">
        <f t="shared" si="152"/>
        <v>0</v>
      </c>
      <c r="AM168">
        <f t="shared" si="153"/>
        <v>0</v>
      </c>
      <c r="AN168" s="386">
        <f t="shared" si="154"/>
        <v>0</v>
      </c>
      <c r="AO168" s="386">
        <f t="shared" si="155"/>
        <v>4.1802262147585827</v>
      </c>
      <c r="AP168" s="386">
        <f t="shared" si="156"/>
        <v>0.17474291206554868</v>
      </c>
      <c r="AQ168" s="386">
        <f t="shared" si="157"/>
        <v>0</v>
      </c>
      <c r="AR168" s="386">
        <f t="shared" si="158"/>
        <v>0.18212638028635392</v>
      </c>
      <c r="AS168" s="386">
        <f t="shared" si="159"/>
        <v>0.17474291206554868</v>
      </c>
      <c r="AT168" s="386">
        <f t="shared" si="160"/>
        <v>0</v>
      </c>
      <c r="AU168" s="386">
        <f t="shared" si="161"/>
        <v>0.11257250000000001</v>
      </c>
      <c r="AV168" s="386">
        <f t="shared" si="162"/>
        <v>0.15775979012534022</v>
      </c>
      <c r="AW168" s="386">
        <f t="shared" si="163"/>
        <v>6.5920000000000006E-2</v>
      </c>
      <c r="AX168" s="386">
        <f t="shared" si="164"/>
        <v>3.6000000000000004E-2</v>
      </c>
      <c r="AY168" s="386">
        <f t="shared" si="165"/>
        <v>0.40226399999999995</v>
      </c>
      <c r="AZ168" s="386">
        <f t="shared" si="166"/>
        <v>0.30415082926829268</v>
      </c>
      <c r="BA168" s="386">
        <f t="shared" si="123"/>
        <v>0.43826399999999999</v>
      </c>
      <c r="BB168" s="386">
        <f t="shared" si="124"/>
        <v>2.7960691914919091</v>
      </c>
      <c r="BC168">
        <f t="shared" si="167"/>
        <v>48</v>
      </c>
      <c r="BD168" s="604">
        <f t="shared" si="125"/>
        <v>0.94495500860605497</v>
      </c>
      <c r="BE168" s="614">
        <f t="shared" si="168"/>
        <v>39.50108525461409</v>
      </c>
      <c r="BF168" s="614">
        <f t="shared" si="169"/>
        <v>17.690906537497128</v>
      </c>
      <c r="BG168" s="9"/>
      <c r="BH168" s="4">
        <f t="shared" si="126"/>
        <v>94.495500860605503</v>
      </c>
      <c r="BI168" s="386">
        <f t="shared" si="127"/>
        <v>0.7921333070856944</v>
      </c>
      <c r="BJ168" s="386">
        <f t="shared" si="128"/>
        <v>1.1681952042882715</v>
      </c>
      <c r="BK168" s="386">
        <f t="shared" si="129"/>
        <v>0.342164554956847</v>
      </c>
      <c r="BL168" s="386">
        <f t="shared" si="130"/>
        <v>0.15775979012534022</v>
      </c>
    </row>
    <row r="169" spans="7:64" x14ac:dyDescent="0.2">
      <c r="G169">
        <v>160</v>
      </c>
      <c r="H169" s="610">
        <f t="shared" si="131"/>
        <v>30.6</v>
      </c>
      <c r="I169" s="4" t="str">
        <f t="shared" si="132"/>
        <v>BUCK</v>
      </c>
      <c r="J169">
        <f t="shared" si="170"/>
        <v>1</v>
      </c>
      <c r="K169">
        <f t="shared" si="133"/>
        <v>4</v>
      </c>
      <c r="L169" s="4">
        <f t="shared" si="134"/>
        <v>1.7429193899782134</v>
      </c>
      <c r="M169" s="4">
        <f t="shared" si="135"/>
        <v>4</v>
      </c>
      <c r="N169" s="386">
        <f t="shared" si="136"/>
        <v>0.39637312459230267</v>
      </c>
      <c r="O169" s="386">
        <f t="shared" si="171"/>
        <v>0</v>
      </c>
      <c r="P169" s="4">
        <f t="shared" si="137"/>
        <v>4.2183764758221187</v>
      </c>
      <c r="Q169" s="386">
        <f t="shared" si="138"/>
        <v>4.1812547966267397</v>
      </c>
      <c r="R169" s="386">
        <f t="shared" si="116"/>
        <v>0.23511484475508782</v>
      </c>
      <c r="S169" s="386">
        <f t="shared" si="117"/>
        <v>0.56088210111950121</v>
      </c>
      <c r="T169" s="386">
        <f t="shared" si="118"/>
        <v>0.79599694587458902</v>
      </c>
      <c r="U169" s="4">
        <f t="shared" si="139"/>
        <v>1.2177403969295426</v>
      </c>
      <c r="V169" s="386">
        <f t="shared" si="119"/>
        <v>4.0038075206481241E-2</v>
      </c>
      <c r="W169" s="386">
        <f t="shared" si="120"/>
        <v>4.0038075206481241E-2</v>
      </c>
      <c r="X169" s="386">
        <f t="shared" si="140"/>
        <v>2.0452340633695094</v>
      </c>
      <c r="Y169" s="386">
        <f t="shared" si="121"/>
        <v>0.13385543596694255</v>
      </c>
      <c r="Z169" s="603">
        <f t="shared" si="122"/>
        <v>0.13385543596694255</v>
      </c>
      <c r="AA169" s="386">
        <f t="shared" si="141"/>
        <v>2.6324415282882621</v>
      </c>
      <c r="AB169" s="386">
        <f t="shared" si="142"/>
        <v>6.9297483998566417E-2</v>
      </c>
      <c r="AC169" s="386">
        <f t="shared" si="143"/>
        <v>0.49190577018139886</v>
      </c>
      <c r="AD169">
        <f t="shared" si="144"/>
        <v>0</v>
      </c>
      <c r="AE169" s="386">
        <f t="shared" si="145"/>
        <v>0.57037315264508859</v>
      </c>
      <c r="AF169" s="386">
        <f t="shared" si="146"/>
        <v>3.2485601848291927</v>
      </c>
      <c r="AG169" s="386">
        <f t="shared" si="147"/>
        <v>0.1055314327445748</v>
      </c>
      <c r="AH169" s="386">
        <f t="shared" si="148"/>
        <v>0.19239999999999999</v>
      </c>
      <c r="AI169" s="386">
        <f t="shared" si="149"/>
        <v>0.30540884684236808</v>
      </c>
      <c r="AJ169" s="386">
        <f t="shared" si="150"/>
        <v>0</v>
      </c>
      <c r="AK169" s="386">
        <f t="shared" si="151"/>
        <v>0</v>
      </c>
      <c r="AL169" s="386">
        <f t="shared" si="152"/>
        <v>0</v>
      </c>
      <c r="AM169">
        <f t="shared" si="153"/>
        <v>0</v>
      </c>
      <c r="AN169" s="386">
        <f t="shared" si="154"/>
        <v>0</v>
      </c>
      <c r="AO169" s="386">
        <f t="shared" si="155"/>
        <v>4.1812547966267397</v>
      </c>
      <c r="AP169" s="386">
        <f t="shared" si="156"/>
        <v>0.17482891674314119</v>
      </c>
      <c r="AQ169" s="386">
        <f t="shared" si="157"/>
        <v>0</v>
      </c>
      <c r="AR169" s="386">
        <f t="shared" si="158"/>
        <v>0.18221980842111546</v>
      </c>
      <c r="AS169" s="386">
        <f t="shared" si="159"/>
        <v>0.17482891674314119</v>
      </c>
      <c r="AT169" s="386">
        <f t="shared" si="160"/>
        <v>0</v>
      </c>
      <c r="AU169" s="386">
        <f t="shared" si="161"/>
        <v>0.11307200000000002</v>
      </c>
      <c r="AV169" s="386">
        <f t="shared" si="162"/>
        <v>0.15829714911686218</v>
      </c>
      <c r="AW169" s="386">
        <f t="shared" si="163"/>
        <v>6.5920000000000006E-2</v>
      </c>
      <c r="AX169" s="386">
        <f t="shared" si="164"/>
        <v>3.6000000000000004E-2</v>
      </c>
      <c r="AY169" s="386">
        <f t="shared" si="165"/>
        <v>0.40226399999999995</v>
      </c>
      <c r="AZ169" s="386">
        <f t="shared" si="166"/>
        <v>0.30415082926829268</v>
      </c>
      <c r="BA169" s="386">
        <f t="shared" si="123"/>
        <v>0.43826399999999999</v>
      </c>
      <c r="BB169" s="386">
        <f t="shared" si="124"/>
        <v>2.8034454140734475</v>
      </c>
      <c r="BC169">
        <f t="shared" si="167"/>
        <v>48</v>
      </c>
      <c r="BD169" s="604">
        <f t="shared" si="125"/>
        <v>0.94481780927998149</v>
      </c>
      <c r="BE169" s="614">
        <f t="shared" si="168"/>
        <v>39.639818853415143</v>
      </c>
      <c r="BF169" s="614">
        <f t="shared" si="169"/>
        <v>17.713713116857349</v>
      </c>
      <c r="BG169" s="9"/>
      <c r="BH169" s="4">
        <f t="shared" si="126"/>
        <v>94.481780927998145</v>
      </c>
      <c r="BI169" s="386">
        <f t="shared" si="127"/>
        <v>0.79599694587458902</v>
      </c>
      <c r="BJ169" s="386">
        <f t="shared" si="128"/>
        <v>1.1710738079085723</v>
      </c>
      <c r="BK169" s="386">
        <f t="shared" si="129"/>
        <v>0.3427226068423681</v>
      </c>
      <c r="BL169" s="386">
        <f t="shared" si="130"/>
        <v>0.15829714911686218</v>
      </c>
    </row>
    <row r="170" spans="7:64" x14ac:dyDescent="0.2">
      <c r="G170">
        <v>161</v>
      </c>
      <c r="H170" s="610">
        <f t="shared" si="131"/>
        <v>30.735000000000003</v>
      </c>
      <c r="I170" s="4" t="str">
        <f t="shared" si="132"/>
        <v>BUCK</v>
      </c>
      <c r="J170">
        <f t="shared" si="170"/>
        <v>1</v>
      </c>
      <c r="K170">
        <f t="shared" si="133"/>
        <v>4</v>
      </c>
      <c r="L170" s="4">
        <f t="shared" si="134"/>
        <v>1.7352638143267716</v>
      </c>
      <c r="M170" s="4">
        <f t="shared" si="135"/>
        <v>4</v>
      </c>
      <c r="N170" s="386">
        <f t="shared" si="136"/>
        <v>0.39463549277480103</v>
      </c>
      <c r="O170" s="386">
        <f t="shared" ref="O170:O201" si="172">CHOOSE(J170,0,(Vout+(Rdson3+Rdcr)*L170-H170)/(Vout+(Rdson3-Rdson4-Rs)*L170),IF(H170&gt;Vout,D_min_boost_exitBB_to_buck, (Vout-H170*D_max_buck_BB)/Vout))</f>
        <v>0</v>
      </c>
      <c r="P170" s="4">
        <f t="shared" si="137"/>
        <v>4.2305197144372615</v>
      </c>
      <c r="Q170" s="386">
        <f t="shared" si="138"/>
        <v>4.1822770617436218</v>
      </c>
      <c r="R170" s="386">
        <f t="shared" si="116"/>
        <v>0.23523198790251276</v>
      </c>
      <c r="S170" s="386">
        <f t="shared" si="117"/>
        <v>0.56460908780027341</v>
      </c>
      <c r="T170" s="386">
        <f t="shared" si="118"/>
        <v>0.79984107570278618</v>
      </c>
      <c r="U170" s="4">
        <f t="shared" si="139"/>
        <v>1.2212458479711858</v>
      </c>
      <c r="V170" s="386">
        <f t="shared" si="119"/>
        <v>4.0268918372045243E-2</v>
      </c>
      <c r="W170" s="386">
        <f t="shared" si="120"/>
        <v>4.0268918372045243E-2</v>
      </c>
      <c r="X170" s="386">
        <f t="shared" si="140"/>
        <v>2.044181004875917</v>
      </c>
      <c r="Y170" s="386">
        <f t="shared" si="121"/>
        <v>0.13371763138225645</v>
      </c>
      <c r="Z170" s="603">
        <f t="shared" si="122"/>
        <v>0.13371763138225645</v>
      </c>
      <c r="AA170" s="386">
        <f t="shared" si="141"/>
        <v>2.6273072916184819</v>
      </c>
      <c r="AB170" s="386">
        <f t="shared" si="142"/>
        <v>6.9027436045916421E-2</v>
      </c>
      <c r="AC170" s="386">
        <f t="shared" si="143"/>
        <v>0.49407594269690508</v>
      </c>
      <c r="AD170">
        <f t="shared" si="144"/>
        <v>0</v>
      </c>
      <c r="AE170" s="386">
        <f t="shared" si="145"/>
        <v>0.57226788563422715</v>
      </c>
      <c r="AF170" s="386">
        <f t="shared" si="146"/>
        <v>3.25402793727946</v>
      </c>
      <c r="AG170" s="386">
        <f t="shared" si="147"/>
        <v>0.10588697816595218</v>
      </c>
      <c r="AH170" s="386">
        <f t="shared" si="148"/>
        <v>0.19239999999999999</v>
      </c>
      <c r="AI170" s="386">
        <f t="shared" si="149"/>
        <v>0.30579917304943782</v>
      </c>
      <c r="AJ170" s="386">
        <f t="shared" si="150"/>
        <v>0</v>
      </c>
      <c r="AK170" s="386">
        <f t="shared" si="151"/>
        <v>0</v>
      </c>
      <c r="AL170" s="386">
        <f t="shared" si="152"/>
        <v>0</v>
      </c>
      <c r="AM170">
        <f t="shared" si="153"/>
        <v>0</v>
      </c>
      <c r="AN170" s="386">
        <f t="shared" si="154"/>
        <v>0</v>
      </c>
      <c r="AO170" s="386">
        <f t="shared" si="155"/>
        <v>4.1822770617436218</v>
      </c>
      <c r="AP170" s="386">
        <f t="shared" si="156"/>
        <v>0.17491441421186862</v>
      </c>
      <c r="AQ170" s="386">
        <f t="shared" si="157"/>
        <v>0</v>
      </c>
      <c r="AR170" s="386">
        <f t="shared" si="158"/>
        <v>0.182312689419241</v>
      </c>
      <c r="AS170" s="386">
        <f t="shared" si="159"/>
        <v>0.17491441421186862</v>
      </c>
      <c r="AT170" s="386">
        <f t="shared" si="160"/>
        <v>0</v>
      </c>
      <c r="AU170" s="386">
        <f t="shared" si="161"/>
        <v>0.11357150000000002</v>
      </c>
      <c r="AV170" s="386">
        <f t="shared" si="162"/>
        <v>0.15883046724892827</v>
      </c>
      <c r="AW170" s="386">
        <f t="shared" si="163"/>
        <v>6.5920000000000006E-2</v>
      </c>
      <c r="AX170" s="386">
        <f t="shared" si="164"/>
        <v>3.6000000000000004E-2</v>
      </c>
      <c r="AY170" s="386">
        <f t="shared" si="165"/>
        <v>0.40226399999999995</v>
      </c>
      <c r="AZ170" s="386">
        <f t="shared" si="166"/>
        <v>0.30415082926829268</v>
      </c>
      <c r="BA170" s="386">
        <f t="shared" si="123"/>
        <v>0.43826399999999999</v>
      </c>
      <c r="BB170" s="386">
        <f t="shared" si="124"/>
        <v>2.8107933408089227</v>
      </c>
      <c r="BC170">
        <f t="shared" si="167"/>
        <v>48</v>
      </c>
      <c r="BD170" s="604">
        <f t="shared" si="125"/>
        <v>0.94468117586836775</v>
      </c>
      <c r="BE170" s="614">
        <f t="shared" si="168"/>
        <v>39.778684366785178</v>
      </c>
      <c r="BF170" s="614">
        <f t="shared" si="169"/>
        <v>17.736352036867395</v>
      </c>
      <c r="BG170" s="9"/>
      <c r="BH170" s="4">
        <f t="shared" si="126"/>
        <v>94.468117586836769</v>
      </c>
      <c r="BI170" s="386">
        <f t="shared" si="127"/>
        <v>0.79984107570278618</v>
      </c>
      <c r="BJ170" s="386">
        <f t="shared" si="128"/>
        <v>1.173951248102906</v>
      </c>
      <c r="BK170" s="386">
        <f t="shared" si="129"/>
        <v>0.34327776804943783</v>
      </c>
      <c r="BL170" s="386">
        <f t="shared" si="130"/>
        <v>0.15883046724892827</v>
      </c>
    </row>
    <row r="171" spans="7:64" x14ac:dyDescent="0.2">
      <c r="G171">
        <v>162</v>
      </c>
      <c r="H171" s="610">
        <f t="shared" si="131"/>
        <v>30.87</v>
      </c>
      <c r="I171" s="4" t="str">
        <f t="shared" si="132"/>
        <v>BUCK</v>
      </c>
      <c r="J171">
        <f t="shared" si="170"/>
        <v>1</v>
      </c>
      <c r="K171">
        <f t="shared" si="133"/>
        <v>4</v>
      </c>
      <c r="L171" s="4">
        <f t="shared" si="134"/>
        <v>1.727675197062952</v>
      </c>
      <c r="M171" s="4">
        <f t="shared" si="135"/>
        <v>4</v>
      </c>
      <c r="N171" s="386">
        <f t="shared" si="136"/>
        <v>0.39291302942127382</v>
      </c>
      <c r="O171" s="386">
        <f t="shared" si="172"/>
        <v>0</v>
      </c>
      <c r="P171" s="4">
        <f t="shared" si="137"/>
        <v>4.2425569499995079</v>
      </c>
      <c r="Q171" s="386">
        <f t="shared" si="138"/>
        <v>4.183293055655926</v>
      </c>
      <c r="R171" s="386">
        <f t="shared" si="116"/>
        <v>0.23534844293129362</v>
      </c>
      <c r="S171" s="386">
        <f t="shared" si="117"/>
        <v>0.56831733386851258</v>
      </c>
      <c r="T171" s="386">
        <f t="shared" si="118"/>
        <v>0.80366577679980622</v>
      </c>
      <c r="U171" s="4">
        <f t="shared" si="139"/>
        <v>1.224720698567267</v>
      </c>
      <c r="V171" s="386">
        <f t="shared" si="119"/>
        <v>4.049840131647555E-2</v>
      </c>
      <c r="W171" s="386">
        <f t="shared" si="120"/>
        <v>4.049840131647555E-2</v>
      </c>
      <c r="X171" s="386">
        <f t="shared" si="140"/>
        <v>2.0431109953189028</v>
      </c>
      <c r="Y171" s="386">
        <f t="shared" si="121"/>
        <v>0.13357768125417593</v>
      </c>
      <c r="Z171" s="603">
        <f t="shared" si="122"/>
        <v>0.13357768125417593</v>
      </c>
      <c r="AA171" s="386">
        <f t="shared" si="141"/>
        <v>2.622204177842566</v>
      </c>
      <c r="AB171" s="386">
        <f t="shared" si="142"/>
        <v>6.8759547502950075E-2</v>
      </c>
      <c r="AC171" s="386">
        <f t="shared" si="143"/>
        <v>0.49624611521241119</v>
      </c>
      <c r="AD171">
        <f t="shared" si="144"/>
        <v>0</v>
      </c>
      <c r="AE171" s="386">
        <f t="shared" si="145"/>
        <v>0.57416486408456024</v>
      </c>
      <c r="AF171" s="386">
        <f t="shared" si="146"/>
        <v>3.259445664404315</v>
      </c>
      <c r="AG171" s="386">
        <f t="shared" si="147"/>
        <v>0.10623986039204088</v>
      </c>
      <c r="AH171" s="386">
        <f t="shared" si="148"/>
        <v>0.19239999999999999</v>
      </c>
      <c r="AI171" s="386">
        <f t="shared" si="149"/>
        <v>0.3061866408181072</v>
      </c>
      <c r="AJ171" s="386">
        <f t="shared" si="150"/>
        <v>0</v>
      </c>
      <c r="AK171" s="386">
        <f t="shared" si="151"/>
        <v>0</v>
      </c>
      <c r="AL171" s="386">
        <f t="shared" si="152"/>
        <v>0</v>
      </c>
      <c r="AM171">
        <f t="shared" si="153"/>
        <v>0</v>
      </c>
      <c r="AN171" s="386">
        <f t="shared" si="154"/>
        <v>0</v>
      </c>
      <c r="AO171" s="386">
        <f t="shared" si="155"/>
        <v>4.183293055655926</v>
      </c>
      <c r="AP171" s="386">
        <f t="shared" si="156"/>
        <v>0.17499940789499097</v>
      </c>
      <c r="AQ171" s="386">
        <f t="shared" si="157"/>
        <v>0</v>
      </c>
      <c r="AR171" s="386">
        <f t="shared" si="158"/>
        <v>0.18240502693173982</v>
      </c>
      <c r="AS171" s="386">
        <f t="shared" si="159"/>
        <v>0.17499940789499097</v>
      </c>
      <c r="AT171" s="386">
        <f t="shared" si="160"/>
        <v>0</v>
      </c>
      <c r="AU171" s="386">
        <f t="shared" si="161"/>
        <v>0.11407100000000001</v>
      </c>
      <c r="AV171" s="386">
        <f t="shared" si="162"/>
        <v>0.1593597905880613</v>
      </c>
      <c r="AW171" s="386">
        <f t="shared" si="163"/>
        <v>6.5920000000000006E-2</v>
      </c>
      <c r="AX171" s="386">
        <f t="shared" si="164"/>
        <v>3.6000000000000004E-2</v>
      </c>
      <c r="AY171" s="386">
        <f t="shared" si="165"/>
        <v>0.40226399999999995</v>
      </c>
      <c r="AZ171" s="386">
        <f t="shared" si="166"/>
        <v>0.30415082926829268</v>
      </c>
      <c r="BA171" s="386">
        <f t="shared" si="123"/>
        <v>0.43826399999999999</v>
      </c>
      <c r="BB171" s="386">
        <f t="shared" si="124"/>
        <v>2.8181131817929264</v>
      </c>
      <c r="BC171">
        <f t="shared" si="167"/>
        <v>48</v>
      </c>
      <c r="BD171" s="604">
        <f t="shared" si="125"/>
        <v>0.94454510399251512</v>
      </c>
      <c r="BE171" s="614">
        <f t="shared" si="168"/>
        <v>39.917680116904499</v>
      </c>
      <c r="BF171" s="614">
        <f t="shared" si="169"/>
        <v>17.758825167450219</v>
      </c>
      <c r="BG171" s="9"/>
      <c r="BH171" s="4">
        <f t="shared" si="126"/>
        <v>94.454510399251518</v>
      </c>
      <c r="BI171" s="386">
        <f t="shared" si="127"/>
        <v>0.80366577679980622</v>
      </c>
      <c r="BJ171" s="386">
        <f t="shared" si="128"/>
        <v>1.1768275318344072</v>
      </c>
      <c r="BK171" s="386">
        <f t="shared" si="129"/>
        <v>0.34383007081810724</v>
      </c>
      <c r="BL171" s="386">
        <f t="shared" si="130"/>
        <v>0.1593597905880613</v>
      </c>
    </row>
    <row r="172" spans="7:64" x14ac:dyDescent="0.2">
      <c r="G172">
        <v>163</v>
      </c>
      <c r="H172" s="610">
        <f t="shared" si="131"/>
        <v>31.004999999999999</v>
      </c>
      <c r="I172" s="4" t="str">
        <f t="shared" si="132"/>
        <v>BUCK</v>
      </c>
      <c r="J172">
        <f t="shared" si="170"/>
        <v>1</v>
      </c>
      <c r="K172">
        <f t="shared" si="133"/>
        <v>4</v>
      </c>
      <c r="L172" s="4">
        <f t="shared" si="134"/>
        <v>1.72015266354889</v>
      </c>
      <c r="M172" s="4">
        <f t="shared" si="135"/>
        <v>4</v>
      </c>
      <c r="N172" s="386">
        <f t="shared" si="136"/>
        <v>0.39120553677772413</v>
      </c>
      <c r="O172" s="386">
        <f t="shared" si="172"/>
        <v>0</v>
      </c>
      <c r="P172" s="4">
        <f t="shared" si="137"/>
        <v>4.2544895644897496</v>
      </c>
      <c r="Q172" s="386">
        <f t="shared" si="138"/>
        <v>4.1843028237922759</v>
      </c>
      <c r="R172" s="386">
        <f t="shared" si="116"/>
        <v>0.23546421448894461</v>
      </c>
      <c r="S172" s="386">
        <f t="shared" si="117"/>
        <v>0.5720069163130248</v>
      </c>
      <c r="T172" s="386">
        <f t="shared" si="118"/>
        <v>0.80747113080196942</v>
      </c>
      <c r="U172" s="4">
        <f t="shared" si="139"/>
        <v>1.2281653476613055</v>
      </c>
      <c r="V172" s="386">
        <f t="shared" si="119"/>
        <v>4.0726533272292413E-2</v>
      </c>
      <c r="W172" s="386">
        <f t="shared" si="120"/>
        <v>4.0726533272292413E-2</v>
      </c>
      <c r="X172" s="386">
        <f t="shared" si="140"/>
        <v>2.0420245116952032</v>
      </c>
      <c r="Y172" s="386">
        <f t="shared" si="121"/>
        <v>0.13343565140364905</v>
      </c>
      <c r="Z172" s="603">
        <f t="shared" si="122"/>
        <v>0.13343565140364905</v>
      </c>
      <c r="AA172" s="386">
        <f t="shared" si="141"/>
        <v>2.6171318567233652</v>
      </c>
      <c r="AB172" s="386">
        <f t="shared" si="142"/>
        <v>6.8493791554762901E-2</v>
      </c>
      <c r="AC172" s="386">
        <f t="shared" si="143"/>
        <v>0.49841628772791735</v>
      </c>
      <c r="AD172">
        <f t="shared" si="144"/>
        <v>0</v>
      </c>
      <c r="AE172" s="386">
        <f t="shared" si="145"/>
        <v>0.57606405957827544</v>
      </c>
      <c r="AF172" s="386">
        <f t="shared" si="146"/>
        <v>3.2648140782776172</v>
      </c>
      <c r="AG172" s="386">
        <f t="shared" si="147"/>
        <v>0.10659010965719727</v>
      </c>
      <c r="AH172" s="386">
        <f t="shared" si="148"/>
        <v>0.19239999999999999</v>
      </c>
      <c r="AI172" s="386">
        <f t="shared" si="149"/>
        <v>0.30657128189801691</v>
      </c>
      <c r="AJ172" s="386">
        <f t="shared" si="150"/>
        <v>0</v>
      </c>
      <c r="AK172" s="386">
        <f t="shared" si="151"/>
        <v>0</v>
      </c>
      <c r="AL172" s="386">
        <f t="shared" si="152"/>
        <v>0</v>
      </c>
      <c r="AM172">
        <f t="shared" si="153"/>
        <v>0</v>
      </c>
      <c r="AN172" s="386">
        <f t="shared" si="154"/>
        <v>0</v>
      </c>
      <c r="AO172" s="386">
        <f t="shared" si="155"/>
        <v>4.1843028237922759</v>
      </c>
      <c r="AP172" s="386">
        <f t="shared" si="156"/>
        <v>0.17508390121196016</v>
      </c>
      <c r="AQ172" s="386">
        <f t="shared" si="157"/>
        <v>0</v>
      </c>
      <c r="AR172" s="386">
        <f t="shared" si="158"/>
        <v>0.18249682460648869</v>
      </c>
      <c r="AS172" s="386">
        <f t="shared" si="159"/>
        <v>0.17508390121196016</v>
      </c>
      <c r="AT172" s="386">
        <f t="shared" si="160"/>
        <v>0</v>
      </c>
      <c r="AU172" s="386">
        <f t="shared" si="161"/>
        <v>0.11457050000000001</v>
      </c>
      <c r="AV172" s="386">
        <f t="shared" si="162"/>
        <v>0.1598851644857959</v>
      </c>
      <c r="AW172" s="386">
        <f t="shared" si="163"/>
        <v>6.5920000000000006E-2</v>
      </c>
      <c r="AX172" s="386">
        <f t="shared" si="164"/>
        <v>3.6000000000000004E-2</v>
      </c>
      <c r="AY172" s="386">
        <f t="shared" si="165"/>
        <v>0.40226399999999995</v>
      </c>
      <c r="AZ172" s="386">
        <f t="shared" si="166"/>
        <v>0.30415082926829268</v>
      </c>
      <c r="BA172" s="386">
        <f t="shared" si="123"/>
        <v>0.43826399999999999</v>
      </c>
      <c r="BB172" s="386">
        <f t="shared" si="124"/>
        <v>2.8254051460464877</v>
      </c>
      <c r="BC172">
        <f t="shared" si="167"/>
        <v>48</v>
      </c>
      <c r="BD172" s="604">
        <f t="shared" si="125"/>
        <v>0.94440958930031738</v>
      </c>
      <c r="BE172" s="614">
        <f t="shared" si="168"/>
        <v>40.056804455539975</v>
      </c>
      <c r="BF172" s="614">
        <f t="shared" si="169"/>
        <v>17.781134350084979</v>
      </c>
      <c r="BG172" s="9"/>
      <c r="BH172" s="4">
        <f t="shared" si="126"/>
        <v>94.440958930031741</v>
      </c>
      <c r="BI172" s="386">
        <f t="shared" si="127"/>
        <v>0.80747113080196942</v>
      </c>
      <c r="BJ172" s="386">
        <f t="shared" si="128"/>
        <v>1.179702666082781</v>
      </c>
      <c r="BK172" s="386">
        <f t="shared" si="129"/>
        <v>0.34437954689801692</v>
      </c>
      <c r="BL172" s="386">
        <f t="shared" si="130"/>
        <v>0.1598851644857959</v>
      </c>
    </row>
    <row r="173" spans="7:64" x14ac:dyDescent="0.2">
      <c r="G173">
        <v>164</v>
      </c>
      <c r="H173" s="610">
        <f t="shared" si="131"/>
        <v>31.139999999999997</v>
      </c>
      <c r="I173" s="4" t="str">
        <f t="shared" si="132"/>
        <v>BUCK</v>
      </c>
      <c r="J173">
        <f t="shared" si="170"/>
        <v>1</v>
      </c>
      <c r="K173">
        <f t="shared" si="133"/>
        <v>4</v>
      </c>
      <c r="L173" s="4">
        <f t="shared" si="134"/>
        <v>1.7126953543138517</v>
      </c>
      <c r="M173" s="4">
        <f t="shared" si="135"/>
        <v>4</v>
      </c>
      <c r="N173" s="386">
        <f t="shared" si="136"/>
        <v>0.38951282051282055</v>
      </c>
      <c r="O173" s="386">
        <f t="shared" si="172"/>
        <v>0</v>
      </c>
      <c r="P173" s="4">
        <f t="shared" si="137"/>
        <v>4.2663189159699799</v>
      </c>
      <c r="Q173" s="386">
        <f t="shared" si="138"/>
        <v>4.1853064114506928</v>
      </c>
      <c r="R173" s="386">
        <f t="shared" si="116"/>
        <v>0.2355793072167921</v>
      </c>
      <c r="S173" s="386">
        <f t="shared" si="117"/>
        <v>0.57567791345038144</v>
      </c>
      <c r="T173" s="386">
        <f t="shared" si="118"/>
        <v>0.81125722066717354</v>
      </c>
      <c r="U173" s="4">
        <f t="shared" si="139"/>
        <v>1.2315801872920302</v>
      </c>
      <c r="V173" s="386">
        <f t="shared" si="119"/>
        <v>4.0953323458717349E-2</v>
      </c>
      <c r="W173" s="386">
        <f t="shared" si="120"/>
        <v>4.0953323458717349E-2</v>
      </c>
      <c r="X173" s="386">
        <f t="shared" si="140"/>
        <v>2.0409220184314734</v>
      </c>
      <c r="Y173" s="386">
        <f t="shared" si="121"/>
        <v>0.13329160593018879</v>
      </c>
      <c r="Z173" s="603">
        <f t="shared" si="122"/>
        <v>0.13329160593018879</v>
      </c>
      <c r="AA173" s="386">
        <f t="shared" si="141"/>
        <v>2.612090003208849</v>
      </c>
      <c r="AB173" s="386">
        <f t="shared" si="142"/>
        <v>6.8230141848636058E-2</v>
      </c>
      <c r="AC173" s="386">
        <f t="shared" si="143"/>
        <v>0.50058646024342346</v>
      </c>
      <c r="AD173">
        <f t="shared" si="144"/>
        <v>0</v>
      </c>
      <c r="AE173" s="386">
        <f t="shared" si="145"/>
        <v>0.57796544419599538</v>
      </c>
      <c r="AF173" s="386">
        <f t="shared" si="146"/>
        <v>3.270133876902698</v>
      </c>
      <c r="AG173" s="386">
        <f t="shared" si="147"/>
        <v>0.10693775572866671</v>
      </c>
      <c r="AH173" s="386">
        <f t="shared" si="148"/>
        <v>0.19239999999999999</v>
      </c>
      <c r="AI173" s="386">
        <f t="shared" si="149"/>
        <v>0.30695312755805598</v>
      </c>
      <c r="AJ173" s="386">
        <f t="shared" si="150"/>
        <v>0</v>
      </c>
      <c r="AK173" s="386">
        <f t="shared" si="151"/>
        <v>0</v>
      </c>
      <c r="AL173" s="386">
        <f t="shared" si="152"/>
        <v>0</v>
      </c>
      <c r="AM173">
        <f t="shared" si="153"/>
        <v>0</v>
      </c>
      <c r="AN173" s="386">
        <f t="shared" si="154"/>
        <v>0</v>
      </c>
      <c r="AO173" s="386">
        <f t="shared" si="155"/>
        <v>4.1853064114506928</v>
      </c>
      <c r="AP173" s="386">
        <f t="shared" si="156"/>
        <v>0.17516789757730275</v>
      </c>
      <c r="AQ173" s="386">
        <f t="shared" si="157"/>
        <v>0</v>
      </c>
      <c r="AR173" s="386">
        <f t="shared" si="158"/>
        <v>0.18258808608700852</v>
      </c>
      <c r="AS173" s="386">
        <f t="shared" si="159"/>
        <v>0.17516789757730275</v>
      </c>
      <c r="AT173" s="386">
        <f t="shared" si="160"/>
        <v>0</v>
      </c>
      <c r="AU173" s="386">
        <f t="shared" si="161"/>
        <v>0.11506999999999999</v>
      </c>
      <c r="AV173" s="386">
        <f t="shared" si="162"/>
        <v>0.16040663359300006</v>
      </c>
      <c r="AW173" s="386">
        <f t="shared" si="163"/>
        <v>6.5920000000000006E-2</v>
      </c>
      <c r="AX173" s="386">
        <f t="shared" si="164"/>
        <v>3.6000000000000004E-2</v>
      </c>
      <c r="AY173" s="386">
        <f t="shared" si="165"/>
        <v>0.40226399999999995</v>
      </c>
      <c r="AZ173" s="386">
        <f t="shared" si="166"/>
        <v>0.30415082926829268</v>
      </c>
      <c r="BA173" s="386">
        <f t="shared" si="123"/>
        <v>0.43826399999999999</v>
      </c>
      <c r="BB173" s="386">
        <f t="shared" si="124"/>
        <v>2.8326694414901392</v>
      </c>
      <c r="BC173">
        <f t="shared" si="167"/>
        <v>48</v>
      </c>
      <c r="BD173" s="604">
        <f t="shared" si="125"/>
        <v>0.94427462746668023</v>
      </c>
      <c r="BE173" s="614">
        <f t="shared" si="168"/>
        <v>40.196055763367731</v>
      </c>
      <c r="BF173" s="614">
        <f t="shared" si="169"/>
        <v>17.803281398367247</v>
      </c>
      <c r="BG173" s="9"/>
      <c r="BH173" s="4">
        <f t="shared" si="126"/>
        <v>94.427462746668027</v>
      </c>
      <c r="BI173" s="386">
        <f t="shared" si="127"/>
        <v>0.81125722066717354</v>
      </c>
      <c r="BJ173" s="386">
        <f t="shared" si="128"/>
        <v>1.1825766578410599</v>
      </c>
      <c r="BK173" s="386">
        <f t="shared" si="129"/>
        <v>0.34492622755805596</v>
      </c>
      <c r="BL173" s="386">
        <f t="shared" si="130"/>
        <v>0.16040663359300006</v>
      </c>
    </row>
    <row r="174" spans="7:64" x14ac:dyDescent="0.2">
      <c r="G174">
        <v>165</v>
      </c>
      <c r="H174" s="610">
        <f t="shared" si="131"/>
        <v>31.274999999999999</v>
      </c>
      <c r="I174" s="4" t="str">
        <f t="shared" si="132"/>
        <v>BUCK</v>
      </c>
      <c r="J174">
        <f t="shared" si="170"/>
        <v>1</v>
      </c>
      <c r="K174">
        <f t="shared" si="133"/>
        <v>4</v>
      </c>
      <c r="L174" s="4">
        <f t="shared" si="134"/>
        <v>1.7053024247268851</v>
      </c>
      <c r="M174" s="4">
        <f t="shared" si="135"/>
        <v>4</v>
      </c>
      <c r="N174" s="386">
        <f t="shared" si="136"/>
        <v>0.3878346896441679</v>
      </c>
      <c r="O174" s="386">
        <f t="shared" si="172"/>
        <v>0</v>
      </c>
      <c r="P174" s="4">
        <f t="shared" si="137"/>
        <v>4.2780463390985375</v>
      </c>
      <c r="Q174" s="386">
        <f t="shared" si="138"/>
        <v>4.1863038637867893</v>
      </c>
      <c r="R174" s="386">
        <f t="shared" ref="R174:R209" si="173">(Q174^2*Rdcr*(1+Ltc*Ta-Ltc*25))/(1-Q174^2*Rdcr*Ltc*ThetaCa)</f>
        <v>0.23569372574851949</v>
      </c>
      <c r="S174" s="386">
        <f t="shared" ref="S174:S209" si="174">7.759*10^-3*Fsw^0.9458*(0.00787*P174)^2.304</f>
        <v>0.57933040484461373</v>
      </c>
      <c r="T174" s="386">
        <f t="shared" ref="T174:T209" si="175">R174+S174</f>
        <v>0.81502413059313317</v>
      </c>
      <c r="U174" s="4">
        <f t="shared" si="139"/>
        <v>1.234965602742117</v>
      </c>
      <c r="V174" s="386">
        <f t="shared" ref="V174:V209" si="176">RCoutEsr*U174^2</f>
        <v>4.1178781078817409E-2</v>
      </c>
      <c r="W174" s="386">
        <f t="shared" ref="W174:W209" si="177">V174</f>
        <v>4.1178781078817409E-2</v>
      </c>
      <c r="X174" s="386">
        <f t="shared" si="140"/>
        <v>2.0398039677603501</v>
      </c>
      <c r="Y174" s="386">
        <f t="shared" ref="Y174:Y209" si="178">RCinEsr*X174^2</f>
        <v>0.13314560726050775</v>
      </c>
      <c r="Z174" s="603">
        <f t="shared" ref="Z174:Z209" si="179">Y174</f>
        <v>0.13314560726050775</v>
      </c>
      <c r="AA174" s="386">
        <f t="shared" si="141"/>
        <v>2.6070782973219262</v>
      </c>
      <c r="AB174" s="386">
        <f t="shared" si="142"/>
        <v>6.7968572483669942E-2</v>
      </c>
      <c r="AC174" s="386">
        <f t="shared" si="143"/>
        <v>0.50275663275892968</v>
      </c>
      <c r="AD174">
        <f t="shared" si="144"/>
        <v>0</v>
      </c>
      <c r="AE174" s="386">
        <f t="shared" si="145"/>
        <v>0.57986899050543017</v>
      </c>
      <c r="AF174" s="386">
        <f t="shared" si="146"/>
        <v>3.2754057445741296</v>
      </c>
      <c r="AG174" s="386">
        <f t="shared" si="147"/>
        <v>0.10728282791589208</v>
      </c>
      <c r="AH174" s="386">
        <f t="shared" si="148"/>
        <v>0.19239999999999999</v>
      </c>
      <c r="AI174" s="386">
        <f t="shared" si="149"/>
        <v>0.30733220859577987</v>
      </c>
      <c r="AJ174" s="386">
        <f t="shared" si="150"/>
        <v>0</v>
      </c>
      <c r="AK174" s="386">
        <f t="shared" si="151"/>
        <v>0</v>
      </c>
      <c r="AL174" s="386">
        <f t="shared" si="152"/>
        <v>0</v>
      </c>
      <c r="AM174">
        <f t="shared" si="153"/>
        <v>0</v>
      </c>
      <c r="AN174" s="386">
        <f t="shared" si="154"/>
        <v>0</v>
      </c>
      <c r="AO174" s="386">
        <f t="shared" si="155"/>
        <v>4.1863038637867893</v>
      </c>
      <c r="AP174" s="386">
        <f t="shared" si="156"/>
        <v>0.17525140039956202</v>
      </c>
      <c r="AQ174" s="386">
        <f t="shared" si="157"/>
        <v>0</v>
      </c>
      <c r="AR174" s="386">
        <f t="shared" si="158"/>
        <v>0.18267881501130481</v>
      </c>
      <c r="AS174" s="386">
        <f t="shared" si="159"/>
        <v>0.17525140039956202</v>
      </c>
      <c r="AT174" s="386">
        <f t="shared" si="160"/>
        <v>0</v>
      </c>
      <c r="AU174" s="386">
        <f t="shared" si="161"/>
        <v>0.11556950000000001</v>
      </c>
      <c r="AV174" s="386">
        <f t="shared" si="162"/>
        <v>0.16092424187383811</v>
      </c>
      <c r="AW174" s="386">
        <f t="shared" si="163"/>
        <v>6.5920000000000006E-2</v>
      </c>
      <c r="AX174" s="386">
        <f t="shared" si="164"/>
        <v>3.6000000000000004E-2</v>
      </c>
      <c r="AY174" s="386">
        <f t="shared" si="165"/>
        <v>0.40226399999999995</v>
      </c>
      <c r="AZ174" s="386">
        <f t="shared" si="166"/>
        <v>0.30415082926829268</v>
      </c>
      <c r="BA174" s="386">
        <f t="shared" ref="BA174:BA209" si="180">SUM(AX174:AY174)</f>
        <v>0.43826399999999999</v>
      </c>
      <c r="BB174" s="386">
        <f t="shared" ref="BB174:BB209" si="181">SUM(T174,W174,Z174,AE174,AI174,AN174,AR174, AT174,AU174,BA174,AV174,AW174)</f>
        <v>2.8399062749188113</v>
      </c>
      <c r="BC174">
        <f t="shared" si="167"/>
        <v>48</v>
      </c>
      <c r="BD174" s="604">
        <f t="shared" ref="BD174:BD209" si="182">BC174/(BC174+BB174)</f>
        <v>0.94414021419390692</v>
      </c>
      <c r="BE174" s="614">
        <f t="shared" si="168"/>
        <v>40.335432449314951</v>
      </c>
      <c r="BF174" s="614">
        <f t="shared" si="169"/>
        <v>17.825268098555231</v>
      </c>
      <c r="BG174" s="9"/>
      <c r="BH174" s="4">
        <f t="shared" ref="BH174:BH209" si="183">BD174*100</f>
        <v>94.414021419390693</v>
      </c>
      <c r="BI174" s="386">
        <f t="shared" ref="BI174:BI209" si="184">T174</f>
        <v>0.81502413059313317</v>
      </c>
      <c r="BJ174" s="386">
        <f t="shared" ref="BJ174:BJ209" si="185">AE174+AI174+AN174+AR174+AU174</f>
        <v>1.185449514112515</v>
      </c>
      <c r="BK174" s="386">
        <f t="shared" ref="BK174:BK209" si="186">AI174+AU174*0.33</f>
        <v>0.34547014359577988</v>
      </c>
      <c r="BL174" s="386">
        <f t="shared" ref="BL174:BL209" si="187">AV174</f>
        <v>0.16092424187383811</v>
      </c>
    </row>
    <row r="175" spans="7:64" x14ac:dyDescent="0.2">
      <c r="G175">
        <v>166</v>
      </c>
      <c r="H175" s="610">
        <f t="shared" si="131"/>
        <v>31.41</v>
      </c>
      <c r="I175" s="4" t="str">
        <f t="shared" si="132"/>
        <v>BUCK</v>
      </c>
      <c r="J175">
        <f t="shared" si="170"/>
        <v>1</v>
      </c>
      <c r="K175">
        <f t="shared" si="133"/>
        <v>4</v>
      </c>
      <c r="L175" s="4">
        <f t="shared" si="134"/>
        <v>1.6979730446779155</v>
      </c>
      <c r="M175" s="4">
        <f t="shared" si="135"/>
        <v>4</v>
      </c>
      <c r="N175" s="386">
        <f t="shared" si="136"/>
        <v>0.38617095646647598</v>
      </c>
      <c r="O175" s="386">
        <f t="shared" si="172"/>
        <v>0</v>
      </c>
      <c r="P175" s="4">
        <f t="shared" si="137"/>
        <v>4.2896731456320936</v>
      </c>
      <c r="Q175" s="386">
        <f t="shared" si="138"/>
        <v>4.1872952258026617</v>
      </c>
      <c r="R175" s="386">
        <f t="shared" si="173"/>
        <v>0.2358074747087911</v>
      </c>
      <c r="S175" s="386">
        <f t="shared" si="174"/>
        <v>0.58296447123013595</v>
      </c>
      <c r="T175" s="386">
        <f t="shared" si="175"/>
        <v>0.8187719459389271</v>
      </c>
      <c r="U175" s="4">
        <f t="shared" si="139"/>
        <v>1.238321972683099</v>
      </c>
      <c r="V175" s="386">
        <f t="shared" si="176"/>
        <v>4.1402915316803568E-2</v>
      </c>
      <c r="W175" s="386">
        <f t="shared" si="177"/>
        <v>4.1402915316803568E-2</v>
      </c>
      <c r="X175" s="386">
        <f t="shared" si="140"/>
        <v>2.038670800083469</v>
      </c>
      <c r="Y175" s="386">
        <f t="shared" si="178"/>
        <v>0.1329977161956151</v>
      </c>
      <c r="Z175" s="603">
        <f t="shared" si="179"/>
        <v>0.1329977161956151</v>
      </c>
      <c r="AA175" s="386">
        <f t="shared" si="141"/>
        <v>2.6020964240532427</v>
      </c>
      <c r="AB175" s="386">
        <f t="shared" si="142"/>
        <v>6.7709058000706729E-2</v>
      </c>
      <c r="AC175" s="386">
        <f t="shared" si="143"/>
        <v>0.5049268052744359</v>
      </c>
      <c r="AD175">
        <f t="shared" si="144"/>
        <v>0</v>
      </c>
      <c r="AE175" s="386">
        <f t="shared" si="145"/>
        <v>0.58177467155035056</v>
      </c>
      <c r="AF175" s="386">
        <f t="shared" si="146"/>
        <v>3.2806303522279205</v>
      </c>
      <c r="AG175" s="386">
        <f t="shared" si="147"/>
        <v>0.1076253550795909</v>
      </c>
      <c r="AH175" s="386">
        <f t="shared" si="148"/>
        <v>0.19239999999999999</v>
      </c>
      <c r="AI175" s="386">
        <f t="shared" si="149"/>
        <v>0.30770855534659858</v>
      </c>
      <c r="AJ175" s="386">
        <f t="shared" si="150"/>
        <v>0</v>
      </c>
      <c r="AK175" s="386">
        <f t="shared" si="151"/>
        <v>0</v>
      </c>
      <c r="AL175" s="386">
        <f t="shared" si="152"/>
        <v>0</v>
      </c>
      <c r="AM175">
        <f t="shared" si="153"/>
        <v>0</v>
      </c>
      <c r="AN175" s="386">
        <f t="shared" si="154"/>
        <v>0</v>
      </c>
      <c r="AO175" s="386">
        <f t="shared" si="155"/>
        <v>4.1872952258026617</v>
      </c>
      <c r="AP175" s="386">
        <f t="shared" si="156"/>
        <v>0.17533441308029765</v>
      </c>
      <c r="AQ175" s="386">
        <f t="shared" si="157"/>
        <v>0</v>
      </c>
      <c r="AR175" s="386">
        <f t="shared" si="158"/>
        <v>0.18276901501077086</v>
      </c>
      <c r="AS175" s="386">
        <f t="shared" si="159"/>
        <v>0.17533441308029765</v>
      </c>
      <c r="AT175" s="386">
        <f t="shared" si="160"/>
        <v>0</v>
      </c>
      <c r="AU175" s="386">
        <f t="shared" si="161"/>
        <v>0.11606900000000001</v>
      </c>
      <c r="AV175" s="386">
        <f t="shared" si="162"/>
        <v>0.16143803261938633</v>
      </c>
      <c r="AW175" s="386">
        <f t="shared" si="163"/>
        <v>6.5920000000000006E-2</v>
      </c>
      <c r="AX175" s="386">
        <f t="shared" si="164"/>
        <v>3.6000000000000004E-2</v>
      </c>
      <c r="AY175" s="386">
        <f t="shared" si="165"/>
        <v>0.40226399999999995</v>
      </c>
      <c r="AZ175" s="386">
        <f t="shared" si="166"/>
        <v>0.30415082926829268</v>
      </c>
      <c r="BA175" s="386">
        <f t="shared" si="180"/>
        <v>0.43826399999999999</v>
      </c>
      <c r="BB175" s="386">
        <f t="shared" si="181"/>
        <v>2.8471158519784523</v>
      </c>
      <c r="BC175">
        <f t="shared" si="167"/>
        <v>48</v>
      </c>
      <c r="BD175" s="604">
        <f t="shared" si="182"/>
        <v>0.94400634521205262</v>
      </c>
      <c r="BE175" s="614">
        <f t="shared" si="168"/>
        <v>40.47493294992033</v>
      </c>
      <c r="BF175" s="614">
        <f t="shared" si="169"/>
        <v>17.847096210102716</v>
      </c>
      <c r="BG175" s="9"/>
      <c r="BH175" s="4">
        <f t="shared" si="183"/>
        <v>94.400634521205262</v>
      </c>
      <c r="BI175" s="386">
        <f t="shared" si="184"/>
        <v>0.8187719459389271</v>
      </c>
      <c r="BJ175" s="386">
        <f t="shared" si="185"/>
        <v>1.18832124190772</v>
      </c>
      <c r="BK175" s="386">
        <f t="shared" si="186"/>
        <v>0.34601132534659856</v>
      </c>
      <c r="BL175" s="386">
        <f t="shared" si="187"/>
        <v>0.16143803261938633</v>
      </c>
    </row>
    <row r="176" spans="7:64" x14ac:dyDescent="0.2">
      <c r="G176">
        <v>167</v>
      </c>
      <c r="H176" s="610">
        <f t="shared" si="131"/>
        <v>31.544999999999998</v>
      </c>
      <c r="I176" s="4" t="str">
        <f t="shared" si="132"/>
        <v>BUCK</v>
      </c>
      <c r="J176">
        <f t="shared" si="170"/>
        <v>1</v>
      </c>
      <c r="K176">
        <f t="shared" si="133"/>
        <v>4</v>
      </c>
      <c r="L176" s="4">
        <f t="shared" si="134"/>
        <v>1.6907063982670261</v>
      </c>
      <c r="M176" s="4">
        <f t="shared" si="135"/>
        <v>4</v>
      </c>
      <c r="N176" s="386">
        <f t="shared" si="136"/>
        <v>0.38452143648156939</v>
      </c>
      <c r="O176" s="386">
        <f t="shared" si="172"/>
        <v>0</v>
      </c>
      <c r="P176" s="4">
        <f t="shared" si="137"/>
        <v>4.3012006249147694</v>
      </c>
      <c r="Q176" s="386">
        <f t="shared" si="138"/>
        <v>4.1882805423364289</v>
      </c>
      <c r="R176" s="386">
        <f t="shared" si="173"/>
        <v>0.23592055871194917</v>
      </c>
      <c r="S176" s="386">
        <f t="shared" si="174"/>
        <v>0.58658019443778753</v>
      </c>
      <c r="T176" s="386">
        <f t="shared" si="175"/>
        <v>0.8225007531497367</v>
      </c>
      <c r="U176" s="4">
        <f t="shared" si="139"/>
        <v>1.2416496693165644</v>
      </c>
      <c r="V176" s="386">
        <f t="shared" si="176"/>
        <v>4.1625735335476206E-2</v>
      </c>
      <c r="W176" s="386">
        <f t="shared" si="177"/>
        <v>4.1625735335476206E-2</v>
      </c>
      <c r="X176" s="386">
        <f t="shared" si="140"/>
        <v>2.0375229443219558</v>
      </c>
      <c r="Y176" s="386">
        <f t="shared" si="178"/>
        <v>0.13284799195642918</v>
      </c>
      <c r="Z176" s="603">
        <f t="shared" si="179"/>
        <v>0.13284799195642918</v>
      </c>
      <c r="AA176" s="386">
        <f t="shared" si="141"/>
        <v>2.5971440732568567</v>
      </c>
      <c r="AB176" s="386">
        <f t="shared" si="142"/>
        <v>6.7451573372532173E-2</v>
      </c>
      <c r="AC176" s="386">
        <f t="shared" si="143"/>
        <v>0.50709697778994201</v>
      </c>
      <c r="AD176">
        <f t="shared" si="144"/>
        <v>0</v>
      </c>
      <c r="AE176" s="386">
        <f t="shared" si="145"/>
        <v>0.58368246083986952</v>
      </c>
      <c r="AF176" s="386">
        <f t="shared" si="146"/>
        <v>3.2858083577805801</v>
      </c>
      <c r="AG176" s="386">
        <f t="shared" si="147"/>
        <v>0.10796536564060713</v>
      </c>
      <c r="AH176" s="386">
        <f t="shared" si="148"/>
        <v>0.19239999999999999</v>
      </c>
      <c r="AI176" s="386">
        <f t="shared" si="149"/>
        <v>0.30808219769273903</v>
      </c>
      <c r="AJ176" s="386">
        <f t="shared" si="150"/>
        <v>0</v>
      </c>
      <c r="AK176" s="386">
        <f t="shared" si="151"/>
        <v>0</v>
      </c>
      <c r="AL176" s="386">
        <f t="shared" si="152"/>
        <v>0</v>
      </c>
      <c r="AM176">
        <f t="shared" si="153"/>
        <v>0</v>
      </c>
      <c r="AN176" s="386">
        <f t="shared" si="154"/>
        <v>0</v>
      </c>
      <c r="AO176" s="386">
        <f t="shared" si="155"/>
        <v>4.1882805423364289</v>
      </c>
      <c r="AP176" s="386">
        <f t="shared" si="156"/>
        <v>0.17541693901313932</v>
      </c>
      <c r="AQ176" s="386">
        <f t="shared" si="157"/>
        <v>0</v>
      </c>
      <c r="AR176" s="386">
        <f t="shared" si="158"/>
        <v>0.18285868970914923</v>
      </c>
      <c r="AS176" s="386">
        <f t="shared" si="159"/>
        <v>0.17541693901313932</v>
      </c>
      <c r="AT176" s="386">
        <f t="shared" si="160"/>
        <v>0</v>
      </c>
      <c r="AU176" s="386">
        <f t="shared" si="161"/>
        <v>0.11656850000000001</v>
      </c>
      <c r="AV176" s="386">
        <f t="shared" si="162"/>
        <v>0.16194804846091068</v>
      </c>
      <c r="AW176" s="386">
        <f t="shared" si="163"/>
        <v>6.5920000000000006E-2</v>
      </c>
      <c r="AX176" s="386">
        <f t="shared" si="164"/>
        <v>3.6000000000000004E-2</v>
      </c>
      <c r="AY176" s="386">
        <f t="shared" si="165"/>
        <v>0.40226399999999995</v>
      </c>
      <c r="AZ176" s="386">
        <f t="shared" si="166"/>
        <v>0.30415082926829268</v>
      </c>
      <c r="BA176" s="386">
        <f t="shared" si="180"/>
        <v>0.43826399999999999</v>
      </c>
      <c r="BB176" s="386">
        <f t="shared" si="181"/>
        <v>2.8542983771443105</v>
      </c>
      <c r="BC176">
        <f t="shared" si="167"/>
        <v>48</v>
      </c>
      <c r="BD176" s="604">
        <f t="shared" si="182"/>
        <v>0.94387301627924669</v>
      </c>
      <c r="BE176" s="614">
        <f t="shared" si="168"/>
        <v>40.614555728712432</v>
      </c>
      <c r="BF176" s="614">
        <f t="shared" si="169"/>
        <v>17.868767466178863</v>
      </c>
      <c r="BG176" s="9"/>
      <c r="BH176" s="4">
        <f t="shared" si="183"/>
        <v>94.387301627924671</v>
      </c>
      <c r="BI176" s="386">
        <f t="shared" si="184"/>
        <v>0.8225007531497367</v>
      </c>
      <c r="BJ176" s="386">
        <f t="shared" si="185"/>
        <v>1.1911918482417578</v>
      </c>
      <c r="BK176" s="386">
        <f t="shared" si="186"/>
        <v>0.34654980269273905</v>
      </c>
      <c r="BL176" s="386">
        <f t="shared" si="187"/>
        <v>0.16194804846091068</v>
      </c>
    </row>
    <row r="177" spans="7:64" x14ac:dyDescent="0.2">
      <c r="G177">
        <v>168</v>
      </c>
      <c r="H177" s="610">
        <f t="shared" si="131"/>
        <v>31.68</v>
      </c>
      <c r="I177" s="4" t="str">
        <f t="shared" si="132"/>
        <v>BUCK</v>
      </c>
      <c r="J177">
        <f t="shared" si="170"/>
        <v>1</v>
      </c>
      <c r="K177">
        <f t="shared" si="133"/>
        <v>4</v>
      </c>
      <c r="L177" s="4">
        <f t="shared" si="134"/>
        <v>1.6835016835016834</v>
      </c>
      <c r="M177" s="4">
        <f t="shared" si="135"/>
        <v>4</v>
      </c>
      <c r="N177" s="386">
        <f t="shared" si="136"/>
        <v>0.38288594833018275</v>
      </c>
      <c r="O177" s="386">
        <f t="shared" si="172"/>
        <v>0</v>
      </c>
      <c r="P177" s="4">
        <f t="shared" si="137"/>
        <v>4.3126300443547763</v>
      </c>
      <c r="Q177" s="386">
        <f t="shared" si="138"/>
        <v>4.1892598580524085</v>
      </c>
      <c r="R177" s="386">
        <f t="shared" si="173"/>
        <v>0.23603298236078363</v>
      </c>
      <c r="S177" s="386">
        <f t="shared" si="174"/>
        <v>0.59017765732385741</v>
      </c>
      <c r="T177" s="386">
        <f t="shared" si="175"/>
        <v>0.82621063968464103</v>
      </c>
      <c r="U177" s="4">
        <f t="shared" si="139"/>
        <v>1.2449490585117489</v>
      </c>
      <c r="V177" s="386">
        <f t="shared" si="176"/>
        <v>4.1847250273810824E-2</v>
      </c>
      <c r="W177" s="386">
        <f t="shared" si="177"/>
        <v>4.1847250273810824E-2</v>
      </c>
      <c r="X177" s="386">
        <f t="shared" si="140"/>
        <v>2.0363608182548956</v>
      </c>
      <c r="Y177" s="386">
        <f t="shared" si="178"/>
        <v>0.13269649222795993</v>
      </c>
      <c r="Z177" s="603">
        <f t="shared" si="179"/>
        <v>0.13269649222795993</v>
      </c>
      <c r="AA177" s="386">
        <f t="shared" si="141"/>
        <v>2.5922209395486955</v>
      </c>
      <c r="AB177" s="386">
        <f t="shared" si="142"/>
        <v>6.7196093994347214E-2</v>
      </c>
      <c r="AC177" s="386">
        <f t="shared" si="143"/>
        <v>0.50926715030544822</v>
      </c>
      <c r="AD177">
        <f t="shared" si="144"/>
        <v>0</v>
      </c>
      <c r="AE177" s="386">
        <f t="shared" si="145"/>
        <v>0.58559233233802332</v>
      </c>
      <c r="AF177" s="386">
        <f t="shared" si="146"/>
        <v>3.2909404064574863</v>
      </c>
      <c r="AG177" s="386">
        <f t="shared" si="147"/>
        <v>0.10830288758854564</v>
      </c>
      <c r="AH177" s="386">
        <f t="shared" si="148"/>
        <v>0.19239999999999999</v>
      </c>
      <c r="AI177" s="386">
        <f t="shared" si="149"/>
        <v>0.30845316507199011</v>
      </c>
      <c r="AJ177" s="386">
        <f t="shared" si="150"/>
        <v>0</v>
      </c>
      <c r="AK177" s="386">
        <f t="shared" si="151"/>
        <v>0</v>
      </c>
      <c r="AL177" s="386">
        <f t="shared" si="152"/>
        <v>0</v>
      </c>
      <c r="AM177">
        <f t="shared" si="153"/>
        <v>0</v>
      </c>
      <c r="AN177" s="386">
        <f t="shared" si="154"/>
        <v>0</v>
      </c>
      <c r="AO177" s="386">
        <f t="shared" si="155"/>
        <v>4.1892598580524085</v>
      </c>
      <c r="AP177" s="386">
        <f t="shared" si="156"/>
        <v>0.17549898158289284</v>
      </c>
      <c r="AQ177" s="386">
        <f t="shared" si="157"/>
        <v>0</v>
      </c>
      <c r="AR177" s="386">
        <f t="shared" si="158"/>
        <v>0.18294784272155012</v>
      </c>
      <c r="AS177" s="386">
        <f t="shared" si="159"/>
        <v>0.17549898158289284</v>
      </c>
      <c r="AT177" s="386">
        <f t="shared" si="160"/>
        <v>0</v>
      </c>
      <c r="AU177" s="386">
        <f t="shared" si="161"/>
        <v>0.11706800000000001</v>
      </c>
      <c r="AV177" s="386">
        <f t="shared" si="162"/>
        <v>0.16245433138281845</v>
      </c>
      <c r="AW177" s="386">
        <f t="shared" si="163"/>
        <v>6.5920000000000006E-2</v>
      </c>
      <c r="AX177" s="386">
        <f t="shared" si="164"/>
        <v>3.6000000000000004E-2</v>
      </c>
      <c r="AY177" s="386">
        <f t="shared" si="165"/>
        <v>0.40226399999999995</v>
      </c>
      <c r="AZ177" s="386">
        <f t="shared" si="166"/>
        <v>0.30415082926829268</v>
      </c>
      <c r="BA177" s="386">
        <f t="shared" si="180"/>
        <v>0.43826399999999999</v>
      </c>
      <c r="BB177" s="386">
        <f t="shared" si="181"/>
        <v>2.8614540537007942</v>
      </c>
      <c r="BC177">
        <f t="shared" si="167"/>
        <v>48</v>
      </c>
      <c r="BD177" s="604">
        <f t="shared" si="182"/>
        <v>0.94374022318198769</v>
      </c>
      <c r="BE177" s="614">
        <f t="shared" si="168"/>
        <v>40.754299275605355</v>
      </c>
      <c r="BF177" s="614">
        <f t="shared" si="169"/>
        <v>17.890283574175427</v>
      </c>
      <c r="BG177" s="9"/>
      <c r="BH177" s="4">
        <f t="shared" si="183"/>
        <v>94.374022318198769</v>
      </c>
      <c r="BI177" s="386">
        <f t="shared" si="184"/>
        <v>0.82621063968464103</v>
      </c>
      <c r="BJ177" s="386">
        <f t="shared" si="185"/>
        <v>1.1940613401315634</v>
      </c>
      <c r="BK177" s="386">
        <f t="shared" si="186"/>
        <v>0.3470856050719901</v>
      </c>
      <c r="BL177" s="386">
        <f t="shared" si="187"/>
        <v>0.16245433138281845</v>
      </c>
    </row>
    <row r="178" spans="7:64" x14ac:dyDescent="0.2">
      <c r="G178">
        <v>169</v>
      </c>
      <c r="H178" s="610">
        <f t="shared" si="131"/>
        <v>31.814999999999998</v>
      </c>
      <c r="I178" s="4" t="str">
        <f t="shared" si="132"/>
        <v>BUCK</v>
      </c>
      <c r="J178">
        <f t="shared" si="170"/>
        <v>1</v>
      </c>
      <c r="K178">
        <f t="shared" si="133"/>
        <v>4</v>
      </c>
      <c r="L178" s="4">
        <f t="shared" si="134"/>
        <v>1.6763581120016764</v>
      </c>
      <c r="M178" s="4">
        <f t="shared" si="135"/>
        <v>4</v>
      </c>
      <c r="N178" s="386">
        <f t="shared" si="136"/>
        <v>0.38126431372549019</v>
      </c>
      <c r="O178" s="386">
        <f t="shared" si="172"/>
        <v>0</v>
      </c>
      <c r="P178" s="4">
        <f t="shared" si="137"/>
        <v>4.3239626498889372</v>
      </c>
      <c r="Q178" s="386">
        <f t="shared" si="138"/>
        <v>4.1902332174318824</v>
      </c>
      <c r="R178" s="386">
        <f t="shared" si="173"/>
        <v>0.23614475024536821</v>
      </c>
      <c r="S178" s="386">
        <f t="shared" si="174"/>
        <v>0.59375694370199072</v>
      </c>
      <c r="T178" s="386">
        <f t="shared" si="175"/>
        <v>0.82990169394735891</v>
      </c>
      <c r="U178" s="4">
        <f t="shared" si="139"/>
        <v>1.2482204999396327</v>
      </c>
      <c r="V178" s="386">
        <f t="shared" si="176"/>
        <v>4.206746924467776E-2</v>
      </c>
      <c r="W178" s="386">
        <f t="shared" si="177"/>
        <v>4.206746924467776E-2</v>
      </c>
      <c r="X178" s="386">
        <f t="shared" si="140"/>
        <v>2.035184828846246</v>
      </c>
      <c r="Y178" s="386">
        <f t="shared" si="178"/>
        <v>0.13254327320210957</v>
      </c>
      <c r="Z178" s="603">
        <f t="shared" si="179"/>
        <v>0.13254327320210957</v>
      </c>
      <c r="AA178" s="386">
        <f t="shared" si="141"/>
        <v>2.5873267222077061</v>
      </c>
      <c r="AB178" s="386">
        <f t="shared" si="142"/>
        <v>6.6942595674500727E-2</v>
      </c>
      <c r="AC178" s="386">
        <f t="shared" si="143"/>
        <v>0.51143732282095433</v>
      </c>
      <c r="AD178">
        <f t="shared" si="144"/>
        <v>0</v>
      </c>
      <c r="AE178" s="386">
        <f t="shared" si="145"/>
        <v>0.5875042604536409</v>
      </c>
      <c r="AF178" s="386">
        <f t="shared" si="146"/>
        <v>3.2960271311109488</v>
      </c>
      <c r="AG178" s="386">
        <f t="shared" si="147"/>
        <v>0.10863794849019472</v>
      </c>
      <c r="AH178" s="386">
        <f t="shared" si="148"/>
        <v>0.19239999999999999</v>
      </c>
      <c r="AI178" s="386">
        <f t="shared" si="149"/>
        <v>0.30882148648623597</v>
      </c>
      <c r="AJ178" s="386">
        <f t="shared" si="150"/>
        <v>0</v>
      </c>
      <c r="AK178" s="386">
        <f t="shared" si="151"/>
        <v>0</v>
      </c>
      <c r="AL178" s="386">
        <f t="shared" si="152"/>
        <v>0</v>
      </c>
      <c r="AM178">
        <f t="shared" si="153"/>
        <v>0</v>
      </c>
      <c r="AN178" s="386">
        <f t="shared" si="154"/>
        <v>0</v>
      </c>
      <c r="AO178" s="386">
        <f t="shared" si="155"/>
        <v>4.1902332174318824</v>
      </c>
      <c r="AP178" s="386">
        <f t="shared" si="156"/>
        <v>0.17558054416469546</v>
      </c>
      <c r="AQ178" s="386">
        <f t="shared" si="157"/>
        <v>0</v>
      </c>
      <c r="AR178" s="386">
        <f t="shared" si="158"/>
        <v>0.18303647765352302</v>
      </c>
      <c r="AS178" s="386">
        <f t="shared" si="159"/>
        <v>0.17558054416469546</v>
      </c>
      <c r="AT178" s="386">
        <f t="shared" si="160"/>
        <v>0</v>
      </c>
      <c r="AU178" s="386">
        <f t="shared" si="161"/>
        <v>0.11756750000000001</v>
      </c>
      <c r="AV178" s="386">
        <f t="shared" si="162"/>
        <v>0.16295692273529208</v>
      </c>
      <c r="AW178" s="386">
        <f t="shared" si="163"/>
        <v>6.5920000000000006E-2</v>
      </c>
      <c r="AX178" s="386">
        <f t="shared" si="164"/>
        <v>3.6000000000000004E-2</v>
      </c>
      <c r="AY178" s="386">
        <f t="shared" si="165"/>
        <v>0.40226399999999995</v>
      </c>
      <c r="AZ178" s="386">
        <f t="shared" si="166"/>
        <v>0.30415082926829268</v>
      </c>
      <c r="BA178" s="386">
        <f t="shared" si="180"/>
        <v>0.43826399999999999</v>
      </c>
      <c r="BB178" s="386">
        <f t="shared" si="181"/>
        <v>2.8685830837228385</v>
      </c>
      <c r="BC178">
        <f t="shared" si="167"/>
        <v>48</v>
      </c>
      <c r="BD178" s="604">
        <f t="shared" si="182"/>
        <v>0.94360796173540873</v>
      </c>
      <c r="BE178" s="614">
        <f t="shared" si="168"/>
        <v>40.894162106311178</v>
      </c>
      <c r="BF178" s="614">
        <f t="shared" si="169"/>
        <v>17.911646216201685</v>
      </c>
      <c r="BG178" s="9"/>
      <c r="BH178" s="4">
        <f t="shared" si="183"/>
        <v>94.360796173540876</v>
      </c>
      <c r="BI178" s="386">
        <f t="shared" si="184"/>
        <v>0.82990169394735891</v>
      </c>
      <c r="BJ178" s="386">
        <f t="shared" si="185"/>
        <v>1.1969297245933999</v>
      </c>
      <c r="BK178" s="386">
        <f t="shared" si="186"/>
        <v>0.34761876148623599</v>
      </c>
      <c r="BL178" s="386">
        <f t="shared" si="187"/>
        <v>0.16295692273529208</v>
      </c>
    </row>
    <row r="179" spans="7:64" x14ac:dyDescent="0.2">
      <c r="G179">
        <v>170</v>
      </c>
      <c r="H179" s="610">
        <f t="shared" si="131"/>
        <v>31.95</v>
      </c>
      <c r="I179" s="4" t="str">
        <f t="shared" si="132"/>
        <v>BUCK</v>
      </c>
      <c r="J179">
        <f t="shared" si="170"/>
        <v>1</v>
      </c>
      <c r="K179">
        <f t="shared" si="133"/>
        <v>4</v>
      </c>
      <c r="L179" s="4">
        <f t="shared" si="134"/>
        <v>1.6692749087115284</v>
      </c>
      <c r="M179" s="4">
        <f t="shared" si="135"/>
        <v>4</v>
      </c>
      <c r="N179" s="386">
        <f t="shared" si="136"/>
        <v>0.37965635738831616</v>
      </c>
      <c r="O179" s="386">
        <f t="shared" si="172"/>
        <v>0</v>
      </c>
      <c r="P179" s="4">
        <f t="shared" si="137"/>
        <v>4.3351996664354635</v>
      </c>
      <c r="Q179" s="386">
        <f t="shared" si="138"/>
        <v>4.1912006647644349</v>
      </c>
      <c r="R179" s="386">
        <f t="shared" si="173"/>
        <v>0.23625586694196216</v>
      </c>
      <c r="S179" s="386">
        <f t="shared" si="174"/>
        <v>0.59731813827784974</v>
      </c>
      <c r="T179" s="386">
        <f t="shared" si="175"/>
        <v>0.83357400521981195</v>
      </c>
      <c r="U179" s="4">
        <f t="shared" si="139"/>
        <v>1.2514643472036455</v>
      </c>
      <c r="V179" s="386">
        <f t="shared" si="176"/>
        <v>4.2286401332689856E-2</v>
      </c>
      <c r="W179" s="386">
        <f t="shared" si="177"/>
        <v>4.2286401332689856E-2</v>
      </c>
      <c r="X179" s="386">
        <f t="shared" si="140"/>
        <v>2.0339953725606614</v>
      </c>
      <c r="Y179" s="386">
        <f t="shared" si="178"/>
        <v>0.1323883896191419</v>
      </c>
      <c r="Z179" s="603">
        <f t="shared" si="179"/>
        <v>0.1323883896191419</v>
      </c>
      <c r="AA179" s="386">
        <f t="shared" si="141"/>
        <v>2.5824611250796172</v>
      </c>
      <c r="AB179" s="386">
        <f t="shared" si="142"/>
        <v>6.6691054625474824E-2</v>
      </c>
      <c r="AC179" s="386">
        <f t="shared" si="143"/>
        <v>0.51360749533646055</v>
      </c>
      <c r="AD179">
        <f t="shared" si="144"/>
        <v>0</v>
      </c>
      <c r="AE179" s="386">
        <f t="shared" si="145"/>
        <v>0.58941822003049382</v>
      </c>
      <c r="AF179" s="386">
        <f t="shared" si="146"/>
        <v>3.3010691525283682</v>
      </c>
      <c r="AG179" s="386">
        <f t="shared" si="147"/>
        <v>0.1089705754977436</v>
      </c>
      <c r="AH179" s="386">
        <f t="shared" si="148"/>
        <v>0.19239999999999999</v>
      </c>
      <c r="AI179" s="386">
        <f t="shared" si="149"/>
        <v>0.30918719050978416</v>
      </c>
      <c r="AJ179" s="386">
        <f t="shared" si="150"/>
        <v>0</v>
      </c>
      <c r="AK179" s="386">
        <f t="shared" si="151"/>
        <v>0</v>
      </c>
      <c r="AL179" s="386">
        <f t="shared" si="152"/>
        <v>0</v>
      </c>
      <c r="AM179">
        <f t="shared" si="153"/>
        <v>0</v>
      </c>
      <c r="AN179" s="386">
        <f t="shared" si="154"/>
        <v>0</v>
      </c>
      <c r="AO179" s="386">
        <f t="shared" si="155"/>
        <v>4.1912006647644349</v>
      </c>
      <c r="AP179" s="386">
        <f t="shared" si="156"/>
        <v>0.17566163012321842</v>
      </c>
      <c r="AQ179" s="386">
        <f t="shared" si="157"/>
        <v>0</v>
      </c>
      <c r="AR179" s="386">
        <f t="shared" si="158"/>
        <v>0.18312459810017975</v>
      </c>
      <c r="AS179" s="386">
        <f t="shared" si="159"/>
        <v>0.17566163012321842</v>
      </c>
      <c r="AT179" s="386">
        <f t="shared" si="160"/>
        <v>0</v>
      </c>
      <c r="AU179" s="386">
        <f t="shared" si="161"/>
        <v>0.11806700000000001</v>
      </c>
      <c r="AV179" s="386">
        <f t="shared" si="162"/>
        <v>0.1634558632466154</v>
      </c>
      <c r="AW179" s="386">
        <f t="shared" si="163"/>
        <v>6.5920000000000006E-2</v>
      </c>
      <c r="AX179" s="386">
        <f t="shared" si="164"/>
        <v>3.6000000000000004E-2</v>
      </c>
      <c r="AY179" s="386">
        <f t="shared" si="165"/>
        <v>0.40226399999999995</v>
      </c>
      <c r="AZ179" s="386">
        <f t="shared" si="166"/>
        <v>0.30415082926829268</v>
      </c>
      <c r="BA179" s="386">
        <f t="shared" si="180"/>
        <v>0.43826399999999999</v>
      </c>
      <c r="BB179" s="386">
        <f t="shared" si="181"/>
        <v>2.8756856680587175</v>
      </c>
      <c r="BC179">
        <f t="shared" si="167"/>
        <v>48</v>
      </c>
      <c r="BD179" s="604">
        <f t="shared" si="182"/>
        <v>0.94347622778351747</v>
      </c>
      <c r="BE179" s="614">
        <f t="shared" si="168"/>
        <v>41.034142761768642</v>
      </c>
      <c r="BF179" s="614">
        <f t="shared" si="169"/>
        <v>17.932857049567481</v>
      </c>
      <c r="BG179" s="9"/>
      <c r="BH179" s="4">
        <f t="shared" si="183"/>
        <v>94.347622778351749</v>
      </c>
      <c r="BI179" s="386">
        <f t="shared" si="184"/>
        <v>0.83357400521981195</v>
      </c>
      <c r="BJ179" s="386">
        <f t="shared" si="185"/>
        <v>1.1997970086404577</v>
      </c>
      <c r="BK179" s="386">
        <f t="shared" si="186"/>
        <v>0.34814930050978415</v>
      </c>
      <c r="BL179" s="386">
        <f t="shared" si="187"/>
        <v>0.1634558632466154</v>
      </c>
    </row>
    <row r="180" spans="7:64" x14ac:dyDescent="0.2">
      <c r="G180">
        <v>171</v>
      </c>
      <c r="H180" s="610">
        <f t="shared" si="131"/>
        <v>32.085000000000001</v>
      </c>
      <c r="I180" s="4" t="str">
        <f t="shared" si="132"/>
        <v>BUCK</v>
      </c>
      <c r="J180">
        <f t="shared" si="170"/>
        <v>1</v>
      </c>
      <c r="K180">
        <f t="shared" si="133"/>
        <v>4</v>
      </c>
      <c r="L180" s="4">
        <f t="shared" si="134"/>
        <v>1.6622513116201756</v>
      </c>
      <c r="M180" s="4">
        <f t="shared" si="135"/>
        <v>4</v>
      </c>
      <c r="N180" s="386">
        <f t="shared" si="136"/>
        <v>0.37806190698397879</v>
      </c>
      <c r="O180" s="386">
        <f t="shared" si="172"/>
        <v>0</v>
      </c>
      <c r="P180" s="4">
        <f t="shared" si="137"/>
        <v>4.3463422983353084</v>
      </c>
      <c r="Q180" s="386">
        <f t="shared" si="138"/>
        <v>4.192162244139837</v>
      </c>
      <c r="R180" s="386">
        <f t="shared" si="173"/>
        <v>0.23636633701197432</v>
      </c>
      <c r="S180" s="386">
        <f t="shared" si="174"/>
        <v>0.60086132658643088</v>
      </c>
      <c r="T180" s="386">
        <f t="shared" si="175"/>
        <v>0.83722766359840517</v>
      </c>
      <c r="U180" s="4">
        <f t="shared" si="139"/>
        <v>1.2546809479670735</v>
      </c>
      <c r="V180" s="386">
        <f t="shared" si="176"/>
        <v>4.2504055592171963E-2</v>
      </c>
      <c r="W180" s="386">
        <f t="shared" si="177"/>
        <v>4.2504055592171963E-2</v>
      </c>
      <c r="X180" s="386">
        <f t="shared" si="140"/>
        <v>2.0327928356686504</v>
      </c>
      <c r="Y180" s="386">
        <f t="shared" si="178"/>
        <v>0.13223189480786537</v>
      </c>
      <c r="Z180" s="603">
        <f t="shared" si="179"/>
        <v>0.13223189480786537</v>
      </c>
      <c r="AA180" s="386">
        <f t="shared" si="141"/>
        <v>2.577623856483219</v>
      </c>
      <c r="AB180" s="386">
        <f t="shared" si="142"/>
        <v>6.6441447455114225E-2</v>
      </c>
      <c r="AC180" s="386">
        <f t="shared" si="143"/>
        <v>0.51577766785196677</v>
      </c>
      <c r="AD180">
        <f t="shared" si="144"/>
        <v>0</v>
      </c>
      <c r="AE180" s="386">
        <f t="shared" si="145"/>
        <v>0.59133418633771406</v>
      </c>
      <c r="AF180" s="386">
        <f t="shared" si="146"/>
        <v>3.3060670797308593</v>
      </c>
      <c r="AG180" s="386">
        <f t="shared" si="147"/>
        <v>0.10930079535680133</v>
      </c>
      <c r="AH180" s="386">
        <f t="shared" si="148"/>
        <v>0.19239999999999999</v>
      </c>
      <c r="AI180" s="386">
        <f t="shared" si="149"/>
        <v>0.30955030529749533</v>
      </c>
      <c r="AJ180" s="386">
        <f t="shared" si="150"/>
        <v>0</v>
      </c>
      <c r="AK180" s="386">
        <f t="shared" si="151"/>
        <v>0</v>
      </c>
      <c r="AL180" s="386">
        <f t="shared" si="152"/>
        <v>0</v>
      </c>
      <c r="AM180">
        <f t="shared" si="153"/>
        <v>0</v>
      </c>
      <c r="AN180" s="386">
        <f t="shared" si="154"/>
        <v>0</v>
      </c>
      <c r="AO180" s="386">
        <f t="shared" si="155"/>
        <v>4.192162244139837</v>
      </c>
      <c r="AP180" s="386">
        <f t="shared" si="156"/>
        <v>0.17574224281191556</v>
      </c>
      <c r="AQ180" s="386">
        <f t="shared" si="157"/>
        <v>0</v>
      </c>
      <c r="AR180" s="386">
        <f t="shared" si="158"/>
        <v>0.18321220764536722</v>
      </c>
      <c r="AS180" s="386">
        <f t="shared" si="159"/>
        <v>0.17574224281191556</v>
      </c>
      <c r="AT180" s="386">
        <f t="shared" si="160"/>
        <v>0</v>
      </c>
      <c r="AU180" s="386">
        <f t="shared" si="161"/>
        <v>0.11856650000000001</v>
      </c>
      <c r="AV180" s="386">
        <f t="shared" si="162"/>
        <v>0.16395119303520198</v>
      </c>
      <c r="AW180" s="386">
        <f t="shared" si="163"/>
        <v>6.5920000000000006E-2</v>
      </c>
      <c r="AX180" s="386">
        <f t="shared" si="164"/>
        <v>3.6000000000000004E-2</v>
      </c>
      <c r="AY180" s="386">
        <f t="shared" si="165"/>
        <v>0.40226399999999995</v>
      </c>
      <c r="AZ180" s="386">
        <f t="shared" si="166"/>
        <v>0.30415082926829268</v>
      </c>
      <c r="BA180" s="386">
        <f t="shared" si="180"/>
        <v>0.43826399999999999</v>
      </c>
      <c r="BB180" s="386">
        <f t="shared" si="181"/>
        <v>2.8827620063142207</v>
      </c>
      <c r="BC180">
        <f t="shared" si="167"/>
        <v>48</v>
      </c>
      <c r="BD180" s="604">
        <f t="shared" si="182"/>
        <v>0.94334501719941044</v>
      </c>
      <c r="BE180" s="614">
        <f t="shared" si="168"/>
        <v>41.174239807587419</v>
      </c>
      <c r="BF180" s="614">
        <f t="shared" si="169"/>
        <v>17.953917707254728</v>
      </c>
      <c r="BG180" s="9"/>
      <c r="BH180" s="4">
        <f t="shared" si="183"/>
        <v>94.334501719941045</v>
      </c>
      <c r="BI180" s="386">
        <f t="shared" si="184"/>
        <v>0.83722766359840517</v>
      </c>
      <c r="BJ180" s="386">
        <f t="shared" si="185"/>
        <v>1.2026631992805767</v>
      </c>
      <c r="BK180" s="386">
        <f t="shared" si="186"/>
        <v>0.34867725029749536</v>
      </c>
      <c r="BL180" s="386">
        <f t="shared" si="187"/>
        <v>0.16395119303520198</v>
      </c>
    </row>
    <row r="181" spans="7:64" x14ac:dyDescent="0.2">
      <c r="G181">
        <v>172</v>
      </c>
      <c r="H181" s="610">
        <f t="shared" si="131"/>
        <v>32.22</v>
      </c>
      <c r="I181" s="4" t="str">
        <f t="shared" si="132"/>
        <v>BUCK</v>
      </c>
      <c r="J181">
        <f t="shared" si="170"/>
        <v>1</v>
      </c>
      <c r="K181">
        <f t="shared" si="133"/>
        <v>4</v>
      </c>
      <c r="L181" s="4">
        <f t="shared" si="134"/>
        <v>1.6552865714876888</v>
      </c>
      <c r="M181" s="4">
        <f t="shared" si="135"/>
        <v>4</v>
      </c>
      <c r="N181" s="386">
        <f t="shared" si="136"/>
        <v>0.37648079306071869</v>
      </c>
      <c r="O181" s="386">
        <f t="shared" si="172"/>
        <v>0</v>
      </c>
      <c r="P181" s="4">
        <f t="shared" si="137"/>
        <v>4.35739172978246</v>
      </c>
      <c r="Q181" s="386">
        <f t="shared" si="138"/>
        <v>4.1931179994404379</v>
      </c>
      <c r="R181" s="386">
        <f t="shared" si="173"/>
        <v>0.23647616500098495</v>
      </c>
      <c r="S181" s="386">
        <f t="shared" si="174"/>
        <v>0.60438659493193858</v>
      </c>
      <c r="T181" s="386">
        <f t="shared" si="175"/>
        <v>0.84086275993292348</v>
      </c>
      <c r="U181" s="4">
        <f t="shared" si="139"/>
        <v>1.2578706440772762</v>
      </c>
      <c r="V181" s="386">
        <f t="shared" si="176"/>
        <v>4.2720441045247304E-2</v>
      </c>
      <c r="W181" s="386">
        <f t="shared" si="177"/>
        <v>4.2720441045247304E-2</v>
      </c>
      <c r="X181" s="386">
        <f t="shared" si="140"/>
        <v>2.0315775945414876</v>
      </c>
      <c r="Y181" s="386">
        <f t="shared" si="178"/>
        <v>0.13207384072457526</v>
      </c>
      <c r="Z181" s="603">
        <f t="shared" si="179"/>
        <v>0.13207384072457526</v>
      </c>
      <c r="AA181" s="386">
        <f t="shared" si="141"/>
        <v>2.5728146291190934</v>
      </c>
      <c r="AB181" s="386">
        <f t="shared" si="142"/>
        <v>6.6193751158092187E-2</v>
      </c>
      <c r="AC181" s="386">
        <f t="shared" si="143"/>
        <v>0.51794784036747288</v>
      </c>
      <c r="AD181">
        <f t="shared" si="144"/>
        <v>0</v>
      </c>
      <c r="AE181" s="386">
        <f t="shared" si="145"/>
        <v>0.59325213506047547</v>
      </c>
      <c r="AF181" s="386">
        <f t="shared" si="146"/>
        <v>3.3110215102626812</v>
      </c>
      <c r="AG181" s="386">
        <f t="shared" si="147"/>
        <v>0.10962863441422167</v>
      </c>
      <c r="AH181" s="386">
        <f t="shared" si="148"/>
        <v>0.19239999999999999</v>
      </c>
      <c r="AI181" s="386">
        <f t="shared" si="149"/>
        <v>0.3099108585927185</v>
      </c>
      <c r="AJ181" s="386">
        <f t="shared" si="150"/>
        <v>0</v>
      </c>
      <c r="AK181" s="386">
        <f t="shared" si="151"/>
        <v>0</v>
      </c>
      <c r="AL181" s="386">
        <f t="shared" si="152"/>
        <v>0</v>
      </c>
      <c r="AM181">
        <f t="shared" si="153"/>
        <v>0</v>
      </c>
      <c r="AN181" s="386">
        <f t="shared" si="154"/>
        <v>0</v>
      </c>
      <c r="AO181" s="386">
        <f t="shared" si="155"/>
        <v>4.1931179994404379</v>
      </c>
      <c r="AP181" s="386">
        <f t="shared" si="156"/>
        <v>0.17582238557231381</v>
      </c>
      <c r="AQ181" s="386">
        <f t="shared" si="157"/>
        <v>0</v>
      </c>
      <c r="AR181" s="386">
        <f t="shared" si="158"/>
        <v>0.18329930986088572</v>
      </c>
      <c r="AS181" s="386">
        <f t="shared" si="159"/>
        <v>0.17582238557231381</v>
      </c>
      <c r="AT181" s="386">
        <f t="shared" si="160"/>
        <v>0</v>
      </c>
      <c r="AU181" s="386">
        <f t="shared" si="161"/>
        <v>0.11906600000000001</v>
      </c>
      <c r="AV181" s="386">
        <f t="shared" si="162"/>
        <v>0.16444295162133249</v>
      </c>
      <c r="AW181" s="386">
        <f t="shared" si="163"/>
        <v>6.5920000000000006E-2</v>
      </c>
      <c r="AX181" s="386">
        <f t="shared" si="164"/>
        <v>3.6000000000000004E-2</v>
      </c>
      <c r="AY181" s="386">
        <f t="shared" si="165"/>
        <v>0.40226399999999995</v>
      </c>
      <c r="AZ181" s="386">
        <f t="shared" si="166"/>
        <v>0.30415082926829268</v>
      </c>
      <c r="BA181" s="386">
        <f t="shared" si="180"/>
        <v>0.43826399999999999</v>
      </c>
      <c r="BB181" s="386">
        <f t="shared" si="181"/>
        <v>2.889812296838159</v>
      </c>
      <c r="BC181">
        <f t="shared" si="167"/>
        <v>48</v>
      </c>
      <c r="BD181" s="604">
        <f t="shared" si="182"/>
        <v>0.94321432588546394</v>
      </c>
      <c r="BE181" s="614">
        <f t="shared" si="168"/>
        <v>41.314451833507576</v>
      </c>
      <c r="BF181" s="614">
        <f t="shared" si="169"/>
        <v>17.974829798377673</v>
      </c>
      <c r="BG181" s="9"/>
      <c r="BH181" s="4">
        <f t="shared" si="183"/>
        <v>94.321432588546401</v>
      </c>
      <c r="BI181" s="386">
        <f t="shared" si="184"/>
        <v>0.84086275993292348</v>
      </c>
      <c r="BJ181" s="386">
        <f t="shared" si="185"/>
        <v>1.2055283035140798</v>
      </c>
      <c r="BK181" s="386">
        <f t="shared" si="186"/>
        <v>0.3492026385927185</v>
      </c>
      <c r="BL181" s="386">
        <f t="shared" si="187"/>
        <v>0.16444295162133249</v>
      </c>
    </row>
    <row r="182" spans="7:64" x14ac:dyDescent="0.2">
      <c r="G182">
        <v>173</v>
      </c>
      <c r="H182" s="610">
        <f t="shared" si="131"/>
        <v>32.355000000000004</v>
      </c>
      <c r="I182" s="4" t="str">
        <f t="shared" si="132"/>
        <v>BUCK</v>
      </c>
      <c r="J182">
        <f t="shared" si="170"/>
        <v>1</v>
      </c>
      <c r="K182">
        <f t="shared" si="133"/>
        <v>4</v>
      </c>
      <c r="L182" s="4">
        <f t="shared" si="134"/>
        <v>1.6483799515788387</v>
      </c>
      <c r="M182" s="4">
        <f t="shared" si="135"/>
        <v>4</v>
      </c>
      <c r="N182" s="386">
        <f t="shared" si="136"/>
        <v>0.3749128489896652</v>
      </c>
      <c r="O182" s="386">
        <f t="shared" si="172"/>
        <v>0</v>
      </c>
      <c r="P182" s="4">
        <f t="shared" si="137"/>
        <v>4.3683491252434719</v>
      </c>
      <c r="Q182" s="386">
        <f t="shared" si="138"/>
        <v>4.1940679743340619</v>
      </c>
      <c r="R182" s="386">
        <f t="shared" si="173"/>
        <v>0.23658535543782561</v>
      </c>
      <c r="S182" s="386">
        <f t="shared" si="174"/>
        <v>0.60789403033010547</v>
      </c>
      <c r="T182" s="386">
        <f t="shared" si="175"/>
        <v>0.84447938576793113</v>
      </c>
      <c r="U182" s="4">
        <f t="shared" si="139"/>
        <v>1.2610337716867925</v>
      </c>
      <c r="V182" s="386">
        <f t="shared" si="176"/>
        <v>4.2935566680034676E-2</v>
      </c>
      <c r="W182" s="386">
        <f t="shared" si="177"/>
        <v>4.2935566680034676E-2</v>
      </c>
      <c r="X182" s="386">
        <f t="shared" si="140"/>
        <v>2.0303500159362753</v>
      </c>
      <c r="Y182" s="386">
        <f t="shared" si="178"/>
        <v>0.13191427799079788</v>
      </c>
      <c r="Z182" s="603">
        <f t="shared" si="179"/>
        <v>0.13191427799079788</v>
      </c>
      <c r="AA182" s="386">
        <f t="shared" si="141"/>
        <v>2.568033159980704</v>
      </c>
      <c r="AB182" s="386">
        <f t="shared" si="142"/>
        <v>6.5947943107604795E-2</v>
      </c>
      <c r="AC182" s="386">
        <f t="shared" si="143"/>
        <v>0.5201180128829791</v>
      </c>
      <c r="AD182">
        <f t="shared" si="144"/>
        <v>0</v>
      </c>
      <c r="AE182" s="386">
        <f t="shared" si="145"/>
        <v>0.59517204229092724</v>
      </c>
      <c r="AF182" s="386">
        <f t="shared" si="146"/>
        <v>3.3159330304718373</v>
      </c>
      <c r="AG182" s="386">
        <f t="shared" si="147"/>
        <v>0.10995411862574143</v>
      </c>
      <c r="AH182" s="386">
        <f t="shared" si="148"/>
        <v>0.19239999999999999</v>
      </c>
      <c r="AI182" s="386">
        <f t="shared" si="149"/>
        <v>0.31026887773503958</v>
      </c>
      <c r="AJ182" s="386">
        <f t="shared" si="150"/>
        <v>0</v>
      </c>
      <c r="AK182" s="386">
        <f t="shared" si="151"/>
        <v>0</v>
      </c>
      <c r="AL182" s="386">
        <f t="shared" si="152"/>
        <v>0</v>
      </c>
      <c r="AM182">
        <f t="shared" si="153"/>
        <v>0</v>
      </c>
      <c r="AN182" s="386">
        <f t="shared" si="154"/>
        <v>0</v>
      </c>
      <c r="AO182" s="386">
        <f t="shared" si="155"/>
        <v>4.1940679743340619</v>
      </c>
      <c r="AP182" s="386">
        <f t="shared" si="156"/>
        <v>0.17590206173334622</v>
      </c>
      <c r="AQ182" s="386">
        <f t="shared" si="157"/>
        <v>0</v>
      </c>
      <c r="AR182" s="386">
        <f t="shared" si="158"/>
        <v>0.18338590830575349</v>
      </c>
      <c r="AS182" s="386">
        <f t="shared" si="159"/>
        <v>0.17590206173334622</v>
      </c>
      <c r="AT182" s="386">
        <f t="shared" si="160"/>
        <v>0</v>
      </c>
      <c r="AU182" s="386">
        <f t="shared" si="161"/>
        <v>0.11956550000000002</v>
      </c>
      <c r="AV182" s="386">
        <f t="shared" si="162"/>
        <v>0.16493117793861214</v>
      </c>
      <c r="AW182" s="386">
        <f t="shared" si="163"/>
        <v>6.5920000000000006E-2</v>
      </c>
      <c r="AX182" s="386">
        <f t="shared" si="164"/>
        <v>3.6000000000000004E-2</v>
      </c>
      <c r="AY182" s="386">
        <f t="shared" si="165"/>
        <v>0.40226399999999995</v>
      </c>
      <c r="AZ182" s="386">
        <f t="shared" si="166"/>
        <v>0.30415082926829268</v>
      </c>
      <c r="BA182" s="386">
        <f t="shared" si="180"/>
        <v>0.43826399999999999</v>
      </c>
      <c r="BB182" s="386">
        <f t="shared" si="181"/>
        <v>2.8968367367090964</v>
      </c>
      <c r="BC182">
        <f t="shared" si="167"/>
        <v>48</v>
      </c>
      <c r="BD182" s="604">
        <f t="shared" si="182"/>
        <v>0.94308414977350119</v>
      </c>
      <c r="BE182" s="614">
        <f t="shared" si="168"/>
        <v>41.454777452873778</v>
      </c>
      <c r="BF182" s="614">
        <f t="shared" si="169"/>
        <v>17.995594908632295</v>
      </c>
      <c r="BG182" s="9"/>
      <c r="BH182" s="4">
        <f t="shared" si="183"/>
        <v>94.308414977350125</v>
      </c>
      <c r="BI182" s="386">
        <f t="shared" si="184"/>
        <v>0.84447938576793113</v>
      </c>
      <c r="BJ182" s="386">
        <f t="shared" si="185"/>
        <v>1.2083923283317202</v>
      </c>
      <c r="BK182" s="386">
        <f t="shared" si="186"/>
        <v>0.34972549273503961</v>
      </c>
      <c r="BL182" s="386">
        <f t="shared" si="187"/>
        <v>0.16493117793861214</v>
      </c>
    </row>
    <row r="183" spans="7:64" x14ac:dyDescent="0.2">
      <c r="G183">
        <v>174</v>
      </c>
      <c r="H183" s="610">
        <f t="shared" si="131"/>
        <v>32.489999999999995</v>
      </c>
      <c r="I183" s="4" t="str">
        <f t="shared" si="132"/>
        <v>BUCK</v>
      </c>
      <c r="J183">
        <f t="shared" si="170"/>
        <v>1</v>
      </c>
      <c r="K183">
        <f t="shared" si="133"/>
        <v>4</v>
      </c>
      <c r="L183" s="4">
        <f t="shared" si="134"/>
        <v>1.6415307274033037</v>
      </c>
      <c r="M183" s="4">
        <f t="shared" si="135"/>
        <v>4</v>
      </c>
      <c r="N183" s="386">
        <f t="shared" si="136"/>
        <v>0.373357910906298</v>
      </c>
      <c r="O183" s="386">
        <f t="shared" si="172"/>
        <v>0</v>
      </c>
      <c r="P183" s="4">
        <f t="shared" si="137"/>
        <v>4.3792156298665557</v>
      </c>
      <c r="Q183" s="386">
        <f t="shared" si="138"/>
        <v>4.1950122122673603</v>
      </c>
      <c r="R183" s="386">
        <f t="shared" si="173"/>
        <v>0.23669391283371105</v>
      </c>
      <c r="S183" s="386">
        <f t="shared" si="174"/>
        <v>0.61138372045286959</v>
      </c>
      <c r="T183" s="386">
        <f t="shared" si="175"/>
        <v>0.8480776332865807</v>
      </c>
      <c r="U183" s="4">
        <f t="shared" si="139"/>
        <v>1.2641706613714363</v>
      </c>
      <c r="V183" s="386">
        <f t="shared" si="176"/>
        <v>4.3149441448951956E-2</v>
      </c>
      <c r="W183" s="386">
        <f t="shared" si="177"/>
        <v>4.3149441448951956E-2</v>
      </c>
      <c r="X183" s="386">
        <f t="shared" si="140"/>
        <v>2.0291104572715293</v>
      </c>
      <c r="Y183" s="386">
        <f t="shared" si="178"/>
        <v>0.13175325592987758</v>
      </c>
      <c r="Z183" s="603">
        <f t="shared" si="179"/>
        <v>0.13175325592987758</v>
      </c>
      <c r="AA183" s="386">
        <f t="shared" si="141"/>
        <v>2.5632791702677853</v>
      </c>
      <c r="AB183" s="386">
        <f t="shared" si="142"/>
        <v>6.5704001047287061E-2</v>
      </c>
      <c r="AC183" s="386">
        <f t="shared" si="143"/>
        <v>0.52228818539848521</v>
      </c>
      <c r="AD183">
        <f t="shared" si="144"/>
        <v>0</v>
      </c>
      <c r="AE183" s="386">
        <f t="shared" si="145"/>
        <v>0.5970938845193714</v>
      </c>
      <c r="AF183" s="386">
        <f t="shared" si="146"/>
        <v>3.3208022157821429</v>
      </c>
      <c r="AG183" s="386">
        <f t="shared" si="147"/>
        <v>0.1102772735634359</v>
      </c>
      <c r="AH183" s="386">
        <f t="shared" si="148"/>
        <v>0.19239999999999999</v>
      </c>
      <c r="AI183" s="386">
        <f t="shared" si="149"/>
        <v>0.31062438966784722</v>
      </c>
      <c r="AJ183" s="386">
        <f t="shared" si="150"/>
        <v>0</v>
      </c>
      <c r="AK183" s="386">
        <f t="shared" si="151"/>
        <v>0</v>
      </c>
      <c r="AL183" s="386">
        <f t="shared" si="152"/>
        <v>0</v>
      </c>
      <c r="AM183">
        <f t="shared" si="153"/>
        <v>0</v>
      </c>
      <c r="AN183" s="386">
        <f t="shared" si="154"/>
        <v>0</v>
      </c>
      <c r="AO183" s="386">
        <f t="shared" si="155"/>
        <v>4.1950122122673603</v>
      </c>
      <c r="AP183" s="386">
        <f t="shared" si="156"/>
        <v>0.17598127461072291</v>
      </c>
      <c r="AQ183" s="386">
        <f t="shared" si="157"/>
        <v>0</v>
      </c>
      <c r="AR183" s="386">
        <f t="shared" si="158"/>
        <v>0.1834720065255121</v>
      </c>
      <c r="AS183" s="386">
        <f t="shared" si="159"/>
        <v>0.17598127461072291</v>
      </c>
      <c r="AT183" s="386">
        <f t="shared" si="160"/>
        <v>0</v>
      </c>
      <c r="AU183" s="386">
        <f t="shared" si="161"/>
        <v>0.12006499999999999</v>
      </c>
      <c r="AV183" s="386">
        <f t="shared" si="162"/>
        <v>0.16541591034515385</v>
      </c>
      <c r="AW183" s="386">
        <f t="shared" si="163"/>
        <v>6.5920000000000006E-2</v>
      </c>
      <c r="AX183" s="386">
        <f t="shared" si="164"/>
        <v>3.6000000000000004E-2</v>
      </c>
      <c r="AY183" s="386">
        <f t="shared" si="165"/>
        <v>0.40226399999999995</v>
      </c>
      <c r="AZ183" s="386">
        <f t="shared" si="166"/>
        <v>0.30415082926829268</v>
      </c>
      <c r="BA183" s="386">
        <f t="shared" si="180"/>
        <v>0.43826399999999999</v>
      </c>
      <c r="BB183" s="386">
        <f t="shared" si="181"/>
        <v>2.9038355217232952</v>
      </c>
      <c r="BC183">
        <f t="shared" si="167"/>
        <v>48</v>
      </c>
      <c r="BD183" s="604">
        <f t="shared" si="182"/>
        <v>0.9429544848249386</v>
      </c>
      <c r="BE183" s="614">
        <f t="shared" si="168"/>
        <v>41.595215302123542</v>
      </c>
      <c r="BF183" s="614">
        <f t="shared" si="169"/>
        <v>18.01621460073514</v>
      </c>
      <c r="BG183" s="9"/>
      <c r="BH183" s="4">
        <f t="shared" si="183"/>
        <v>94.295448482493853</v>
      </c>
      <c r="BI183" s="386">
        <f t="shared" si="184"/>
        <v>0.8480776332865807</v>
      </c>
      <c r="BJ183" s="386">
        <f t="shared" si="185"/>
        <v>1.2112552807127308</v>
      </c>
      <c r="BK183" s="386">
        <f t="shared" si="186"/>
        <v>0.35024583966784723</v>
      </c>
      <c r="BL183" s="386">
        <f t="shared" si="187"/>
        <v>0.16541591034515385</v>
      </c>
    </row>
    <row r="184" spans="7:64" x14ac:dyDescent="0.2">
      <c r="G184">
        <v>175</v>
      </c>
      <c r="H184" s="610">
        <f t="shared" si="131"/>
        <v>32.625</v>
      </c>
      <c r="I184" s="4" t="str">
        <f t="shared" si="132"/>
        <v>BUCK</v>
      </c>
      <c r="J184">
        <f t="shared" si="170"/>
        <v>1</v>
      </c>
      <c r="K184">
        <f t="shared" si="133"/>
        <v>4</v>
      </c>
      <c r="L184" s="4">
        <f t="shared" si="134"/>
        <v>1.6347381864623243</v>
      </c>
      <c r="M184" s="4">
        <f t="shared" si="135"/>
        <v>4</v>
      </c>
      <c r="N184" s="386">
        <f t="shared" si="136"/>
        <v>0.37181581765335775</v>
      </c>
      <c r="O184" s="386">
        <f t="shared" si="172"/>
        <v>0</v>
      </c>
      <c r="P184" s="4">
        <f t="shared" si="137"/>
        <v>4.3899923698805488</v>
      </c>
      <c r="Q184" s="386">
        <f t="shared" si="138"/>
        <v>4.1959507564596272</v>
      </c>
      <c r="R184" s="386">
        <f t="shared" si="173"/>
        <v>0.23680184168142465</v>
      </c>
      <c r="S184" s="386">
        <f t="shared" si="174"/>
        <v>0.61485575357532973</v>
      </c>
      <c r="T184" s="386">
        <f t="shared" si="175"/>
        <v>0.85165759525675444</v>
      </c>
      <c r="U184" s="4">
        <f t="shared" si="139"/>
        <v>1.267281638245469</v>
      </c>
      <c r="V184" s="386">
        <f t="shared" si="176"/>
        <v>4.3362074267121235E-2</v>
      </c>
      <c r="W184" s="386">
        <f t="shared" si="177"/>
        <v>4.3362074267121235E-2</v>
      </c>
      <c r="X184" s="386">
        <f t="shared" si="140"/>
        <v>2.0278592668936595</v>
      </c>
      <c r="Y184" s="386">
        <f t="shared" si="178"/>
        <v>0.13159082260244767</v>
      </c>
      <c r="Z184" s="603">
        <f t="shared" si="179"/>
        <v>0.13159082260244767</v>
      </c>
      <c r="AA184" s="386">
        <f t="shared" si="141"/>
        <v>2.5585523853019483</v>
      </c>
      <c r="AB184" s="386">
        <f t="shared" si="142"/>
        <v>6.546190308334289E-2</v>
      </c>
      <c r="AC184" s="386">
        <f t="shared" si="143"/>
        <v>0.52445835791399142</v>
      </c>
      <c r="AD184">
        <f t="shared" si="144"/>
        <v>0</v>
      </c>
      <c r="AE184" s="386">
        <f t="shared" si="145"/>
        <v>0.59901763862567736</v>
      </c>
      <c r="AF184" s="386">
        <f t="shared" si="146"/>
        <v>3.3256296309570956</v>
      </c>
      <c r="AG184" s="386">
        <f t="shared" si="147"/>
        <v>0.11059812442299828</v>
      </c>
      <c r="AH184" s="386">
        <f t="shared" si="148"/>
        <v>0.19239999999999999</v>
      </c>
      <c r="AI184" s="386">
        <f t="shared" si="149"/>
        <v>0.31097742094572184</v>
      </c>
      <c r="AJ184" s="386">
        <f t="shared" si="150"/>
        <v>0</v>
      </c>
      <c r="AK184" s="386">
        <f t="shared" si="151"/>
        <v>0</v>
      </c>
      <c r="AL184" s="386">
        <f t="shared" si="152"/>
        <v>0</v>
      </c>
      <c r="AM184">
        <f t="shared" si="153"/>
        <v>0</v>
      </c>
      <c r="AN184" s="386">
        <f t="shared" si="154"/>
        <v>0</v>
      </c>
      <c r="AO184" s="386">
        <f t="shared" si="155"/>
        <v>4.1959507564596272</v>
      </c>
      <c r="AP184" s="386">
        <f t="shared" si="156"/>
        <v>0.1760600275063412</v>
      </c>
      <c r="AQ184" s="386">
        <f t="shared" si="157"/>
        <v>0</v>
      </c>
      <c r="AR184" s="386">
        <f t="shared" si="158"/>
        <v>0.18355760805157476</v>
      </c>
      <c r="AS184" s="386">
        <f t="shared" si="159"/>
        <v>0.1760600275063412</v>
      </c>
      <c r="AT184" s="386">
        <f t="shared" si="160"/>
        <v>0</v>
      </c>
      <c r="AU184" s="386">
        <f t="shared" si="161"/>
        <v>0.1205645</v>
      </c>
      <c r="AV184" s="386">
        <f t="shared" si="162"/>
        <v>0.1658971866344974</v>
      </c>
      <c r="AW184" s="386">
        <f t="shared" si="163"/>
        <v>6.5920000000000006E-2</v>
      </c>
      <c r="AX184" s="386">
        <f t="shared" si="164"/>
        <v>3.6000000000000004E-2</v>
      </c>
      <c r="AY184" s="386">
        <f t="shared" si="165"/>
        <v>0.40226399999999995</v>
      </c>
      <c r="AZ184" s="386">
        <f t="shared" si="166"/>
        <v>0.30415082926829268</v>
      </c>
      <c r="BA184" s="386">
        <f t="shared" si="180"/>
        <v>0.43826399999999999</v>
      </c>
      <c r="BB184" s="386">
        <f t="shared" si="181"/>
        <v>2.9108088463837944</v>
      </c>
      <c r="BC184">
        <f t="shared" si="167"/>
        <v>48</v>
      </c>
      <c r="BD184" s="604">
        <f t="shared" si="182"/>
        <v>0.94282532703091104</v>
      </c>
      <c r="BE184" s="614">
        <f t="shared" si="168"/>
        <v>41.735764040289283</v>
      </c>
      <c r="BF184" s="614">
        <f t="shared" si="169"/>
        <v>18.036690414851865</v>
      </c>
      <c r="BG184" s="9"/>
      <c r="BH184" s="4">
        <f t="shared" si="183"/>
        <v>94.282532703091107</v>
      </c>
      <c r="BI184" s="386">
        <f t="shared" si="184"/>
        <v>0.85165759525675444</v>
      </c>
      <c r="BJ184" s="386">
        <f t="shared" si="185"/>
        <v>1.2141171676229741</v>
      </c>
      <c r="BK184" s="386">
        <f t="shared" si="186"/>
        <v>0.35076370594572182</v>
      </c>
      <c r="BL184" s="386">
        <f t="shared" si="187"/>
        <v>0.1658971866344974</v>
      </c>
    </row>
    <row r="185" spans="7:64" x14ac:dyDescent="0.2">
      <c r="G185">
        <v>176</v>
      </c>
      <c r="H185" s="610">
        <f t="shared" si="131"/>
        <v>32.760000000000005</v>
      </c>
      <c r="I185" s="4" t="str">
        <f t="shared" si="132"/>
        <v>BUCK</v>
      </c>
      <c r="J185">
        <f t="shared" si="170"/>
        <v>1</v>
      </c>
      <c r="K185">
        <f t="shared" si="133"/>
        <v>4</v>
      </c>
      <c r="L185" s="4">
        <f t="shared" si="134"/>
        <v>1.6280016280016276</v>
      </c>
      <c r="M185" s="4">
        <f t="shared" si="135"/>
        <v>4</v>
      </c>
      <c r="N185" s="386">
        <f t="shared" si="136"/>
        <v>0.37028641072516749</v>
      </c>
      <c r="O185" s="386">
        <f t="shared" si="172"/>
        <v>0</v>
      </c>
      <c r="P185" s="4">
        <f t="shared" si="137"/>
        <v>4.4006804529840053</v>
      </c>
      <c r="Q185" s="386">
        <f t="shared" si="138"/>
        <v>4.196883649897023</v>
      </c>
      <c r="R185" s="386">
        <f t="shared" si="173"/>
        <v>0.23690914645455058</v>
      </c>
      <c r="S185" s="386">
        <f t="shared" si="174"/>
        <v>0.61831021852486068</v>
      </c>
      <c r="T185" s="386">
        <f t="shared" si="175"/>
        <v>0.85521936497941131</v>
      </c>
      <c r="U185" s="4">
        <f t="shared" si="139"/>
        <v>1.27036702207392</v>
      </c>
      <c r="V185" s="386">
        <f t="shared" si="176"/>
        <v>4.357347401086991E-2</v>
      </c>
      <c r="W185" s="386">
        <f t="shared" si="177"/>
        <v>4.357347401086991E-2</v>
      </c>
      <c r="X185" s="386">
        <f t="shared" si="140"/>
        <v>2.0265967843346799</v>
      </c>
      <c r="Y185" s="386">
        <f t="shared" si="178"/>
        <v>0.13142702484082128</v>
      </c>
      <c r="Z185" s="603">
        <f t="shared" si="179"/>
        <v>0.13142702484082128</v>
      </c>
      <c r="AA185" s="386">
        <f t="shared" si="141"/>
        <v>2.5538525344444389</v>
      </c>
      <c r="AB185" s="386">
        <f t="shared" si="142"/>
        <v>6.5221627676882846E-2</v>
      </c>
      <c r="AC185" s="386">
        <f t="shared" si="143"/>
        <v>0.52662853042949764</v>
      </c>
      <c r="AD185">
        <f t="shared" si="144"/>
        <v>0</v>
      </c>
      <c r="AE185" s="386">
        <f t="shared" si="145"/>
        <v>0.60094328187092594</v>
      </c>
      <c r="AF185" s="386">
        <f t="shared" si="146"/>
        <v>3.3304158303558236</v>
      </c>
      <c r="AG185" s="386">
        <f t="shared" si="147"/>
        <v>0.1109166960308467</v>
      </c>
      <c r="AH185" s="386">
        <f t="shared" si="148"/>
        <v>0.19239999999999999</v>
      </c>
      <c r="AI185" s="386">
        <f t="shared" si="149"/>
        <v>0.31132799774165215</v>
      </c>
      <c r="AJ185" s="386">
        <f t="shared" si="150"/>
        <v>0</v>
      </c>
      <c r="AK185" s="386">
        <f t="shared" si="151"/>
        <v>0</v>
      </c>
      <c r="AL185" s="386">
        <f t="shared" si="152"/>
        <v>0</v>
      </c>
      <c r="AM185">
        <f t="shared" si="153"/>
        <v>0</v>
      </c>
      <c r="AN185" s="386">
        <f t="shared" si="154"/>
        <v>0</v>
      </c>
      <c r="AO185" s="386">
        <f t="shared" si="155"/>
        <v>4.196883649897023</v>
      </c>
      <c r="AP185" s="386">
        <f t="shared" si="156"/>
        <v>0.17613832370772958</v>
      </c>
      <c r="AQ185" s="386">
        <f t="shared" si="157"/>
        <v>0</v>
      </c>
      <c r="AR185" s="386">
        <f t="shared" si="158"/>
        <v>0.18364271640061111</v>
      </c>
      <c r="AS185" s="386">
        <f t="shared" si="159"/>
        <v>0.17613832370772958</v>
      </c>
      <c r="AT185" s="386">
        <f t="shared" si="160"/>
        <v>0</v>
      </c>
      <c r="AU185" s="386">
        <f t="shared" si="161"/>
        <v>0.12106400000000003</v>
      </c>
      <c r="AV185" s="386">
        <f t="shared" si="162"/>
        <v>0.16637504404627004</v>
      </c>
      <c r="AW185" s="386">
        <f t="shared" si="163"/>
        <v>6.5920000000000006E-2</v>
      </c>
      <c r="AX185" s="386">
        <f t="shared" si="164"/>
        <v>3.6000000000000004E-2</v>
      </c>
      <c r="AY185" s="386">
        <f t="shared" si="165"/>
        <v>0.40226399999999995</v>
      </c>
      <c r="AZ185" s="386">
        <f t="shared" si="166"/>
        <v>0.30415082926829268</v>
      </c>
      <c r="BA185" s="386">
        <f t="shared" si="180"/>
        <v>0.43826399999999999</v>
      </c>
      <c r="BB185" s="386">
        <f t="shared" si="181"/>
        <v>2.9177569038905622</v>
      </c>
      <c r="BC185">
        <f t="shared" si="167"/>
        <v>48</v>
      </c>
      <c r="BD185" s="604">
        <f t="shared" si="182"/>
        <v>0.94269667241237765</v>
      </c>
      <c r="BE185" s="614">
        <f t="shared" si="168"/>
        <v>41.876422348513707</v>
      </c>
      <c r="BF185" s="614">
        <f t="shared" si="169"/>
        <v>18.057023869015826</v>
      </c>
      <c r="BG185" s="9"/>
      <c r="BH185" s="4">
        <f t="shared" si="183"/>
        <v>94.269667241237769</v>
      </c>
      <c r="BI185" s="386">
        <f t="shared" si="184"/>
        <v>0.85521936497941131</v>
      </c>
      <c r="BJ185" s="386">
        <f t="shared" si="185"/>
        <v>1.2169779960131892</v>
      </c>
      <c r="BK185" s="386">
        <f t="shared" si="186"/>
        <v>0.35127911774165216</v>
      </c>
      <c r="BL185" s="386">
        <f t="shared" si="187"/>
        <v>0.16637504404627004</v>
      </c>
    </row>
    <row r="186" spans="7:64" x14ac:dyDescent="0.2">
      <c r="G186">
        <v>177</v>
      </c>
      <c r="H186" s="610">
        <f t="shared" si="131"/>
        <v>32.894999999999996</v>
      </c>
      <c r="I186" s="4" t="str">
        <f t="shared" si="132"/>
        <v>BUCK</v>
      </c>
      <c r="J186">
        <f t="shared" si="170"/>
        <v>1</v>
      </c>
      <c r="K186">
        <f t="shared" si="133"/>
        <v>4</v>
      </c>
      <c r="L186" s="4">
        <f t="shared" si="134"/>
        <v>1.6213203627704313</v>
      </c>
      <c r="M186" s="4">
        <f t="shared" si="135"/>
        <v>4</v>
      </c>
      <c r="N186" s="386">
        <f t="shared" si="136"/>
        <v>0.3687695342133212</v>
      </c>
      <c r="O186" s="386">
        <f t="shared" si="172"/>
        <v>0</v>
      </c>
      <c r="P186" s="4">
        <f t="shared" si="137"/>
        <v>4.4112809687247561</v>
      </c>
      <c r="Q186" s="386">
        <f t="shared" si="138"/>
        <v>4.1978109353272179</v>
      </c>
      <c r="R186" s="386">
        <f t="shared" si="173"/>
        <v>0.23701583160675471</v>
      </c>
      <c r="S186" s="386">
        <f t="shared" si="174"/>
        <v>0.62174720463234234</v>
      </c>
      <c r="T186" s="386">
        <f t="shared" si="175"/>
        <v>0.858763036239097</v>
      </c>
      <c r="U186" s="4">
        <f t="shared" si="139"/>
        <v>1.2734271273821556</v>
      </c>
      <c r="V186" s="386">
        <f t="shared" si="176"/>
        <v>4.3783649516324755E-2</v>
      </c>
      <c r="W186" s="386">
        <f t="shared" si="177"/>
        <v>4.3783649516324755E-2</v>
      </c>
      <c r="X186" s="386">
        <f t="shared" si="140"/>
        <v>2.0253233405614925</v>
      </c>
      <c r="Y186" s="386">
        <f t="shared" si="178"/>
        <v>0.13126190828234124</v>
      </c>
      <c r="Z186" s="603">
        <f t="shared" si="179"/>
        <v>0.13126190828234124</v>
      </c>
      <c r="AA186" s="386">
        <f t="shared" si="141"/>
        <v>2.5491793510159826</v>
      </c>
      <c r="AB186" s="386">
        <f t="shared" si="142"/>
        <v>6.4983153636462662E-2</v>
      </c>
      <c r="AC186" s="386">
        <f t="shared" si="143"/>
        <v>0.52879870294500364</v>
      </c>
      <c r="AD186">
        <f t="shared" si="144"/>
        <v>0</v>
      </c>
      <c r="AE186" s="386">
        <f t="shared" si="145"/>
        <v>0.6028707918892745</v>
      </c>
      <c r="AF186" s="386">
        <f t="shared" si="146"/>
        <v>3.3351613581814155</v>
      </c>
      <c r="AG186" s="386">
        <f t="shared" si="147"/>
        <v>0.11123301285106503</v>
      </c>
      <c r="AH186" s="386">
        <f t="shared" si="148"/>
        <v>0.19239999999999999</v>
      </c>
      <c r="AI186" s="386">
        <f t="shared" si="149"/>
        <v>0.31167614585408565</v>
      </c>
      <c r="AJ186" s="386">
        <f t="shared" si="150"/>
        <v>0</v>
      </c>
      <c r="AK186" s="386">
        <f t="shared" si="151"/>
        <v>0</v>
      </c>
      <c r="AL186" s="386">
        <f t="shared" si="152"/>
        <v>0</v>
      </c>
      <c r="AM186">
        <f t="shared" si="153"/>
        <v>0</v>
      </c>
      <c r="AN186" s="386">
        <f t="shared" si="154"/>
        <v>0</v>
      </c>
      <c r="AO186" s="386">
        <f t="shared" si="155"/>
        <v>4.1978109353272179</v>
      </c>
      <c r="AP186" s="386">
        <f t="shared" si="156"/>
        <v>0.17621616648752775</v>
      </c>
      <c r="AQ186" s="386">
        <f t="shared" si="157"/>
        <v>0</v>
      </c>
      <c r="AR186" s="386">
        <f t="shared" si="158"/>
        <v>0.18372733507397124</v>
      </c>
      <c r="AS186" s="386">
        <f t="shared" si="159"/>
        <v>0.17621616648752775</v>
      </c>
      <c r="AT186" s="386">
        <f t="shared" si="160"/>
        <v>0</v>
      </c>
      <c r="AU186" s="386">
        <f t="shared" si="161"/>
        <v>0.12156349999999999</v>
      </c>
      <c r="AV186" s="386">
        <f t="shared" si="162"/>
        <v>0.16684951927659755</v>
      </c>
      <c r="AW186" s="386">
        <f t="shared" si="163"/>
        <v>6.5920000000000006E-2</v>
      </c>
      <c r="AX186" s="386">
        <f t="shared" si="164"/>
        <v>3.6000000000000004E-2</v>
      </c>
      <c r="AY186" s="386">
        <f t="shared" si="165"/>
        <v>0.40226399999999995</v>
      </c>
      <c r="AZ186" s="386">
        <f t="shared" si="166"/>
        <v>0.30415082926829268</v>
      </c>
      <c r="BA186" s="386">
        <f t="shared" si="180"/>
        <v>0.43826399999999999</v>
      </c>
      <c r="BB186" s="386">
        <f t="shared" si="181"/>
        <v>2.9246798861316927</v>
      </c>
      <c r="BC186">
        <f t="shared" si="167"/>
        <v>48</v>
      </c>
      <c r="BD186" s="604">
        <f t="shared" si="182"/>
        <v>0.94256851702020872</v>
      </c>
      <c r="BE186" s="614">
        <f t="shared" si="168"/>
        <v>42.017188929577927</v>
      </c>
      <c r="BF186" s="614">
        <f t="shared" si="169"/>
        <v>18.077216459536967</v>
      </c>
      <c r="BG186" s="9"/>
      <c r="BH186" s="4">
        <f t="shared" si="183"/>
        <v>94.256851702020867</v>
      </c>
      <c r="BI186" s="386">
        <f t="shared" si="184"/>
        <v>0.858763036239097</v>
      </c>
      <c r="BJ186" s="386">
        <f t="shared" si="185"/>
        <v>1.2198377728173313</v>
      </c>
      <c r="BK186" s="386">
        <f t="shared" si="186"/>
        <v>0.35179210085408563</v>
      </c>
      <c r="BL186" s="386">
        <f t="shared" si="187"/>
        <v>0.16684951927659755</v>
      </c>
    </row>
    <row r="187" spans="7:64" x14ac:dyDescent="0.2">
      <c r="G187">
        <v>178</v>
      </c>
      <c r="H187" s="610">
        <f t="shared" si="131"/>
        <v>33.03</v>
      </c>
      <c r="I187" s="4" t="str">
        <f t="shared" si="132"/>
        <v>BUCK</v>
      </c>
      <c r="J187">
        <f t="shared" si="170"/>
        <v>1</v>
      </c>
      <c r="K187">
        <f t="shared" si="133"/>
        <v>4</v>
      </c>
      <c r="L187" s="4">
        <f t="shared" si="134"/>
        <v>1.6146937127863559</v>
      </c>
      <c r="M187" s="4">
        <f t="shared" si="135"/>
        <v>4</v>
      </c>
      <c r="N187" s="386">
        <f t="shared" si="136"/>
        <v>0.36726503475370198</v>
      </c>
      <c r="O187" s="386">
        <f t="shared" si="172"/>
        <v>0</v>
      </c>
      <c r="P187" s="4">
        <f t="shared" si="137"/>
        <v>4.421794988870162</v>
      </c>
      <c r="Q187" s="386">
        <f t="shared" si="138"/>
        <v>4.1987326552544131</v>
      </c>
      <c r="R187" s="386">
        <f t="shared" si="173"/>
        <v>0.23712190157110893</v>
      </c>
      <c r="S187" s="386">
        <f t="shared" si="174"/>
        <v>0.62516680168539063</v>
      </c>
      <c r="T187" s="386">
        <f t="shared" si="175"/>
        <v>0.86228870325649953</v>
      </c>
      <c r="U187" s="4">
        <f t="shared" si="139"/>
        <v>1.2764622635627632</v>
      </c>
      <c r="V187" s="386">
        <f t="shared" si="176"/>
        <v>4.3992609578093873E-2</v>
      </c>
      <c r="W187" s="386">
        <f t="shared" si="177"/>
        <v>4.3992609578093873E-2</v>
      </c>
      <c r="X187" s="386">
        <f t="shared" si="140"/>
        <v>2.0240392582170474</v>
      </c>
      <c r="Y187" s="386">
        <f t="shared" si="178"/>
        <v>0.13109551740172209</v>
      </c>
      <c r="Z187" s="603">
        <f t="shared" si="179"/>
        <v>0.13109551740172209</v>
      </c>
      <c r="AA187" s="386">
        <f t="shared" si="141"/>
        <v>2.5445325722186438</v>
      </c>
      <c r="AB187" s="386">
        <f t="shared" si="142"/>
        <v>6.4746460110816278E-2</v>
      </c>
      <c r="AC187" s="386">
        <f t="shared" si="143"/>
        <v>0.53096887546050997</v>
      </c>
      <c r="AD187">
        <f t="shared" si="144"/>
        <v>0</v>
      </c>
      <c r="AE187" s="386">
        <f t="shared" si="145"/>
        <v>0.60480014668003845</v>
      </c>
      <c r="AF187" s="386">
        <f t="shared" si="146"/>
        <v>3.3398667487218927</v>
      </c>
      <c r="AG187" s="386">
        <f t="shared" si="147"/>
        <v>0.11154709899218146</v>
      </c>
      <c r="AH187" s="386">
        <f t="shared" si="148"/>
        <v>0.19239999999999999</v>
      </c>
      <c r="AI187" s="386">
        <f t="shared" si="149"/>
        <v>0.31202189071381553</v>
      </c>
      <c r="AJ187" s="386">
        <f t="shared" si="150"/>
        <v>0</v>
      </c>
      <c r="AK187" s="386">
        <f t="shared" si="151"/>
        <v>0</v>
      </c>
      <c r="AL187" s="386">
        <f t="shared" si="152"/>
        <v>0</v>
      </c>
      <c r="AM187">
        <f t="shared" si="153"/>
        <v>0</v>
      </c>
      <c r="AN187" s="386">
        <f t="shared" si="154"/>
        <v>0</v>
      </c>
      <c r="AO187" s="386">
        <f t="shared" si="155"/>
        <v>4.1987326552544131</v>
      </c>
      <c r="AP187" s="386">
        <f t="shared" si="156"/>
        <v>0.17629355910299777</v>
      </c>
      <c r="AQ187" s="386">
        <f t="shared" si="157"/>
        <v>0</v>
      </c>
      <c r="AR187" s="386">
        <f t="shared" si="158"/>
        <v>0.18381146755714359</v>
      </c>
      <c r="AS187" s="386">
        <f t="shared" si="159"/>
        <v>0.17629355910299777</v>
      </c>
      <c r="AT187" s="386">
        <f t="shared" si="160"/>
        <v>0</v>
      </c>
      <c r="AU187" s="386">
        <f t="shared" si="161"/>
        <v>0.12206300000000002</v>
      </c>
      <c r="AV187" s="386">
        <f t="shared" si="162"/>
        <v>0.16732064848827219</v>
      </c>
      <c r="AW187" s="386">
        <f t="shared" si="163"/>
        <v>6.5920000000000006E-2</v>
      </c>
      <c r="AX187" s="386">
        <f t="shared" si="164"/>
        <v>3.6000000000000004E-2</v>
      </c>
      <c r="AY187" s="386">
        <f t="shared" si="165"/>
        <v>0.40226399999999995</v>
      </c>
      <c r="AZ187" s="386">
        <f t="shared" si="166"/>
        <v>0.30415082926829268</v>
      </c>
      <c r="BA187" s="386">
        <f t="shared" si="180"/>
        <v>0.43826399999999999</v>
      </c>
      <c r="BB187" s="386">
        <f t="shared" si="181"/>
        <v>2.9315779836755853</v>
      </c>
      <c r="BC187">
        <f t="shared" si="167"/>
        <v>48</v>
      </c>
      <c r="BD187" s="604">
        <f t="shared" si="182"/>
        <v>0.94244085693525526</v>
      </c>
      <c r="BE187" s="614">
        <f t="shared" si="168"/>
        <v>42.158062507442231</v>
      </c>
      <c r="BF187" s="614">
        <f t="shared" si="169"/>
        <v>18.097269661401302</v>
      </c>
      <c r="BG187" s="9"/>
      <c r="BH187" s="4">
        <f t="shared" si="183"/>
        <v>94.24408569352552</v>
      </c>
      <c r="BI187" s="386">
        <f t="shared" si="184"/>
        <v>0.86228870325649953</v>
      </c>
      <c r="BJ187" s="386">
        <f t="shared" si="185"/>
        <v>1.2226965049509977</v>
      </c>
      <c r="BK187" s="386">
        <f t="shared" si="186"/>
        <v>0.35230268071381554</v>
      </c>
      <c r="BL187" s="386">
        <f t="shared" si="187"/>
        <v>0.16732064848827219</v>
      </c>
    </row>
    <row r="188" spans="7:64" x14ac:dyDescent="0.2">
      <c r="G188">
        <v>179</v>
      </c>
      <c r="H188" s="610">
        <f t="shared" si="131"/>
        <v>33.164999999999999</v>
      </c>
      <c r="I188" s="4" t="str">
        <f t="shared" si="132"/>
        <v>BUCK</v>
      </c>
      <c r="J188">
        <f t="shared" si="170"/>
        <v>1</v>
      </c>
      <c r="K188">
        <f t="shared" si="133"/>
        <v>4</v>
      </c>
      <c r="L188" s="4">
        <f t="shared" si="134"/>
        <v>1.6081210111060857</v>
      </c>
      <c r="M188" s="4">
        <f t="shared" si="135"/>
        <v>4</v>
      </c>
      <c r="N188" s="386">
        <f t="shared" si="136"/>
        <v>0.36577276147479304</v>
      </c>
      <c r="O188" s="386">
        <f t="shared" si="172"/>
        <v>0</v>
      </c>
      <c r="P188" s="4">
        <f t="shared" si="137"/>
        <v>4.4322235677683359</v>
      </c>
      <c r="Q188" s="386">
        <f t="shared" si="138"/>
        <v>4.1996488519347368</v>
      </c>
      <c r="R188" s="386">
        <f t="shared" si="173"/>
        <v>0.2372273607594591</v>
      </c>
      <c r="S188" s="386">
        <f t="shared" si="174"/>
        <v>0.62856909988353005</v>
      </c>
      <c r="T188" s="386">
        <f t="shared" si="175"/>
        <v>0.8657964606429891</v>
      </c>
      <c r="U188" s="4">
        <f t="shared" si="139"/>
        <v>1.2794727349798263</v>
      </c>
      <c r="V188" s="386">
        <f t="shared" si="176"/>
        <v>4.4200362948032437E-2</v>
      </c>
      <c r="W188" s="386">
        <f t="shared" si="177"/>
        <v>4.4200362948032437E-2</v>
      </c>
      <c r="X188" s="386">
        <f t="shared" si="140"/>
        <v>2.0227448518537012</v>
      </c>
      <c r="Y188" s="386">
        <f t="shared" si="178"/>
        <v>0.13092789554242085</v>
      </c>
      <c r="Z188" s="603">
        <f t="shared" si="179"/>
        <v>0.13092789554242085</v>
      </c>
      <c r="AA188" s="386">
        <f t="shared" si="141"/>
        <v>2.539911939059659</v>
      </c>
      <c r="AB188" s="386">
        <f t="shared" si="142"/>
        <v>6.4511526581777959E-2</v>
      </c>
      <c r="AC188" s="386">
        <f t="shared" si="143"/>
        <v>0.53313904797601608</v>
      </c>
      <c r="AD188">
        <f t="shared" si="144"/>
        <v>0</v>
      </c>
      <c r="AE188" s="386">
        <f t="shared" si="145"/>
        <v>0.60673132459997747</v>
      </c>
      <c r="AF188" s="386">
        <f t="shared" si="146"/>
        <v>3.3445325265840897</v>
      </c>
      <c r="AG188" s="386">
        <f t="shared" si="147"/>
        <v>0.11185897821378955</v>
      </c>
      <c r="AH188" s="386">
        <f t="shared" si="148"/>
        <v>0.19239999999999999</v>
      </c>
      <c r="AI188" s="386">
        <f t="shared" si="149"/>
        <v>0.3123652573907108</v>
      </c>
      <c r="AJ188" s="386">
        <f t="shared" si="150"/>
        <v>0</v>
      </c>
      <c r="AK188" s="386">
        <f t="shared" si="151"/>
        <v>0</v>
      </c>
      <c r="AL188" s="386">
        <f t="shared" si="152"/>
        <v>0</v>
      </c>
      <c r="AM188">
        <f t="shared" si="153"/>
        <v>0</v>
      </c>
      <c r="AN188" s="386">
        <f t="shared" si="154"/>
        <v>0</v>
      </c>
      <c r="AO188" s="386">
        <f t="shared" si="155"/>
        <v>4.1996488519347368</v>
      </c>
      <c r="AP188" s="386">
        <f t="shared" si="156"/>
        <v>0.17637050479556751</v>
      </c>
      <c r="AQ188" s="386">
        <f t="shared" si="157"/>
        <v>0</v>
      </c>
      <c r="AR188" s="386">
        <f t="shared" si="158"/>
        <v>0.18389511731924782</v>
      </c>
      <c r="AS188" s="386">
        <f t="shared" si="159"/>
        <v>0.17637050479556751</v>
      </c>
      <c r="AT188" s="386">
        <f t="shared" si="160"/>
        <v>0</v>
      </c>
      <c r="AU188" s="386">
        <f t="shared" si="161"/>
        <v>0.1225625</v>
      </c>
      <c r="AV188" s="386">
        <f t="shared" si="162"/>
        <v>0.16778846732068431</v>
      </c>
      <c r="AW188" s="386">
        <f t="shared" si="163"/>
        <v>6.5920000000000006E-2</v>
      </c>
      <c r="AX188" s="386">
        <f t="shared" si="164"/>
        <v>3.6000000000000004E-2</v>
      </c>
      <c r="AY188" s="386">
        <f t="shared" si="165"/>
        <v>0.40226399999999995</v>
      </c>
      <c r="AZ188" s="386">
        <f t="shared" si="166"/>
        <v>0.30415082926829268</v>
      </c>
      <c r="BA188" s="386">
        <f t="shared" si="180"/>
        <v>0.43826399999999999</v>
      </c>
      <c r="BB188" s="386">
        <f t="shared" si="181"/>
        <v>2.9384513857640631</v>
      </c>
      <c r="BC188">
        <f t="shared" si="167"/>
        <v>48</v>
      </c>
      <c r="BD188" s="604">
        <f t="shared" si="182"/>
        <v>0.94231368826840145</v>
      </c>
      <c r="BE188" s="614">
        <f t="shared" si="168"/>
        <v>42.299041826798693</v>
      </c>
      <c r="BF188" s="614">
        <f t="shared" si="169"/>
        <v>18.117184928661228</v>
      </c>
      <c r="BG188" s="9"/>
      <c r="BH188" s="4">
        <f t="shared" si="183"/>
        <v>94.231368826840139</v>
      </c>
      <c r="BI188" s="386">
        <f t="shared" si="184"/>
        <v>0.8657964606429891</v>
      </c>
      <c r="BJ188" s="386">
        <f t="shared" si="185"/>
        <v>1.2255541993099359</v>
      </c>
      <c r="BK188" s="386">
        <f t="shared" si="186"/>
        <v>0.35281088239071079</v>
      </c>
      <c r="BL188" s="386">
        <f t="shared" si="187"/>
        <v>0.16778846732068431</v>
      </c>
    </row>
    <row r="189" spans="7:64" x14ac:dyDescent="0.2">
      <c r="G189">
        <v>180</v>
      </c>
      <c r="H189" s="610">
        <f t="shared" si="131"/>
        <v>33.299999999999997</v>
      </c>
      <c r="I189" s="4" t="str">
        <f t="shared" si="132"/>
        <v>BUCK</v>
      </c>
      <c r="J189">
        <f t="shared" si="170"/>
        <v>1</v>
      </c>
      <c r="K189">
        <f t="shared" si="133"/>
        <v>4</v>
      </c>
      <c r="L189" s="4">
        <f t="shared" si="134"/>
        <v>1.6016016016016017</v>
      </c>
      <c r="M189" s="4">
        <f t="shared" si="135"/>
        <v>4</v>
      </c>
      <c r="N189" s="386">
        <f t="shared" si="136"/>
        <v>0.36429256594724219</v>
      </c>
      <c r="O189" s="386">
        <f t="shared" si="172"/>
        <v>0</v>
      </c>
      <c r="P189" s="4">
        <f t="shared" si="137"/>
        <v>4.4425677427006063</v>
      </c>
      <c r="Q189" s="386">
        <f t="shared" si="138"/>
        <v>4.2005595673719869</v>
      </c>
      <c r="R189" s="386">
        <f t="shared" si="173"/>
        <v>0.2373322135618334</v>
      </c>
      <c r="S189" s="386">
        <f t="shared" si="174"/>
        <v>0.63195418979522855</v>
      </c>
      <c r="T189" s="386">
        <f t="shared" si="175"/>
        <v>0.86928640335706198</v>
      </c>
      <c r="U189" s="4">
        <f t="shared" si="139"/>
        <v>1.2824588410706717</v>
      </c>
      <c r="V189" s="386">
        <f t="shared" si="176"/>
        <v>4.4406918334088913E-2</v>
      </c>
      <c r="W189" s="386">
        <f t="shared" si="177"/>
        <v>4.4406918334088913E-2</v>
      </c>
      <c r="X189" s="386">
        <f t="shared" si="140"/>
        <v>2.0214404281590452</v>
      </c>
      <c r="Y189" s="386">
        <f t="shared" si="178"/>
        <v>0.1307590849470664</v>
      </c>
      <c r="Z189" s="603">
        <f t="shared" si="179"/>
        <v>0.1307590849470664</v>
      </c>
      <c r="AA189" s="386">
        <f t="shared" si="141"/>
        <v>2.5353171962771541</v>
      </c>
      <c r="AB189" s="386">
        <f t="shared" si="142"/>
        <v>6.4278332857386489E-2</v>
      </c>
      <c r="AC189" s="386">
        <f t="shared" si="143"/>
        <v>0.53530922049152219</v>
      </c>
      <c r="AD189">
        <f t="shared" si="144"/>
        <v>0</v>
      </c>
      <c r="AE189" s="386">
        <f t="shared" si="145"/>
        <v>0.60866430435578811</v>
      </c>
      <c r="AF189" s="386">
        <f t="shared" si="146"/>
        <v>3.349159206920699</v>
      </c>
      <c r="AG189" s="386">
        <f t="shared" si="147"/>
        <v>0.11216867393301685</v>
      </c>
      <c r="AH189" s="386">
        <f t="shared" si="148"/>
        <v>0.19239999999999999</v>
      </c>
      <c r="AI189" s="386">
        <f t="shared" si="149"/>
        <v>0.31270627060029238</v>
      </c>
      <c r="AJ189" s="386">
        <f t="shared" si="150"/>
        <v>0</v>
      </c>
      <c r="AK189" s="386">
        <f t="shared" si="151"/>
        <v>0</v>
      </c>
      <c r="AL189" s="386">
        <f t="shared" si="152"/>
        <v>0</v>
      </c>
      <c r="AM189">
        <f t="shared" si="153"/>
        <v>0</v>
      </c>
      <c r="AN189" s="386">
        <f t="shared" si="154"/>
        <v>0</v>
      </c>
      <c r="AO189" s="386">
        <f t="shared" si="155"/>
        <v>4.2005595673719869</v>
      </c>
      <c r="AP189" s="386">
        <f t="shared" si="156"/>
        <v>0.17644700679040334</v>
      </c>
      <c r="AQ189" s="386">
        <f t="shared" si="157"/>
        <v>0</v>
      </c>
      <c r="AR189" s="386">
        <f t="shared" si="158"/>
        <v>0.18397828781255962</v>
      </c>
      <c r="AS189" s="386">
        <f t="shared" si="159"/>
        <v>0.17644700679040334</v>
      </c>
      <c r="AT189" s="386">
        <f t="shared" si="160"/>
        <v>0</v>
      </c>
      <c r="AU189" s="386">
        <f t="shared" si="161"/>
        <v>0.123062</v>
      </c>
      <c r="AV189" s="386">
        <f t="shared" si="162"/>
        <v>0.16825301089952527</v>
      </c>
      <c r="AW189" s="386">
        <f t="shared" si="163"/>
        <v>6.5920000000000006E-2</v>
      </c>
      <c r="AX189" s="386">
        <f t="shared" si="164"/>
        <v>3.6000000000000004E-2</v>
      </c>
      <c r="AY189" s="386">
        <f t="shared" si="165"/>
        <v>0.40226399999999995</v>
      </c>
      <c r="AZ189" s="386">
        <f t="shared" si="166"/>
        <v>0.30415082926829268</v>
      </c>
      <c r="BA189" s="386">
        <f t="shared" si="180"/>
        <v>0.43826399999999999</v>
      </c>
      <c r="BB189" s="386">
        <f t="shared" si="181"/>
        <v>2.9453002803063826</v>
      </c>
      <c r="BC189">
        <f t="shared" si="167"/>
        <v>48</v>
      </c>
      <c r="BD189" s="604">
        <f t="shared" si="182"/>
        <v>0.942187007160601</v>
      </c>
      <c r="BE189" s="614">
        <f t="shared" si="168"/>
        <v>42.440125652635707</v>
      </c>
      <c r="BF189" s="614">
        <f t="shared" si="169"/>
        <v>18.136963694816959</v>
      </c>
      <c r="BG189" s="9"/>
      <c r="BH189" s="4">
        <f t="shared" si="183"/>
        <v>94.218700716060098</v>
      </c>
      <c r="BI189" s="386">
        <f t="shared" si="184"/>
        <v>0.86928640335706198</v>
      </c>
      <c r="BJ189" s="386">
        <f t="shared" si="185"/>
        <v>1.2284108627686401</v>
      </c>
      <c r="BK189" s="386">
        <f t="shared" si="186"/>
        <v>0.35331673060029239</v>
      </c>
      <c r="BL189" s="386">
        <f t="shared" si="187"/>
        <v>0.16825301089952527</v>
      </c>
    </row>
    <row r="190" spans="7:64" x14ac:dyDescent="0.2">
      <c r="G190">
        <v>181</v>
      </c>
      <c r="H190" s="610">
        <f t="shared" si="131"/>
        <v>33.435000000000002</v>
      </c>
      <c r="I190" s="4" t="str">
        <f t="shared" si="132"/>
        <v>BUCK</v>
      </c>
      <c r="J190">
        <f t="shared" si="170"/>
        <v>1</v>
      </c>
      <c r="K190">
        <f t="shared" si="133"/>
        <v>4</v>
      </c>
      <c r="L190" s="4">
        <f t="shared" si="134"/>
        <v>1.5951348387418371</v>
      </c>
      <c r="M190" s="4">
        <f t="shared" si="135"/>
        <v>4</v>
      </c>
      <c r="N190" s="386">
        <f t="shared" si="136"/>
        <v>0.36282430213464689</v>
      </c>
      <c r="O190" s="386">
        <f t="shared" si="172"/>
        <v>0</v>
      </c>
      <c r="P190" s="4">
        <f t="shared" si="137"/>
        <v>4.4528285342254534</v>
      </c>
      <c r="Q190" s="386">
        <f t="shared" si="138"/>
        <v>4.2014648433137021</v>
      </c>
      <c r="R190" s="386">
        <f t="shared" si="173"/>
        <v>0.23743646434588833</v>
      </c>
      <c r="S190" s="386">
        <f t="shared" si="174"/>
        <v>0.63532216231672201</v>
      </c>
      <c r="T190" s="386">
        <f t="shared" si="175"/>
        <v>0.87275862666261039</v>
      </c>
      <c r="U190" s="4">
        <f t="shared" si="139"/>
        <v>1.2854208764451562</v>
      </c>
      <c r="V190" s="386">
        <f t="shared" si="176"/>
        <v>4.461228439922791E-2</v>
      </c>
      <c r="W190" s="386">
        <f t="shared" si="177"/>
        <v>4.461228439922791E-2</v>
      </c>
      <c r="X190" s="386">
        <f t="shared" si="140"/>
        <v>2.0201262861744911</v>
      </c>
      <c r="Y190" s="386">
        <f t="shared" si="178"/>
        <v>0.13058912678698054</v>
      </c>
      <c r="Z190" s="603">
        <f t="shared" si="179"/>
        <v>0.13058912678698054</v>
      </c>
      <c r="AA190" s="386">
        <f t="shared" si="141"/>
        <v>2.5307480922677104</v>
      </c>
      <c r="AB190" s="386">
        <f t="shared" si="142"/>
        <v>6.404685906516655E-2</v>
      </c>
      <c r="AC190" s="386">
        <f t="shared" si="143"/>
        <v>0.53747939300702841</v>
      </c>
      <c r="AD190">
        <f t="shared" si="144"/>
        <v>0</v>
      </c>
      <c r="AE190" s="386">
        <f t="shared" si="145"/>
        <v>0.61059906499678673</v>
      </c>
      <c r="AF190" s="386">
        <f t="shared" si="146"/>
        <v>3.3537472956506988</v>
      </c>
      <c r="AG190" s="386">
        <f t="shared" si="147"/>
        <v>0.11247620923084377</v>
      </c>
      <c r="AH190" s="386">
        <f t="shared" si="148"/>
        <v>0.19239999999999999</v>
      </c>
      <c r="AI190" s="386">
        <f t="shared" si="149"/>
        <v>0.31304495471016019</v>
      </c>
      <c r="AJ190" s="386">
        <f t="shared" si="150"/>
        <v>0</v>
      </c>
      <c r="AK190" s="386">
        <f t="shared" si="151"/>
        <v>0</v>
      </c>
      <c r="AL190" s="386">
        <f t="shared" si="152"/>
        <v>0</v>
      </c>
      <c r="AM190">
        <f t="shared" si="153"/>
        <v>0</v>
      </c>
      <c r="AN190" s="386">
        <f t="shared" si="154"/>
        <v>0</v>
      </c>
      <c r="AO190" s="386">
        <f t="shared" si="155"/>
        <v>4.2014648433137021</v>
      </c>
      <c r="AP190" s="386">
        <f t="shared" si="156"/>
        <v>0.1765230682960103</v>
      </c>
      <c r="AQ190" s="386">
        <f t="shared" si="157"/>
        <v>0</v>
      </c>
      <c r="AR190" s="386">
        <f t="shared" si="158"/>
        <v>0.18406098247206523</v>
      </c>
      <c r="AS190" s="386">
        <f t="shared" si="159"/>
        <v>0.1765230682960103</v>
      </c>
      <c r="AT190" s="386">
        <f t="shared" si="160"/>
        <v>0</v>
      </c>
      <c r="AU190" s="386">
        <f t="shared" si="161"/>
        <v>0.12356150000000002</v>
      </c>
      <c r="AV190" s="386">
        <f t="shared" si="162"/>
        <v>0.16871431384626565</v>
      </c>
      <c r="AW190" s="386">
        <f t="shared" si="163"/>
        <v>6.5920000000000006E-2</v>
      </c>
      <c r="AX190" s="386">
        <f t="shared" si="164"/>
        <v>3.6000000000000004E-2</v>
      </c>
      <c r="AY190" s="386">
        <f t="shared" si="165"/>
        <v>0.40226399999999995</v>
      </c>
      <c r="AZ190" s="386">
        <f t="shared" si="166"/>
        <v>0.30415082926829268</v>
      </c>
      <c r="BA190" s="386">
        <f t="shared" si="180"/>
        <v>0.43826399999999999</v>
      </c>
      <c r="BB190" s="386">
        <f t="shared" si="181"/>
        <v>2.9521248538740967</v>
      </c>
      <c r="BC190">
        <f t="shared" si="167"/>
        <v>48</v>
      </c>
      <c r="BD190" s="604">
        <f t="shared" si="182"/>
        <v>0.94206080978289886</v>
      </c>
      <c r="BE190" s="614">
        <f t="shared" si="168"/>
        <v>42.581312769813628</v>
      </c>
      <c r="BF190" s="614">
        <f t="shared" si="169"/>
        <v>18.156607373189292</v>
      </c>
      <c r="BG190" s="9"/>
      <c r="BH190" s="4">
        <f t="shared" si="183"/>
        <v>94.20608097828989</v>
      </c>
      <c r="BI190" s="386">
        <f t="shared" si="184"/>
        <v>0.87275862666261039</v>
      </c>
      <c r="BJ190" s="386">
        <f t="shared" si="185"/>
        <v>1.2312665021790121</v>
      </c>
      <c r="BK190" s="386">
        <f t="shared" si="186"/>
        <v>0.35382024971016018</v>
      </c>
      <c r="BL190" s="386">
        <f t="shared" si="187"/>
        <v>0.16871431384626565</v>
      </c>
    </row>
    <row r="191" spans="7:64" x14ac:dyDescent="0.2">
      <c r="G191">
        <v>182</v>
      </c>
      <c r="H191" s="610">
        <f t="shared" si="131"/>
        <v>33.57</v>
      </c>
      <c r="I191" s="4" t="str">
        <f t="shared" si="132"/>
        <v>BUCK</v>
      </c>
      <c r="J191">
        <f t="shared" si="170"/>
        <v>1</v>
      </c>
      <c r="K191">
        <f t="shared" si="133"/>
        <v>4</v>
      </c>
      <c r="L191" s="4">
        <f t="shared" si="134"/>
        <v>1.5887200873796048</v>
      </c>
      <c r="M191" s="4">
        <f t="shared" si="135"/>
        <v>4</v>
      </c>
      <c r="N191" s="386">
        <f t="shared" si="136"/>
        <v>0.36136782634552478</v>
      </c>
      <c r="O191" s="386">
        <f t="shared" si="172"/>
        <v>0</v>
      </c>
      <c r="P191" s="4">
        <f t="shared" si="137"/>
        <v>4.4630069465141498</v>
      </c>
      <c r="Q191" s="386">
        <f t="shared" si="138"/>
        <v>4.2023647212475659</v>
      </c>
      <c r="R191" s="386">
        <f t="shared" si="173"/>
        <v>0.23754011745639433</v>
      </c>
      <c r="S191" s="386">
        <f t="shared" si="174"/>
        <v>0.63867310863255866</v>
      </c>
      <c r="T191" s="386">
        <f t="shared" si="175"/>
        <v>0.87621322608895302</v>
      </c>
      <c r="U191" s="4">
        <f t="shared" si="139"/>
        <v>1.2883591309825571</v>
      </c>
      <c r="V191" s="386">
        <f t="shared" si="176"/>
        <v>4.4816469760425498E-2</v>
      </c>
      <c r="W191" s="386">
        <f t="shared" si="177"/>
        <v>4.4816469760425498E-2</v>
      </c>
      <c r="X191" s="386">
        <f t="shared" si="140"/>
        <v>2.0188027175068868</v>
      </c>
      <c r="Y191" s="386">
        <f t="shared" si="178"/>
        <v>0.13041806119082211</v>
      </c>
      <c r="Z191" s="603">
        <f t="shared" si="179"/>
        <v>0.13041806119082211</v>
      </c>
      <c r="AA191" s="386">
        <f t="shared" si="141"/>
        <v>2.5262043790157218</v>
      </c>
      <c r="AB191" s="386">
        <f t="shared" si="142"/>
        <v>6.3817085645582083E-2</v>
      </c>
      <c r="AC191" s="386">
        <f t="shared" si="143"/>
        <v>0.53964956552253462</v>
      </c>
      <c r="AD191">
        <f t="shared" si="144"/>
        <v>0</v>
      </c>
      <c r="AE191" s="386">
        <f t="shared" si="145"/>
        <v>0.61253558590778445</v>
      </c>
      <c r="AF191" s="386">
        <f t="shared" si="146"/>
        <v>3.3582972896734327</v>
      </c>
      <c r="AG191" s="386">
        <f t="shared" si="147"/>
        <v>0.11278160685827925</v>
      </c>
      <c r="AH191" s="386">
        <f t="shared" si="148"/>
        <v>0.19239999999999999</v>
      </c>
      <c r="AI191" s="386">
        <f t="shared" si="149"/>
        <v>0.3133813337462758</v>
      </c>
      <c r="AJ191" s="386">
        <f t="shared" si="150"/>
        <v>0</v>
      </c>
      <c r="AK191" s="386">
        <f t="shared" si="151"/>
        <v>0</v>
      </c>
      <c r="AL191" s="386">
        <f t="shared" si="152"/>
        <v>0</v>
      </c>
      <c r="AM191">
        <f t="shared" si="153"/>
        <v>0</v>
      </c>
      <c r="AN191" s="386">
        <f t="shared" si="154"/>
        <v>0</v>
      </c>
      <c r="AO191" s="386">
        <f t="shared" si="155"/>
        <v>4.2023647212475659</v>
      </c>
      <c r="AP191" s="386">
        <f t="shared" si="156"/>
        <v>0.17659869250386134</v>
      </c>
      <c r="AQ191" s="386">
        <f t="shared" si="157"/>
        <v>0</v>
      </c>
      <c r="AR191" s="386">
        <f t="shared" si="158"/>
        <v>0.18414320471504775</v>
      </c>
      <c r="AS191" s="386">
        <f t="shared" si="159"/>
        <v>0.17659869250386134</v>
      </c>
      <c r="AT191" s="386">
        <f t="shared" si="160"/>
        <v>0</v>
      </c>
      <c r="AU191" s="386">
        <f t="shared" si="161"/>
        <v>0.124061</v>
      </c>
      <c r="AV191" s="386">
        <f t="shared" si="162"/>
        <v>0.16917241028741886</v>
      </c>
      <c r="AW191" s="386">
        <f t="shared" si="163"/>
        <v>6.5920000000000006E-2</v>
      </c>
      <c r="AX191" s="386">
        <f t="shared" si="164"/>
        <v>3.6000000000000004E-2</v>
      </c>
      <c r="AY191" s="386">
        <f t="shared" si="165"/>
        <v>0.40226399999999995</v>
      </c>
      <c r="AZ191" s="386">
        <f t="shared" si="166"/>
        <v>0.30415082926829268</v>
      </c>
      <c r="BA191" s="386">
        <f t="shared" si="180"/>
        <v>0.43826399999999999</v>
      </c>
      <c r="BB191" s="386">
        <f t="shared" si="181"/>
        <v>2.9589252916967279</v>
      </c>
      <c r="BC191">
        <f t="shared" si="167"/>
        <v>48</v>
      </c>
      <c r="BD191" s="604">
        <f t="shared" si="182"/>
        <v>0.94193509233643791</v>
      </c>
      <c r="BE191" s="614">
        <f t="shared" si="168"/>
        <v>42.722601982651497</v>
      </c>
      <c r="BF191" s="614">
        <f t="shared" si="169"/>
        <v>18.176117357283996</v>
      </c>
      <c r="BG191" s="9"/>
      <c r="BH191" s="4">
        <f t="shared" si="183"/>
        <v>94.193509233643795</v>
      </c>
      <c r="BI191" s="386">
        <f t="shared" si="184"/>
        <v>0.87621322608895302</v>
      </c>
      <c r="BJ191" s="386">
        <f t="shared" si="185"/>
        <v>1.2341211243691079</v>
      </c>
      <c r="BK191" s="386">
        <f t="shared" si="186"/>
        <v>0.35432146374627582</v>
      </c>
      <c r="BL191" s="386">
        <f t="shared" si="187"/>
        <v>0.16917241028741886</v>
      </c>
    </row>
    <row r="192" spans="7:64" x14ac:dyDescent="0.2">
      <c r="G192">
        <v>183</v>
      </c>
      <c r="H192" s="610">
        <f t="shared" si="131"/>
        <v>33.704999999999998</v>
      </c>
      <c r="I192" s="4" t="str">
        <f t="shared" si="132"/>
        <v>BUCK</v>
      </c>
      <c r="J192">
        <f t="shared" si="170"/>
        <v>1</v>
      </c>
      <c r="K192">
        <f t="shared" si="133"/>
        <v>4</v>
      </c>
      <c r="L192" s="4">
        <f t="shared" si="134"/>
        <v>1.5823567225436386</v>
      </c>
      <c r="M192" s="4">
        <f t="shared" si="135"/>
        <v>4</v>
      </c>
      <c r="N192" s="386">
        <f t="shared" si="136"/>
        <v>0.35992299718643561</v>
      </c>
      <c r="O192" s="386">
        <f t="shared" si="172"/>
        <v>0</v>
      </c>
      <c r="P192" s="4">
        <f t="shared" si="137"/>
        <v>4.4731039676783695</v>
      </c>
      <c r="Q192" s="386">
        <f t="shared" si="138"/>
        <v>4.2032592423980937</v>
      </c>
      <c r="R192" s="386">
        <f t="shared" si="173"/>
        <v>0.23764317721475392</v>
      </c>
      <c r="S192" s="386">
        <f t="shared" si="174"/>
        <v>0.64200712017780326</v>
      </c>
      <c r="T192" s="386">
        <f t="shared" si="175"/>
        <v>0.87965029739255718</v>
      </c>
      <c r="U192" s="4">
        <f t="shared" si="139"/>
        <v>1.2912738899261449</v>
      </c>
      <c r="V192" s="386">
        <f t="shared" si="176"/>
        <v>4.5019482987734942E-2</v>
      </c>
      <c r="W192" s="386">
        <f t="shared" si="177"/>
        <v>4.5019482987734942E-2</v>
      </c>
      <c r="X192" s="386">
        <f t="shared" si="140"/>
        <v>2.0174700065333999</v>
      </c>
      <c r="Y192" s="386">
        <f t="shared" si="178"/>
        <v>0.13024592727238005</v>
      </c>
      <c r="Z192" s="603">
        <f t="shared" si="179"/>
        <v>0.13024592727238005</v>
      </c>
      <c r="AA192" s="386">
        <f t="shared" si="141"/>
        <v>2.5216858120244749</v>
      </c>
      <c r="AB192" s="386">
        <f t="shared" si="142"/>
        <v>6.3588993345655348E-2</v>
      </c>
      <c r="AC192" s="386">
        <f t="shared" si="143"/>
        <v>0.54181973803804073</v>
      </c>
      <c r="AD192">
        <f t="shared" si="144"/>
        <v>0</v>
      </c>
      <c r="AE192" s="386">
        <f t="shared" si="145"/>
        <v>0.61447384680214445</v>
      </c>
      <c r="AF192" s="386">
        <f t="shared" si="146"/>
        <v>3.3628096770765157</v>
      </c>
      <c r="AG192" s="386">
        <f t="shared" si="147"/>
        <v>0.11308488924239458</v>
      </c>
      <c r="AH192" s="386">
        <f t="shared" si="148"/>
        <v>0.19239999999999999</v>
      </c>
      <c r="AI192" s="386">
        <f t="shared" si="149"/>
        <v>0.31371543139910285</v>
      </c>
      <c r="AJ192" s="386">
        <f t="shared" si="150"/>
        <v>0</v>
      </c>
      <c r="AK192" s="386">
        <f t="shared" si="151"/>
        <v>0</v>
      </c>
      <c r="AL192" s="386">
        <f t="shared" si="152"/>
        <v>0</v>
      </c>
      <c r="AM192">
        <f t="shared" si="153"/>
        <v>0</v>
      </c>
      <c r="AN192" s="386">
        <f t="shared" si="154"/>
        <v>0</v>
      </c>
      <c r="AO192" s="386">
        <f t="shared" si="155"/>
        <v>4.2032592423980937</v>
      </c>
      <c r="AP192" s="386">
        <f t="shared" si="156"/>
        <v>0.17667388258804997</v>
      </c>
      <c r="AQ192" s="386">
        <f t="shared" si="157"/>
        <v>0</v>
      </c>
      <c r="AR192" s="386">
        <f t="shared" si="158"/>
        <v>0.18422495794069876</v>
      </c>
      <c r="AS192" s="386">
        <f t="shared" si="159"/>
        <v>0.17667388258804997</v>
      </c>
      <c r="AT192" s="386">
        <f t="shared" si="160"/>
        <v>0</v>
      </c>
      <c r="AU192" s="386">
        <f t="shared" si="161"/>
        <v>0.1245605</v>
      </c>
      <c r="AV192" s="386">
        <f t="shared" si="162"/>
        <v>0.16962733386359188</v>
      </c>
      <c r="AW192" s="386">
        <f t="shared" si="163"/>
        <v>6.5920000000000006E-2</v>
      </c>
      <c r="AX192" s="386">
        <f t="shared" si="164"/>
        <v>3.6000000000000004E-2</v>
      </c>
      <c r="AY192" s="386">
        <f t="shared" si="165"/>
        <v>0.40226399999999995</v>
      </c>
      <c r="AZ192" s="386">
        <f t="shared" si="166"/>
        <v>0.30415082926829268</v>
      </c>
      <c r="BA192" s="386">
        <f t="shared" si="180"/>
        <v>0.43826399999999999</v>
      </c>
      <c r="BB192" s="386">
        <f t="shared" si="181"/>
        <v>2.9657017776582109</v>
      </c>
      <c r="BC192">
        <f t="shared" si="167"/>
        <v>48</v>
      </c>
      <c r="BD192" s="604">
        <f t="shared" si="182"/>
        <v>0.94180985105245263</v>
      </c>
      <c r="BE192" s="614">
        <f t="shared" si="168"/>
        <v>42.863992114524379</v>
      </c>
      <c r="BF192" s="614">
        <f t="shared" si="169"/>
        <v>18.195495021147966</v>
      </c>
      <c r="BG192" s="9"/>
      <c r="BH192" s="4">
        <f t="shared" si="183"/>
        <v>94.18098510524527</v>
      </c>
      <c r="BI192" s="386">
        <f t="shared" si="184"/>
        <v>0.87965029739255718</v>
      </c>
      <c r="BJ192" s="386">
        <f t="shared" si="185"/>
        <v>1.2369747361419461</v>
      </c>
      <c r="BK192" s="386">
        <f t="shared" si="186"/>
        <v>0.35482039639910284</v>
      </c>
      <c r="BL192" s="386">
        <f t="shared" si="187"/>
        <v>0.16962733386359188</v>
      </c>
    </row>
    <row r="193" spans="7:64" x14ac:dyDescent="0.2">
      <c r="G193">
        <v>184</v>
      </c>
      <c r="H193" s="610">
        <f t="shared" si="131"/>
        <v>33.840000000000003</v>
      </c>
      <c r="I193" s="4" t="str">
        <f t="shared" si="132"/>
        <v>BUCK</v>
      </c>
      <c r="J193">
        <f t="shared" si="170"/>
        <v>1</v>
      </c>
      <c r="K193">
        <f t="shared" si="133"/>
        <v>4</v>
      </c>
      <c r="L193" s="4">
        <f t="shared" si="134"/>
        <v>1.5760441292356184</v>
      </c>
      <c r="M193" s="4">
        <f t="shared" si="135"/>
        <v>4</v>
      </c>
      <c r="N193" s="386">
        <f t="shared" si="136"/>
        <v>0.35848967551622413</v>
      </c>
      <c r="O193" s="386">
        <f t="shared" si="172"/>
        <v>0</v>
      </c>
      <c r="P193" s="4">
        <f t="shared" si="137"/>
        <v>4.4831205700899552</v>
      </c>
      <c r="Q193" s="386">
        <f t="shared" si="138"/>
        <v>4.2041484477236262</v>
      </c>
      <c r="R193" s="386">
        <f t="shared" si="173"/>
        <v>0.23774564791855621</v>
      </c>
      <c r="S193" s="386">
        <f t="shared" si="174"/>
        <v>0.64532428860183388</v>
      </c>
      <c r="T193" s="386">
        <f t="shared" si="175"/>
        <v>0.88306993652039012</v>
      </c>
      <c r="U193" s="4">
        <f t="shared" si="139"/>
        <v>1.2941654339754922</v>
      </c>
      <c r="V193" s="386">
        <f t="shared" si="176"/>
        <v>4.5221332603418297E-2</v>
      </c>
      <c r="W193" s="386">
        <f t="shared" si="177"/>
        <v>4.5221332603418297E-2</v>
      </c>
      <c r="X193" s="386">
        <f t="shared" si="140"/>
        <v>2.0161284305999385</v>
      </c>
      <c r="Y193" s="386">
        <f t="shared" si="178"/>
        <v>0.13007276315754787</v>
      </c>
      <c r="Z193" s="603">
        <f t="shared" si="179"/>
        <v>0.13007276315754787</v>
      </c>
      <c r="AA193" s="386">
        <f t="shared" si="141"/>
        <v>2.5171921502489232</v>
      </c>
      <c r="AB193" s="386">
        <f t="shared" si="142"/>
        <v>6.3362563212747983E-2</v>
      </c>
      <c r="AC193" s="386">
        <f t="shared" si="143"/>
        <v>0.54398991055354706</v>
      </c>
      <c r="AD193">
        <f t="shared" si="144"/>
        <v>0</v>
      </c>
      <c r="AE193" s="386">
        <f t="shared" si="145"/>
        <v>0.61641382771501785</v>
      </c>
      <c r="AF193" s="386">
        <f t="shared" si="146"/>
        <v>3.3672849373378217</v>
      </c>
      <c r="AG193" s="386">
        <f t="shared" si="147"/>
        <v>0.11338607849222179</v>
      </c>
      <c r="AH193" s="386">
        <f t="shared" si="148"/>
        <v>0.19239999999999999</v>
      </c>
      <c r="AI193" s="386">
        <f t="shared" si="149"/>
        <v>0.3140472710296115</v>
      </c>
      <c r="AJ193" s="386">
        <f t="shared" si="150"/>
        <v>0</v>
      </c>
      <c r="AK193" s="386">
        <f t="shared" si="151"/>
        <v>0</v>
      </c>
      <c r="AL193" s="386">
        <f t="shared" si="152"/>
        <v>0</v>
      </c>
      <c r="AM193">
        <f t="shared" si="153"/>
        <v>0</v>
      </c>
      <c r="AN193" s="386">
        <f t="shared" si="154"/>
        <v>0</v>
      </c>
      <c r="AO193" s="386">
        <f t="shared" si="155"/>
        <v>4.2041484477236262</v>
      </c>
      <c r="AP193" s="386">
        <f t="shared" si="156"/>
        <v>0.17674864170496973</v>
      </c>
      <c r="AQ193" s="386">
        <f t="shared" si="157"/>
        <v>0</v>
      </c>
      <c r="AR193" s="386">
        <f t="shared" si="158"/>
        <v>0.18430624552975935</v>
      </c>
      <c r="AS193" s="386">
        <f t="shared" si="159"/>
        <v>0.17674864170496973</v>
      </c>
      <c r="AT193" s="386">
        <f t="shared" si="160"/>
        <v>0</v>
      </c>
      <c r="AU193" s="386">
        <f t="shared" si="161"/>
        <v>0.12506000000000003</v>
      </c>
      <c r="AV193" s="386">
        <f t="shared" si="162"/>
        <v>0.17007911773833267</v>
      </c>
      <c r="AW193" s="386">
        <f t="shared" si="163"/>
        <v>6.5920000000000006E-2</v>
      </c>
      <c r="AX193" s="386">
        <f t="shared" si="164"/>
        <v>3.6000000000000004E-2</v>
      </c>
      <c r="AY193" s="386">
        <f t="shared" si="165"/>
        <v>0.40226399999999995</v>
      </c>
      <c r="AZ193" s="386">
        <f t="shared" si="166"/>
        <v>0.30415082926829268</v>
      </c>
      <c r="BA193" s="386">
        <f t="shared" si="180"/>
        <v>0.43826399999999999</v>
      </c>
      <c r="BB193" s="386">
        <f t="shared" si="181"/>
        <v>2.972454494294078</v>
      </c>
      <c r="BC193">
        <f t="shared" si="167"/>
        <v>48</v>
      </c>
      <c r="BD193" s="604">
        <f t="shared" si="182"/>
        <v>0.94168508219224922</v>
      </c>
      <c r="BE193" s="614">
        <f t="shared" si="168"/>
        <v>43.005482007471038</v>
      </c>
      <c r="BF193" s="614">
        <f t="shared" si="169"/>
        <v>18.214741719717466</v>
      </c>
      <c r="BG193" s="9"/>
      <c r="BH193" s="4">
        <f t="shared" si="183"/>
        <v>94.168508219224918</v>
      </c>
      <c r="BI193" s="386">
        <f t="shared" si="184"/>
        <v>0.88306993652039012</v>
      </c>
      <c r="BJ193" s="386">
        <f t="shared" si="185"/>
        <v>1.2398273442743886</v>
      </c>
      <c r="BK193" s="386">
        <f t="shared" si="186"/>
        <v>0.35531707102961152</v>
      </c>
      <c r="BL193" s="386">
        <f t="shared" si="187"/>
        <v>0.17007911773833267</v>
      </c>
    </row>
    <row r="194" spans="7:64" x14ac:dyDescent="0.2">
      <c r="G194">
        <v>185</v>
      </c>
      <c r="H194" s="610">
        <f t="shared" si="131"/>
        <v>33.975000000000001</v>
      </c>
      <c r="I194" s="4" t="str">
        <f t="shared" si="132"/>
        <v>BUCK</v>
      </c>
      <c r="J194">
        <f t="shared" si="170"/>
        <v>1</v>
      </c>
      <c r="K194">
        <f t="shared" si="133"/>
        <v>4</v>
      </c>
      <c r="L194" s="4">
        <f t="shared" si="134"/>
        <v>1.5697817022320333</v>
      </c>
      <c r="M194" s="4">
        <f t="shared" si="135"/>
        <v>4</v>
      </c>
      <c r="N194" s="386">
        <f t="shared" si="136"/>
        <v>0.35706772440135148</v>
      </c>
      <c r="O194" s="386">
        <f t="shared" si="172"/>
        <v>0</v>
      </c>
      <c r="P194" s="4">
        <f t="shared" si="137"/>
        <v>4.4930577106930736</v>
      </c>
      <c r="Q194" s="386">
        <f t="shared" si="138"/>
        <v>4.2050323779135805</v>
      </c>
      <c r="R194" s="386">
        <f t="shared" si="173"/>
        <v>0.23784753384116142</v>
      </c>
      <c r="S194" s="386">
        <f t="shared" si="174"/>
        <v>0.64862470573366171</v>
      </c>
      <c r="T194" s="386">
        <f t="shared" si="175"/>
        <v>0.88647223957482313</v>
      </c>
      <c r="U194" s="4">
        <f t="shared" si="139"/>
        <v>1.2970340393765849</v>
      </c>
      <c r="V194" s="386">
        <f t="shared" si="176"/>
        <v>4.542202708114159E-2</v>
      </c>
      <c r="W194" s="386">
        <f t="shared" si="177"/>
        <v>4.542202708114159E-2</v>
      </c>
      <c r="X194" s="386">
        <f t="shared" si="140"/>
        <v>2.0147782602133137</v>
      </c>
      <c r="Y194" s="386">
        <f t="shared" si="178"/>
        <v>0.12989860601050199</v>
      </c>
      <c r="Z194" s="603">
        <f t="shared" si="179"/>
        <v>0.12989860601050199</v>
      </c>
      <c r="AA194" s="386">
        <f t="shared" si="141"/>
        <v>2.5127231560300798</v>
      </c>
      <c r="AB194" s="386">
        <f t="shared" si="142"/>
        <v>6.3137776588497646E-2</v>
      </c>
      <c r="AC194" s="386">
        <f t="shared" si="143"/>
        <v>0.54616008306905317</v>
      </c>
      <c r="AD194">
        <f t="shared" si="144"/>
        <v>0</v>
      </c>
      <c r="AE194" s="386">
        <f t="shared" si="145"/>
        <v>0.61835550899674918</v>
      </c>
      <c r="AF194" s="386">
        <f t="shared" si="146"/>
        <v>3.371723541521721</v>
      </c>
      <c r="AG194" s="386">
        <f t="shared" si="147"/>
        <v>0.11368519640451777</v>
      </c>
      <c r="AH194" s="386">
        <f t="shared" si="148"/>
        <v>0.19239999999999999</v>
      </c>
      <c r="AI194" s="386">
        <f t="shared" si="149"/>
        <v>0.31437687567514871</v>
      </c>
      <c r="AJ194" s="386">
        <f t="shared" si="150"/>
        <v>0</v>
      </c>
      <c r="AK194" s="386">
        <f t="shared" si="151"/>
        <v>0</v>
      </c>
      <c r="AL194" s="386">
        <f t="shared" si="152"/>
        <v>0</v>
      </c>
      <c r="AM194">
        <f t="shared" si="153"/>
        <v>0</v>
      </c>
      <c r="AN194" s="386">
        <f t="shared" si="154"/>
        <v>0</v>
      </c>
      <c r="AO194" s="386">
        <f t="shared" si="155"/>
        <v>4.2050323779135805</v>
      </c>
      <c r="AP194" s="386">
        <f t="shared" si="156"/>
        <v>0.17682297299301541</v>
      </c>
      <c r="AQ194" s="386">
        <f t="shared" si="157"/>
        <v>0</v>
      </c>
      <c r="AR194" s="386">
        <f t="shared" si="158"/>
        <v>0.18438707084418446</v>
      </c>
      <c r="AS194" s="386">
        <f t="shared" si="159"/>
        <v>0.17682297299301541</v>
      </c>
      <c r="AT194" s="386">
        <f t="shared" si="160"/>
        <v>0</v>
      </c>
      <c r="AU194" s="386">
        <f t="shared" si="161"/>
        <v>0.12555950000000002</v>
      </c>
      <c r="AV194" s="386">
        <f t="shared" si="162"/>
        <v>0.17052779460677664</v>
      </c>
      <c r="AW194" s="386">
        <f t="shared" si="163"/>
        <v>6.5920000000000006E-2</v>
      </c>
      <c r="AX194" s="386">
        <f t="shared" si="164"/>
        <v>3.6000000000000004E-2</v>
      </c>
      <c r="AY194" s="386">
        <f t="shared" si="165"/>
        <v>0.40226399999999995</v>
      </c>
      <c r="AZ194" s="386">
        <f t="shared" si="166"/>
        <v>0.30415082926829268</v>
      </c>
      <c r="BA194" s="386">
        <f t="shared" si="180"/>
        <v>0.43826399999999999</v>
      </c>
      <c r="BB194" s="386">
        <f t="shared" si="181"/>
        <v>2.9791836227893258</v>
      </c>
      <c r="BC194">
        <f t="shared" si="167"/>
        <v>48</v>
      </c>
      <c r="BD194" s="604">
        <f t="shared" si="182"/>
        <v>0.94156078204717386</v>
      </c>
      <c r="BE194" s="614">
        <f t="shared" si="168"/>
        <v>43.147070521811457</v>
      </c>
      <c r="BF194" s="614">
        <f t="shared" si="169"/>
        <v>18.233858789158624</v>
      </c>
      <c r="BG194" s="9"/>
      <c r="BH194" s="4">
        <f t="shared" si="183"/>
        <v>94.156078204717389</v>
      </c>
      <c r="BI194" s="386">
        <f t="shared" si="184"/>
        <v>0.88647223957482313</v>
      </c>
      <c r="BJ194" s="386">
        <f t="shared" si="185"/>
        <v>1.2426789555160824</v>
      </c>
      <c r="BK194" s="386">
        <f t="shared" si="186"/>
        <v>0.35581151067514871</v>
      </c>
      <c r="BL194" s="386">
        <f t="shared" si="187"/>
        <v>0.17052779460677664</v>
      </c>
    </row>
    <row r="195" spans="7:64" x14ac:dyDescent="0.2">
      <c r="G195">
        <v>186</v>
      </c>
      <c r="H195" s="610">
        <f t="shared" si="131"/>
        <v>34.11</v>
      </c>
      <c r="I195" s="4" t="str">
        <f t="shared" si="132"/>
        <v>BUCK</v>
      </c>
      <c r="J195">
        <f t="shared" si="170"/>
        <v>1</v>
      </c>
      <c r="K195">
        <f t="shared" si="133"/>
        <v>4</v>
      </c>
      <c r="L195" s="4">
        <f t="shared" si="134"/>
        <v>1.5635688458907455</v>
      </c>
      <c r="M195" s="4">
        <f t="shared" si="135"/>
        <v>4</v>
      </c>
      <c r="N195" s="386">
        <f t="shared" si="136"/>
        <v>0.35565700907228559</v>
      </c>
      <c r="O195" s="386">
        <f t="shared" si="172"/>
        <v>0</v>
      </c>
      <c r="P195" s="4">
        <f t="shared" si="137"/>
        <v>4.5029163313089864</v>
      </c>
      <c r="Q195" s="386">
        <f t="shared" si="138"/>
        <v>4.205911073385975</v>
      </c>
      <c r="R195" s="386">
        <f t="shared" si="173"/>
        <v>0.23794883923131746</v>
      </c>
      <c r="S195" s="386">
        <f t="shared" si="174"/>
        <v>0.65190846354873611</v>
      </c>
      <c r="T195" s="386">
        <f t="shared" si="175"/>
        <v>0.88985730278005359</v>
      </c>
      <c r="U195" s="4">
        <f t="shared" si="139"/>
        <v>1.2998799780098027</v>
      </c>
      <c r="V195" s="386">
        <f t="shared" si="176"/>
        <v>4.5621574845230661E-2</v>
      </c>
      <c r="W195" s="386">
        <f t="shared" si="177"/>
        <v>4.5621574845230661E-2</v>
      </c>
      <c r="X195" s="386">
        <f t="shared" si="140"/>
        <v>2.0134197592273995</v>
      </c>
      <c r="Y195" s="386">
        <f t="shared" si="178"/>
        <v>0.12972349205911424</v>
      </c>
      <c r="Z195" s="603">
        <f t="shared" si="179"/>
        <v>0.12972349205911424</v>
      </c>
      <c r="AA195" s="386">
        <f t="shared" si="141"/>
        <v>2.5082785950310069</v>
      </c>
      <c r="AB195" s="386">
        <f t="shared" si="142"/>
        <v>6.2914615102907218E-2</v>
      </c>
      <c r="AC195" s="386">
        <f t="shared" si="143"/>
        <v>0.54833025558455928</v>
      </c>
      <c r="AD195">
        <f t="shared" si="144"/>
        <v>0</v>
      </c>
      <c r="AE195" s="386">
        <f t="shared" si="145"/>
        <v>0.62029887130645356</v>
      </c>
      <c r="AF195" s="386">
        <f t="shared" si="146"/>
        <v>3.3761259524697893</v>
      </c>
      <c r="AG195" s="386">
        <f t="shared" si="147"/>
        <v>0.11398226446940042</v>
      </c>
      <c r="AH195" s="386">
        <f t="shared" si="148"/>
        <v>0.19239999999999999</v>
      </c>
      <c r="AI195" s="386">
        <f t="shared" si="149"/>
        <v>0.31470426805517898</v>
      </c>
      <c r="AJ195" s="386">
        <f t="shared" si="150"/>
        <v>0</v>
      </c>
      <c r="AK195" s="386">
        <f t="shared" si="151"/>
        <v>0</v>
      </c>
      <c r="AL195" s="386">
        <f t="shared" si="152"/>
        <v>0</v>
      </c>
      <c r="AM195">
        <f t="shared" si="153"/>
        <v>0</v>
      </c>
      <c r="AN195" s="386">
        <f t="shared" si="154"/>
        <v>0</v>
      </c>
      <c r="AO195" s="386">
        <f t="shared" si="155"/>
        <v>4.205911073385975</v>
      </c>
      <c r="AP195" s="386">
        <f t="shared" si="156"/>
        <v>0.17689687957230762</v>
      </c>
      <c r="AQ195" s="386">
        <f t="shared" si="157"/>
        <v>0</v>
      </c>
      <c r="AR195" s="386">
        <f t="shared" si="158"/>
        <v>0.18446743722683318</v>
      </c>
      <c r="AS195" s="386">
        <f t="shared" si="159"/>
        <v>0.17689687957230762</v>
      </c>
      <c r="AT195" s="386">
        <f t="shared" si="160"/>
        <v>0</v>
      </c>
      <c r="AU195" s="386">
        <f t="shared" si="161"/>
        <v>0.126059</v>
      </c>
      <c r="AV195" s="386">
        <f t="shared" si="162"/>
        <v>0.17097339670410061</v>
      </c>
      <c r="AW195" s="386">
        <f t="shared" si="163"/>
        <v>6.5920000000000006E-2</v>
      </c>
      <c r="AX195" s="386">
        <f t="shared" si="164"/>
        <v>3.6000000000000004E-2</v>
      </c>
      <c r="AY195" s="386">
        <f t="shared" si="165"/>
        <v>0.40226399999999995</v>
      </c>
      <c r="AZ195" s="386">
        <f t="shared" si="166"/>
        <v>0.30415082926829268</v>
      </c>
      <c r="BA195" s="386">
        <f t="shared" si="180"/>
        <v>0.43826399999999999</v>
      </c>
      <c r="BB195" s="386">
        <f t="shared" si="181"/>
        <v>2.9858893429769653</v>
      </c>
      <c r="BC195">
        <f t="shared" si="167"/>
        <v>48</v>
      </c>
      <c r="BD195" s="604">
        <f t="shared" si="182"/>
        <v>0.94143694693856983</v>
      </c>
      <c r="BE195" s="614">
        <f t="shared" si="168"/>
        <v>43.288756535774311</v>
      </c>
      <c r="BF195" s="614">
        <f t="shared" si="169"/>
        <v>18.252847547200382</v>
      </c>
      <c r="BG195" s="9"/>
      <c r="BH195" s="4">
        <f t="shared" si="183"/>
        <v>94.143694693856986</v>
      </c>
      <c r="BI195" s="386">
        <f t="shared" si="184"/>
        <v>0.88985730278005359</v>
      </c>
      <c r="BJ195" s="386">
        <f t="shared" si="185"/>
        <v>1.2455295765884655</v>
      </c>
      <c r="BK195" s="386">
        <f t="shared" si="186"/>
        <v>0.35630373805517901</v>
      </c>
      <c r="BL195" s="386">
        <f t="shared" si="187"/>
        <v>0.17097339670410061</v>
      </c>
    </row>
    <row r="196" spans="7:64" x14ac:dyDescent="0.2">
      <c r="G196">
        <v>187</v>
      </c>
      <c r="H196" s="610">
        <f t="shared" si="131"/>
        <v>34.245000000000005</v>
      </c>
      <c r="I196" s="4" t="str">
        <f t="shared" si="132"/>
        <v>BUCK</v>
      </c>
      <c r="J196">
        <f t="shared" si="170"/>
        <v>1</v>
      </c>
      <c r="K196">
        <f t="shared" si="133"/>
        <v>4</v>
      </c>
      <c r="L196" s="4">
        <f t="shared" si="134"/>
        <v>1.5574049739621352</v>
      </c>
      <c r="M196" s="4">
        <f t="shared" si="135"/>
        <v>4</v>
      </c>
      <c r="N196" s="386">
        <f t="shared" si="136"/>
        <v>0.35425739688092106</v>
      </c>
      <c r="O196" s="386">
        <f t="shared" si="172"/>
        <v>0</v>
      </c>
      <c r="P196" s="4">
        <f t="shared" si="137"/>
        <v>4.5126973589336066</v>
      </c>
      <c r="Q196" s="386">
        <f t="shared" si="138"/>
        <v>4.2067845742851944</v>
      </c>
      <c r="R196" s="386">
        <f t="shared" si="173"/>
        <v>0.23804956831280555</v>
      </c>
      <c r="S196" s="386">
        <f t="shared" si="174"/>
        <v>0.65517565413715684</v>
      </c>
      <c r="T196" s="386">
        <f t="shared" si="175"/>
        <v>0.89322522244996239</v>
      </c>
      <c r="U196" s="4">
        <f t="shared" si="139"/>
        <v>1.3027035174758155</v>
      </c>
      <c r="V196" s="386">
        <f t="shared" si="176"/>
        <v>4.5819984269984279E-2</v>
      </c>
      <c r="W196" s="386">
        <f t="shared" si="177"/>
        <v>4.5819984269984279E-2</v>
      </c>
      <c r="X196" s="386">
        <f t="shared" si="140"/>
        <v>2.0120531850234848</v>
      </c>
      <c r="Y196" s="386">
        <f t="shared" si="178"/>
        <v>0.1295474566196208</v>
      </c>
      <c r="Z196" s="603">
        <f t="shared" si="179"/>
        <v>0.1295474566196208</v>
      </c>
      <c r="AA196" s="386">
        <f t="shared" si="141"/>
        <v>2.5038582361743345</v>
      </c>
      <c r="AB196" s="386">
        <f t="shared" si="142"/>
        <v>6.2693060668580491E-2</v>
      </c>
      <c r="AC196" s="386">
        <f t="shared" si="143"/>
        <v>0.5505004281000655</v>
      </c>
      <c r="AD196">
        <f t="shared" si="144"/>
        <v>0</v>
      </c>
      <c r="AE196" s="386">
        <f t="shared" si="145"/>
        <v>0.62224389560575066</v>
      </c>
      <c r="AF196" s="386">
        <f t="shared" si="146"/>
        <v>3.3804926249861595</v>
      </c>
      <c r="AG196" s="386">
        <f t="shared" si="147"/>
        <v>0.11427730387585816</v>
      </c>
      <c r="AH196" s="386">
        <f t="shared" si="148"/>
        <v>0.19239999999999999</v>
      </c>
      <c r="AI196" s="386">
        <f t="shared" si="149"/>
        <v>0.31502947057689845</v>
      </c>
      <c r="AJ196" s="386">
        <f t="shared" si="150"/>
        <v>0</v>
      </c>
      <c r="AK196" s="386">
        <f t="shared" si="151"/>
        <v>0</v>
      </c>
      <c r="AL196" s="386">
        <f t="shared" si="152"/>
        <v>0</v>
      </c>
      <c r="AM196">
        <f t="shared" si="153"/>
        <v>0</v>
      </c>
      <c r="AN196" s="386">
        <f t="shared" si="154"/>
        <v>0</v>
      </c>
      <c r="AO196" s="386">
        <f t="shared" si="155"/>
        <v>4.2067845742851944</v>
      </c>
      <c r="AP196" s="386">
        <f t="shared" si="156"/>
        <v>0.17697036454443865</v>
      </c>
      <c r="AQ196" s="386">
        <f t="shared" si="157"/>
        <v>0</v>
      </c>
      <c r="AR196" s="386">
        <f t="shared" si="158"/>
        <v>0.18454734800118167</v>
      </c>
      <c r="AS196" s="386">
        <f t="shared" si="159"/>
        <v>0.17697036454443865</v>
      </c>
      <c r="AT196" s="386">
        <f t="shared" si="160"/>
        <v>0</v>
      </c>
      <c r="AU196" s="386">
        <f t="shared" si="161"/>
        <v>0.12655850000000002</v>
      </c>
      <c r="AV196" s="386">
        <f t="shared" si="162"/>
        <v>0.17141595581378724</v>
      </c>
      <c r="AW196" s="386">
        <f t="shared" si="163"/>
        <v>6.5920000000000006E-2</v>
      </c>
      <c r="AX196" s="386">
        <f t="shared" si="164"/>
        <v>3.6000000000000004E-2</v>
      </c>
      <c r="AY196" s="386">
        <f t="shared" si="165"/>
        <v>0.40226399999999995</v>
      </c>
      <c r="AZ196" s="386">
        <f t="shared" si="166"/>
        <v>0.30415082926829268</v>
      </c>
      <c r="BA196" s="386">
        <f t="shared" si="180"/>
        <v>0.43826399999999999</v>
      </c>
      <c r="BB196" s="386">
        <f t="shared" si="181"/>
        <v>2.9925718333371853</v>
      </c>
      <c r="BC196">
        <f t="shared" si="167"/>
        <v>48</v>
      </c>
      <c r="BD196" s="604">
        <f t="shared" si="182"/>
        <v>0.94131357321772213</v>
      </c>
      <c r="BE196" s="614">
        <f t="shared" si="168"/>
        <v>43.430538945133542</v>
      </c>
      <c r="BF196" s="614">
        <f t="shared" si="169"/>
        <v>18.271709293460109</v>
      </c>
      <c r="BG196" s="9"/>
      <c r="BH196" s="4">
        <f t="shared" si="183"/>
        <v>94.131357321772214</v>
      </c>
      <c r="BI196" s="386">
        <f t="shared" si="184"/>
        <v>0.89322522244996239</v>
      </c>
      <c r="BJ196" s="386">
        <f t="shared" si="185"/>
        <v>1.2483792141838308</v>
      </c>
      <c r="BK196" s="386">
        <f t="shared" si="186"/>
        <v>0.35679377557689845</v>
      </c>
      <c r="BL196" s="386">
        <f t="shared" si="187"/>
        <v>0.17141595581378724</v>
      </c>
    </row>
    <row r="197" spans="7:64" x14ac:dyDescent="0.2">
      <c r="G197">
        <v>188</v>
      </c>
      <c r="H197" s="610">
        <f t="shared" si="131"/>
        <v>34.379999999999995</v>
      </c>
      <c r="I197" s="4" t="str">
        <f t="shared" si="132"/>
        <v>BUCK</v>
      </c>
      <c r="J197">
        <f t="shared" si="170"/>
        <v>1</v>
      </c>
      <c r="K197">
        <f t="shared" si="133"/>
        <v>4</v>
      </c>
      <c r="L197" s="4">
        <f t="shared" si="134"/>
        <v>1.5512895094046928</v>
      </c>
      <c r="M197" s="4">
        <f t="shared" si="135"/>
        <v>4</v>
      </c>
      <c r="N197" s="386">
        <f t="shared" si="136"/>
        <v>0.35286875725900119</v>
      </c>
      <c r="O197" s="386">
        <f t="shared" si="172"/>
        <v>0</v>
      </c>
      <c r="P197" s="4">
        <f t="shared" si="137"/>
        <v>4.5224017060280683</v>
      </c>
      <c r="Q197" s="386">
        <f t="shared" si="138"/>
        <v>4.2076529204799913</v>
      </c>
      <c r="R197" s="386">
        <f t="shared" si="173"/>
        <v>0.23814972528411327</v>
      </c>
      <c r="S197" s="386">
        <f t="shared" si="174"/>
        <v>0.65842636967324897</v>
      </c>
      <c r="T197" s="386">
        <f t="shared" si="175"/>
        <v>0.89657609495736224</v>
      </c>
      <c r="U197" s="4">
        <f t="shared" si="139"/>
        <v>1.305504921179464</v>
      </c>
      <c r="V197" s="386">
        <f t="shared" si="176"/>
        <v>4.6017263679042561E-2</v>
      </c>
      <c r="W197" s="386">
        <f t="shared" si="177"/>
        <v>4.6017263679042561E-2</v>
      </c>
      <c r="X197" s="386">
        <f t="shared" si="140"/>
        <v>2.0106787886850306</v>
      </c>
      <c r="Y197" s="386">
        <f t="shared" si="178"/>
        <v>0.12937053412057287</v>
      </c>
      <c r="Z197" s="603">
        <f t="shared" si="179"/>
        <v>0.12937053412057287</v>
      </c>
      <c r="AA197" s="386">
        <f t="shared" si="141"/>
        <v>2.499461851581271</v>
      </c>
      <c r="AB197" s="386">
        <f t="shared" si="142"/>
        <v>6.2473095475100764E-2</v>
      </c>
      <c r="AC197" s="386">
        <f t="shared" si="143"/>
        <v>0.55267060061557161</v>
      </c>
      <c r="AD197">
        <f t="shared" si="144"/>
        <v>0</v>
      </c>
      <c r="AE197" s="386">
        <f t="shared" si="145"/>
        <v>0.62419056315265864</v>
      </c>
      <c r="AF197" s="386">
        <f t="shared" si="146"/>
        <v>3.3848240060177019</v>
      </c>
      <c r="AG197" s="386">
        <f t="shared" si="147"/>
        <v>0.11457033551713725</v>
      </c>
      <c r="AH197" s="386">
        <f t="shared" si="148"/>
        <v>0.19239999999999999</v>
      </c>
      <c r="AI197" s="386">
        <f t="shared" si="149"/>
        <v>0.31535250534072645</v>
      </c>
      <c r="AJ197" s="386">
        <f t="shared" si="150"/>
        <v>0</v>
      </c>
      <c r="AK197" s="386">
        <f t="shared" si="151"/>
        <v>0</v>
      </c>
      <c r="AL197" s="386">
        <f t="shared" si="152"/>
        <v>0</v>
      </c>
      <c r="AM197">
        <f t="shared" si="153"/>
        <v>0</v>
      </c>
      <c r="AN197" s="386">
        <f t="shared" si="154"/>
        <v>0</v>
      </c>
      <c r="AO197" s="386">
        <f t="shared" si="155"/>
        <v>4.2076529204799913</v>
      </c>
      <c r="AP197" s="386">
        <f t="shared" si="156"/>
        <v>0.17704343099223799</v>
      </c>
      <c r="AQ197" s="386">
        <f t="shared" si="157"/>
        <v>0</v>
      </c>
      <c r="AR197" s="386">
        <f t="shared" si="158"/>
        <v>0.18462680647105803</v>
      </c>
      <c r="AS197" s="386">
        <f t="shared" si="159"/>
        <v>0.17704343099223799</v>
      </c>
      <c r="AT197" s="386">
        <f t="shared" si="160"/>
        <v>0</v>
      </c>
      <c r="AU197" s="386">
        <f t="shared" si="161"/>
        <v>0.127058</v>
      </c>
      <c r="AV197" s="386">
        <f t="shared" si="162"/>
        <v>0.17185550327570587</v>
      </c>
      <c r="AW197" s="386">
        <f t="shared" si="163"/>
        <v>6.5920000000000006E-2</v>
      </c>
      <c r="AX197" s="386">
        <f t="shared" si="164"/>
        <v>3.6000000000000004E-2</v>
      </c>
      <c r="AY197" s="386">
        <f t="shared" si="165"/>
        <v>0.40226399999999995</v>
      </c>
      <c r="AZ197" s="386">
        <f t="shared" si="166"/>
        <v>0.30415082926829268</v>
      </c>
      <c r="BA197" s="386">
        <f t="shared" si="180"/>
        <v>0.43826399999999999</v>
      </c>
      <c r="BB197" s="386">
        <f t="shared" si="181"/>
        <v>2.9992312709971265</v>
      </c>
      <c r="BC197">
        <f t="shared" si="167"/>
        <v>48</v>
      </c>
      <c r="BD197" s="604">
        <f t="shared" si="182"/>
        <v>0.94119065726579354</v>
      </c>
      <c r="BE197" s="614">
        <f t="shared" si="168"/>
        <v>43.572416662854202</v>
      </c>
      <c r="BF197" s="614">
        <f t="shared" si="169"/>
        <v>18.290445309762134</v>
      </c>
      <c r="BG197" s="9"/>
      <c r="BH197" s="4">
        <f t="shared" si="183"/>
        <v>94.11906572657935</v>
      </c>
      <c r="BI197" s="386">
        <f t="shared" si="184"/>
        <v>0.89657609495736224</v>
      </c>
      <c r="BJ197" s="386">
        <f t="shared" si="185"/>
        <v>1.2512278749644432</v>
      </c>
      <c r="BK197" s="386">
        <f t="shared" si="186"/>
        <v>0.35728164534072648</v>
      </c>
      <c r="BL197" s="386">
        <f t="shared" si="187"/>
        <v>0.17185550327570587</v>
      </c>
    </row>
    <row r="198" spans="7:64" x14ac:dyDescent="0.2">
      <c r="G198">
        <v>189</v>
      </c>
      <c r="H198" s="610">
        <f t="shared" si="131"/>
        <v>34.515000000000001</v>
      </c>
      <c r="I198" s="4" t="str">
        <f t="shared" si="132"/>
        <v>BUCK</v>
      </c>
      <c r="J198">
        <f t="shared" si="170"/>
        <v>1</v>
      </c>
      <c r="K198">
        <f t="shared" si="133"/>
        <v>4</v>
      </c>
      <c r="L198" s="4">
        <f t="shared" si="134"/>
        <v>1.545221884204935</v>
      </c>
      <c r="M198" s="4">
        <f t="shared" si="135"/>
        <v>4</v>
      </c>
      <c r="N198" s="386">
        <f t="shared" si="136"/>
        <v>0.35149096167751259</v>
      </c>
      <c r="O198" s="386">
        <f t="shared" si="172"/>
        <v>0</v>
      </c>
      <c r="P198" s="4">
        <f t="shared" si="137"/>
        <v>4.5320302708024869</v>
      </c>
      <c r="Q198" s="386">
        <f t="shared" si="138"/>
        <v>4.2085161515617164</v>
      </c>
      <c r="R198" s="386">
        <f t="shared" si="173"/>
        <v>0.23824931431813506</v>
      </c>
      <c r="S198" s="386">
        <f t="shared" si="174"/>
        <v>0.66166070238645591</v>
      </c>
      <c r="T198" s="386">
        <f t="shared" si="175"/>
        <v>0.89991001670459103</v>
      </c>
      <c r="U198" s="4">
        <f t="shared" si="139"/>
        <v>1.3082844484116742</v>
      </c>
      <c r="V198" s="386">
        <f t="shared" si="176"/>
        <v>4.6213421344807645E-2</v>
      </c>
      <c r="W198" s="386">
        <f t="shared" si="177"/>
        <v>4.6213421344807645E-2</v>
      </c>
      <c r="X198" s="386">
        <f t="shared" si="140"/>
        <v>2.0092968151670338</v>
      </c>
      <c r="Y198" s="386">
        <f t="shared" si="178"/>
        <v>0.12919275812609235</v>
      </c>
      <c r="Z198" s="603">
        <f t="shared" si="179"/>
        <v>0.12919275812609235</v>
      </c>
      <c r="AA198" s="386">
        <f t="shared" si="141"/>
        <v>2.4950892165120697</v>
      </c>
      <c r="AB198" s="386">
        <f t="shared" si="142"/>
        <v>6.2254701983548141E-2</v>
      </c>
      <c r="AC198" s="386">
        <f t="shared" si="143"/>
        <v>0.55484077313107782</v>
      </c>
      <c r="AD198">
        <f t="shared" si="144"/>
        <v>0</v>
      </c>
      <c r="AE198" s="386">
        <f t="shared" si="145"/>
        <v>0.62613885549564052</v>
      </c>
      <c r="AF198" s="386">
        <f t="shared" si="146"/>
        <v>3.3891205348292095</v>
      </c>
      <c r="AG198" s="386">
        <f t="shared" si="147"/>
        <v>0.11486137999601027</v>
      </c>
      <c r="AH198" s="386">
        <f t="shared" si="148"/>
        <v>0.19239999999999999</v>
      </c>
      <c r="AI198" s="386">
        <f t="shared" si="149"/>
        <v>0.31567339414567674</v>
      </c>
      <c r="AJ198" s="386">
        <f t="shared" si="150"/>
        <v>0</v>
      </c>
      <c r="AK198" s="386">
        <f t="shared" si="151"/>
        <v>0</v>
      </c>
      <c r="AL198" s="386">
        <f t="shared" si="152"/>
        <v>0</v>
      </c>
      <c r="AM198">
        <f t="shared" si="153"/>
        <v>0</v>
      </c>
      <c r="AN198" s="386">
        <f t="shared" si="154"/>
        <v>0</v>
      </c>
      <c r="AO198" s="386">
        <f t="shared" si="155"/>
        <v>4.2085161515617164</v>
      </c>
      <c r="AP198" s="386">
        <f t="shared" si="156"/>
        <v>0.17711608197955842</v>
      </c>
      <c r="AQ198" s="386">
        <f t="shared" si="157"/>
        <v>0</v>
      </c>
      <c r="AR198" s="386">
        <f t="shared" si="158"/>
        <v>0.18470581592039922</v>
      </c>
      <c r="AS198" s="386">
        <f t="shared" si="159"/>
        <v>0.17711608197955842</v>
      </c>
      <c r="AT198" s="386">
        <f t="shared" si="160"/>
        <v>0</v>
      </c>
      <c r="AU198" s="386">
        <f t="shared" si="161"/>
        <v>0.12755750000000002</v>
      </c>
      <c r="AV198" s="386">
        <f t="shared" si="162"/>
        <v>0.17229206999401539</v>
      </c>
      <c r="AW198" s="386">
        <f t="shared" si="163"/>
        <v>6.5920000000000006E-2</v>
      </c>
      <c r="AX198" s="386">
        <f t="shared" si="164"/>
        <v>3.6000000000000004E-2</v>
      </c>
      <c r="AY198" s="386">
        <f t="shared" si="165"/>
        <v>0.40226399999999995</v>
      </c>
      <c r="AZ198" s="386">
        <f t="shared" si="166"/>
        <v>0.30415082926829268</v>
      </c>
      <c r="BA198" s="386">
        <f t="shared" si="180"/>
        <v>0.43826399999999999</v>
      </c>
      <c r="BB198" s="386">
        <f t="shared" si="181"/>
        <v>3.0058678317312237</v>
      </c>
      <c r="BC198">
        <f t="shared" si="167"/>
        <v>48</v>
      </c>
      <c r="BD198" s="604">
        <f t="shared" si="182"/>
        <v>0.94106819549374976</v>
      </c>
      <c r="BE198" s="614">
        <f t="shared" si="168"/>
        <v>43.714388618747151</v>
      </c>
      <c r="BF198" s="614">
        <f t="shared" si="169"/>
        <v>18.30905686044925</v>
      </c>
      <c r="BG198" s="9"/>
      <c r="BH198" s="4">
        <f t="shared" si="183"/>
        <v>94.106819549374976</v>
      </c>
      <c r="BI198" s="386">
        <f t="shared" si="184"/>
        <v>0.89991001670459103</v>
      </c>
      <c r="BJ198" s="386">
        <f t="shared" si="185"/>
        <v>1.2540755655617164</v>
      </c>
      <c r="BK198" s="386">
        <f t="shared" si="186"/>
        <v>0.35776736914567675</v>
      </c>
      <c r="BL198" s="386">
        <f t="shared" si="187"/>
        <v>0.17229206999401539</v>
      </c>
    </row>
    <row r="199" spans="7:64" x14ac:dyDescent="0.2">
      <c r="G199">
        <v>190</v>
      </c>
      <c r="H199" s="610">
        <f t="shared" si="131"/>
        <v>34.65</v>
      </c>
      <c r="I199" s="4" t="str">
        <f t="shared" si="132"/>
        <v>BUCK</v>
      </c>
      <c r="J199">
        <f t="shared" si="170"/>
        <v>1</v>
      </c>
      <c r="K199">
        <f t="shared" si="133"/>
        <v>4</v>
      </c>
      <c r="L199" s="4">
        <f t="shared" si="134"/>
        <v>1.5392015392015392</v>
      </c>
      <c r="M199" s="4">
        <f t="shared" si="135"/>
        <v>4</v>
      </c>
      <c r="N199" s="386">
        <f t="shared" si="136"/>
        <v>0.35012388360702962</v>
      </c>
      <c r="O199" s="386">
        <f t="shared" si="172"/>
        <v>0</v>
      </c>
      <c r="P199" s="4">
        <f t="shared" si="137"/>
        <v>4.541583937493094</v>
      </c>
      <c r="Q199" s="386">
        <f t="shared" si="138"/>
        <v>4.2093743068427569</v>
      </c>
      <c r="R199" s="386">
        <f t="shared" si="173"/>
        <v>0.23834833956189735</v>
      </c>
      <c r="S199" s="386">
        <f t="shared" si="174"/>
        <v>0.66487874453347939</v>
      </c>
      <c r="T199" s="386">
        <f t="shared" si="175"/>
        <v>0.90322708409537678</v>
      </c>
      <c r="U199" s="4">
        <f t="shared" si="139"/>
        <v>1.3110423544294592</v>
      </c>
      <c r="V199" s="386">
        <f t="shared" si="176"/>
        <v>4.6408465487914372E-2</v>
      </c>
      <c r="W199" s="386">
        <f t="shared" si="177"/>
        <v>4.6408465487914372E-2</v>
      </c>
      <c r="X199" s="386">
        <f t="shared" si="140"/>
        <v>2.0079075034601863</v>
      </c>
      <c r="Y199" s="386">
        <f t="shared" si="178"/>
        <v>0.12901416135845498</v>
      </c>
      <c r="Z199" s="603">
        <f t="shared" si="179"/>
        <v>0.12901416135845498</v>
      </c>
      <c r="AA199" s="386">
        <f t="shared" si="141"/>
        <v>2.4907401093078976</v>
      </c>
      <c r="AB199" s="386">
        <f t="shared" si="142"/>
        <v>6.2037862921151182E-2</v>
      </c>
      <c r="AC199" s="386">
        <f t="shared" si="143"/>
        <v>0.55701094564658393</v>
      </c>
      <c r="AD199">
        <f t="shared" si="144"/>
        <v>0</v>
      </c>
      <c r="AE199" s="386">
        <f t="shared" si="145"/>
        <v>0.62808875446779677</v>
      </c>
      <c r="AF199" s="386">
        <f t="shared" si="146"/>
        <v>3.3933826431737435</v>
      </c>
      <c r="AG199" s="386">
        <f t="shared" si="147"/>
        <v>0.11515045762992822</v>
      </c>
      <c r="AH199" s="386">
        <f t="shared" si="148"/>
        <v>0.19239999999999999</v>
      </c>
      <c r="AI199" s="386">
        <f t="shared" si="149"/>
        <v>0.31599215849461287</v>
      </c>
      <c r="AJ199" s="386">
        <f t="shared" si="150"/>
        <v>0</v>
      </c>
      <c r="AK199" s="386">
        <f t="shared" si="151"/>
        <v>0</v>
      </c>
      <c r="AL199" s="386">
        <f t="shared" si="152"/>
        <v>0</v>
      </c>
      <c r="AM199">
        <f t="shared" si="153"/>
        <v>0</v>
      </c>
      <c r="AN199" s="386">
        <f t="shared" si="154"/>
        <v>0</v>
      </c>
      <c r="AO199" s="386">
        <f t="shared" si="155"/>
        <v>4.2093743068427569</v>
      </c>
      <c r="AP199" s="386">
        <f t="shared" si="156"/>
        <v>0.17718832055107941</v>
      </c>
      <c r="AQ199" s="386">
        <f t="shared" si="157"/>
        <v>0</v>
      </c>
      <c r="AR199" s="386">
        <f t="shared" si="158"/>
        <v>0.18478437961302707</v>
      </c>
      <c r="AS199" s="386">
        <f t="shared" si="159"/>
        <v>0.17718832055107941</v>
      </c>
      <c r="AT199" s="386">
        <f t="shared" si="160"/>
        <v>0</v>
      </c>
      <c r="AU199" s="386">
        <f t="shared" si="161"/>
        <v>0.128057</v>
      </c>
      <c r="AV199" s="386">
        <f t="shared" si="162"/>
        <v>0.17272568644489231</v>
      </c>
      <c r="AW199" s="386">
        <f t="shared" si="163"/>
        <v>6.5920000000000006E-2</v>
      </c>
      <c r="AX199" s="386">
        <f t="shared" si="164"/>
        <v>3.6000000000000004E-2</v>
      </c>
      <c r="AY199" s="386">
        <f t="shared" si="165"/>
        <v>0.40226399999999995</v>
      </c>
      <c r="AZ199" s="386">
        <f t="shared" si="166"/>
        <v>0.30415082926829268</v>
      </c>
      <c r="BA199" s="386">
        <f t="shared" si="180"/>
        <v>0.43826399999999999</v>
      </c>
      <c r="BB199" s="386">
        <f t="shared" si="181"/>
        <v>3.0124816899620757</v>
      </c>
      <c r="BC199">
        <f t="shared" si="167"/>
        <v>48</v>
      </c>
      <c r="BD199" s="604">
        <f t="shared" si="182"/>
        <v>0.94094618434227539</v>
      </c>
      <c r="BE199" s="614">
        <f t="shared" si="168"/>
        <v>43.856453759132208</v>
      </c>
      <c r="BF199" s="614">
        <f t="shared" si="169"/>
        <v>18.327545192687548</v>
      </c>
      <c r="BG199" s="9"/>
      <c r="BH199" s="4">
        <f t="shared" si="183"/>
        <v>94.094618434227542</v>
      </c>
      <c r="BI199" s="386">
        <f t="shared" si="184"/>
        <v>0.90322708409537678</v>
      </c>
      <c r="BJ199" s="386">
        <f t="shared" si="185"/>
        <v>1.2569222925754369</v>
      </c>
      <c r="BK199" s="386">
        <f t="shared" si="186"/>
        <v>0.35825096849461285</v>
      </c>
      <c r="BL199" s="386">
        <f t="shared" si="187"/>
        <v>0.17272568644489231</v>
      </c>
    </row>
    <row r="200" spans="7:64" x14ac:dyDescent="0.2">
      <c r="G200">
        <v>191</v>
      </c>
      <c r="H200" s="610">
        <f t="shared" si="131"/>
        <v>34.784999999999997</v>
      </c>
      <c r="I200" s="4" t="str">
        <f t="shared" si="132"/>
        <v>BUCK</v>
      </c>
      <c r="J200">
        <f t="shared" si="170"/>
        <v>1</v>
      </c>
      <c r="K200">
        <f t="shared" si="133"/>
        <v>4</v>
      </c>
      <c r="L200" s="4">
        <f t="shared" si="134"/>
        <v>1.5332279239135644</v>
      </c>
      <c r="M200" s="4">
        <f t="shared" si="135"/>
        <v>4</v>
      </c>
      <c r="N200" s="386">
        <f t="shared" si="136"/>
        <v>0.34876739847897831</v>
      </c>
      <c r="O200" s="386">
        <f t="shared" si="172"/>
        <v>0</v>
      </c>
      <c r="P200" s="4">
        <f t="shared" si="137"/>
        <v>4.5510635766329344</v>
      </c>
      <c r="Q200" s="386">
        <f t="shared" si="138"/>
        <v>4.2102274253551801</v>
      </c>
      <c r="R200" s="386">
        <f t="shared" si="173"/>
        <v>0.23844680513630837</v>
      </c>
      <c r="S200" s="386">
        <f t="shared" si="174"/>
        <v>0.66808058837164619</v>
      </c>
      <c r="T200" s="386">
        <f t="shared" si="175"/>
        <v>0.90652739350795453</v>
      </c>
      <c r="U200" s="4">
        <f t="shared" si="139"/>
        <v>1.3137788905340628</v>
      </c>
      <c r="V200" s="386">
        <f t="shared" si="176"/>
        <v>4.6602404276748652E-2</v>
      </c>
      <c r="W200" s="386">
        <f t="shared" si="177"/>
        <v>4.6602404276748652E-2</v>
      </c>
      <c r="X200" s="386">
        <f t="shared" si="140"/>
        <v>2.0065110867500104</v>
      </c>
      <c r="Y200" s="386">
        <f t="shared" si="178"/>
        <v>0.12883477572002267</v>
      </c>
      <c r="Z200" s="603">
        <f t="shared" si="179"/>
        <v>0.12883477572002267</v>
      </c>
      <c r="AA200" s="386">
        <f t="shared" si="141"/>
        <v>2.4864143113340709</v>
      </c>
      <c r="AB200" s="386">
        <f t="shared" si="142"/>
        <v>6.1822561276068826E-2</v>
      </c>
      <c r="AC200" s="386">
        <f t="shared" si="143"/>
        <v>0.55918111816209004</v>
      </c>
      <c r="AD200">
        <f t="shared" si="144"/>
        <v>0</v>
      </c>
      <c r="AE200" s="386">
        <f t="shared" si="145"/>
        <v>0.63004024218120258</v>
      </c>
      <c r="AF200" s="386">
        <f t="shared" si="146"/>
        <v>3.3976107554583157</v>
      </c>
      <c r="AG200" s="386">
        <f t="shared" si="147"/>
        <v>0.11543758845606027</v>
      </c>
      <c r="AH200" s="386">
        <f t="shared" si="148"/>
        <v>0.19239999999999999</v>
      </c>
      <c r="AI200" s="386">
        <f t="shared" si="149"/>
        <v>0.3163088195993895</v>
      </c>
      <c r="AJ200" s="386">
        <f t="shared" si="150"/>
        <v>0</v>
      </c>
      <c r="AK200" s="386">
        <f t="shared" si="151"/>
        <v>0</v>
      </c>
      <c r="AL200" s="386">
        <f t="shared" si="152"/>
        <v>0</v>
      </c>
      <c r="AM200">
        <f t="shared" si="153"/>
        <v>0</v>
      </c>
      <c r="AN200" s="386">
        <f t="shared" si="154"/>
        <v>0</v>
      </c>
      <c r="AO200" s="386">
        <f t="shared" si="155"/>
        <v>4.2102274253551801</v>
      </c>
      <c r="AP200" s="386">
        <f t="shared" si="156"/>
        <v>0.17726014973212909</v>
      </c>
      <c r="AQ200" s="386">
        <f t="shared" si="157"/>
        <v>0</v>
      </c>
      <c r="AR200" s="386">
        <f t="shared" si="158"/>
        <v>0.18486250079244437</v>
      </c>
      <c r="AS200" s="386">
        <f t="shared" si="159"/>
        <v>0.17726014973212909</v>
      </c>
      <c r="AT200" s="386">
        <f t="shared" si="160"/>
        <v>0</v>
      </c>
      <c r="AU200" s="386">
        <f t="shared" si="161"/>
        <v>0.12855649999999999</v>
      </c>
      <c r="AV200" s="386">
        <f t="shared" si="162"/>
        <v>0.17315638268409039</v>
      </c>
      <c r="AW200" s="386">
        <f t="shared" si="163"/>
        <v>6.5920000000000006E-2</v>
      </c>
      <c r="AX200" s="386">
        <f t="shared" si="164"/>
        <v>3.6000000000000004E-2</v>
      </c>
      <c r="AY200" s="386">
        <f t="shared" si="165"/>
        <v>0.40226399999999995</v>
      </c>
      <c r="AZ200" s="386">
        <f t="shared" si="166"/>
        <v>0.30415082926829268</v>
      </c>
      <c r="BA200" s="386">
        <f t="shared" si="180"/>
        <v>0.43826399999999999</v>
      </c>
      <c r="BB200" s="386">
        <f t="shared" si="181"/>
        <v>3.0190730187618531</v>
      </c>
      <c r="BC200">
        <f t="shared" si="167"/>
        <v>48</v>
      </c>
      <c r="BD200" s="604">
        <f t="shared" si="182"/>
        <v>0.94082462028168146</v>
      </c>
      <c r="BE200" s="614">
        <f t="shared" si="168"/>
        <v>43.998611046509751</v>
      </c>
      <c r="BF200" s="614">
        <f t="shared" si="169"/>
        <v>18.345911536764589</v>
      </c>
      <c r="BG200" s="9"/>
      <c r="BH200" s="4">
        <f t="shared" si="183"/>
        <v>94.082462028168152</v>
      </c>
      <c r="BI200" s="386">
        <f t="shared" si="184"/>
        <v>0.90652739350795453</v>
      </c>
      <c r="BJ200" s="386">
        <f t="shared" si="185"/>
        <v>1.2597680625730365</v>
      </c>
      <c r="BK200" s="386">
        <f t="shared" si="186"/>
        <v>0.35873246459938951</v>
      </c>
      <c r="BL200" s="386">
        <f t="shared" si="187"/>
        <v>0.17315638268409039</v>
      </c>
    </row>
    <row r="201" spans="7:64" x14ac:dyDescent="0.2">
      <c r="G201">
        <v>192</v>
      </c>
      <c r="H201" s="610">
        <f t="shared" ref="H201:H209" si="188">VIN_min+(VIN_max-VIN_min)*(G201/200)</f>
        <v>34.92</v>
      </c>
      <c r="I201" s="4" t="str">
        <f t="shared" ref="I201:I209" si="189">IF(H201&gt;VIN_BB_to_buck, "BUCK", IF(H201&lt;VIN_boost_to_BB,"BOOST","BUCK-BST"))</f>
        <v>BUCK</v>
      </c>
      <c r="J201">
        <f t="shared" si="170"/>
        <v>1</v>
      </c>
      <c r="K201">
        <f t="shared" ref="K201:K209" si="190">Iout</f>
        <v>4</v>
      </c>
      <c r="L201" s="4">
        <f t="shared" ref="L201:L209" si="191">Vout*K201/(H201*Efficiency)</f>
        <v>1.5273004963726613</v>
      </c>
      <c r="M201" s="4">
        <f t="shared" ref="M201:M209" si="192">Iout/(1-O201)</f>
        <v>4</v>
      </c>
      <c r="N201" s="386">
        <f t="shared" ref="N201:N209" si="193">CHOOSE(J201,(Vout+(Rdson2+Rs+Rdcr)*K201)/(H201+(Rs+Rdson2-Rdson1)*K201),1,IF(H201&lt;Vout,D_max_buck_BB,Vout/H201*(1-D_min_boost_exitBB_to_buck)))</f>
        <v>0.34742138364779868</v>
      </c>
      <c r="O201" s="386">
        <f t="shared" si="172"/>
        <v>0</v>
      </c>
      <c r="P201" s="4">
        <f t="shared" ref="P201:P209" si="194">MAX(0, CHOOSE(J201, (H201-(Rdson1+Rdcr)*K201-Vout)*N201/(Fsw*Lf), (H201-(Rdson4+Rdcr+Rs)*L201)*O201/(Fsw*Lf), IF(H201&lt;Vout, (H201-(Rdson4+Rdcr+Rs)*L201)*O201/(0.5*Fsw*Lf),(H201-(Rdson1+Rdcr)*K201-Vout)*N201/(0.5*Fsw*Lf))))</f>
        <v>4.5604700453162925</v>
      </c>
      <c r="Q201" s="386">
        <f t="shared" ref="Q201:Q209" si="195">CHOOSE(J201, SQRT(K201^2+(P201^2)/12), SQRT(L201^2+(P201^2)/12), SQRT(M201^2+(P201^2)/12))</f>
        <v>4.211075545849571</v>
      </c>
      <c r="R201" s="386">
        <f t="shared" si="173"/>
        <v>0.23854471513593137</v>
      </c>
      <c r="S201" s="386">
        <f t="shared" si="174"/>
        <v>0.67126632613342829</v>
      </c>
      <c r="T201" s="386">
        <f t="shared" si="175"/>
        <v>0.90981104126935963</v>
      </c>
      <c r="U201" s="4">
        <f t="shared" ref="U201:U209" si="196">IF(H201&gt;Vout, P201/SQRT(12), SQRT(O201/(1-O201))*SQRT(K201^2+(P201^2)/12))</f>
        <v>1.3164943041472932</v>
      </c>
      <c r="V201" s="386">
        <f t="shared" si="176"/>
        <v>4.6795245827011174E-2</v>
      </c>
      <c r="W201" s="386">
        <f t="shared" si="177"/>
        <v>4.6795245827011174E-2</v>
      </c>
      <c r="X201" s="386">
        <f t="shared" ref="X201:X209" si="197">IF(H201&gt;Vout, SQRT(N201*(1-N201))*SQRT(K201^2+(P201^2)/12), P201/SQRT(12))</f>
        <v>2.0051077925711489</v>
      </c>
      <c r="Y201" s="386">
        <f t="shared" si="178"/>
        <v>0.12865463231454546</v>
      </c>
      <c r="Z201" s="603">
        <f t="shared" si="179"/>
        <v>0.12865463231454546</v>
      </c>
      <c r="AA201" s="386">
        <f t="shared" ref="AA201:AA209" si="198">CHOOSE(J201, SQRT(N201)*SQRT(K201^2+(P201^2)/12), SQRT(L201^2+(P201^2)/12), SQRT(N201)*SQRT(M201^2+(P201^2)/12))</f>
        <v>2.4821116069246218</v>
      </c>
      <c r="AB201" s="386">
        <f t="shared" ref="AB201:AB209" si="199">Rdson1*AA201^2</f>
        <v>6.1608780292299284E-2</v>
      </c>
      <c r="AC201" s="386">
        <f t="shared" ref="AC201:AC209" si="200">CHOOSE(J201, (H201*K201/2)*(Fsw)*(Tr_buck+Tf_buck), 0, (H201*M201/2)*(Fsw/2)*(Tr_buck+Tf_buck))</f>
        <v>0.56135129067759637</v>
      </c>
      <c r="AD201">
        <f t="shared" ref="AD201:AD209" si="201">IF(H201&gt;Vout, IF(K201&gt;P201/2,0,ABS(K201-P201/2)*Vsd_Q1*Deadtime*Fsw),0)</f>
        <v>0</v>
      </c>
      <c r="AE201" s="386">
        <f t="shared" ref="AE201:AE209" si="202">(AD201+AC201+AB201*(1+RdsonTopTc*Ta-RdsonTopTc*25))/(1-AB201*RdsonTopTc*ThetaJA_Q1)</f>
        <v>0.63199330102138462</v>
      </c>
      <c r="AF201" s="386">
        <f t="shared" ref="AF201:AF209" si="203">CHOOSE(J201, SQRT((1-N201))*SQRT(K201^2+(P201^2)/12), 0, SQRT((1-N201))*SQRT(M201^2+(P201^2)/12))</f>
        <v>3.4018052889050447</v>
      </c>
      <c r="AG201" s="386">
        <f t="shared" ref="AG201:AG209" si="204">Rdson2*AF201^2</f>
        <v>0.11572279223622335</v>
      </c>
      <c r="AH201" s="386">
        <f t="shared" ref="AH201:AH209" si="205">CHOOSE(J201, IF(K201&lt;P201/2,Deadtime*Fsw*IF(VfdSky_Q2&gt;0,0,Vsd_Q2)*(K201+P201/2),2*Deadtime*Fsw*IF(VfdSky_Q2&gt;0,0,Vsd_Q2)*K201),0, IF(K201&lt;P201/2,Deadtime*Fsw/2*IF(VfdSky_Q2&gt;0,0,Vsd_Q2)*(K201+P201/2),2*Deadtime*Fsw/2*IF(VfdSky_Q2&gt;0,0,Vsd_Q2)*K201))</f>
        <v>0.19239999999999999</v>
      </c>
      <c r="AI201" s="386">
        <f t="shared" ref="AI201:AI209" si="206">(AH201+AG201*(1+RdsonBotTc*Ta-RdsonBotTc*25))/(1-AG201*RdsonBotTc*ThetaJA_Q2)</f>
        <v>0.31662339838588388</v>
      </c>
      <c r="AJ201" s="386">
        <f t="shared" ref="AJ201:AJ209" si="207">CHOOSE(J201, 0, SQRT(O201)*SQRT(L201^2+(P201^2)/12), SQRT(O201)*SQRT(M201^2+(P201^2)/12))</f>
        <v>0</v>
      </c>
      <c r="AK201" s="386">
        <f t="shared" ref="AK201:AK209" si="208">Rdson4*AJ201^2</f>
        <v>0</v>
      </c>
      <c r="AL201" s="386">
        <f t="shared" ref="AL201:AL209" si="209">CHOOSE(J201, 0, (Vout*L201/2)*(Fsw)*(Tr_boost+Tf_boost), (Vout*Iout/2)*(Fsw/2)*(Tr_boost+Tf_boost))</f>
        <v>0</v>
      </c>
      <c r="AM201">
        <f t="shared" ref="AM201:AM209" si="210">IF(H201&gt;Vout, 0, IF(L201&gt;P201/2,0,ABS(L201-P201/2)*Vsd_Q4*Deadtime*Fsw))</f>
        <v>0</v>
      </c>
      <c r="AN201" s="386">
        <f t="shared" ref="AN201:AN209" si="211">(AM201+AL201+AK201*(1+RdsonTopTc*Ta-RdsonTopTc*25))/(1-AK201*RdsonTopTc*ThetaJA_Q4)</f>
        <v>0</v>
      </c>
      <c r="AO201" s="386">
        <f t="shared" ref="AO201:AO209" si="212">CHOOSE(J201, SQRT(Iout^2+(P201^2)/12), SQRT(1-O201)*SQRT(L201^2+(P201^2)/12), SQRT(1-O201)*SQRT(M201^2+(P201^2)/12))</f>
        <v>4.211075545849571</v>
      </c>
      <c r="AP201" s="386">
        <f t="shared" ref="AP201:AP209" si="213">Rdson3*AO201^2</f>
        <v>0.17733157252852264</v>
      </c>
      <c r="AQ201" s="386">
        <f t="shared" ref="AQ201:AQ209" si="214">CHOOSE(J201, 0, IF(L201&lt;P201/2,Deadtime*Fsw*IF(VfdSky_Q3&gt;0,0,Vsd_Q3)*(L201+P201/2), 2*Deadtime*Fsw*IF(VfdSky_Q3&gt;0,0,Vsd_Q3)*L201), IF(L201&lt;P201/2,Deadtime*Fsw/2*IF(VfdSky_Q3&gt;0,0,Vsd_Q3)*(L201+P201/2), 2*Deadtime*Fsw/2*IF(VfdSky_Q3&gt;0,0,Vsd_Q3)*L201))</f>
        <v>0</v>
      </c>
      <c r="AR201" s="386">
        <f t="shared" ref="AR201:AR209" si="215">(AQ201+AP201*(1+RdsonBotTc*Ta-RdsonBotTc*25))/(1-AP201*RdsonBotTc*ThetaJA_Q3)</f>
        <v>0.18494018268164922</v>
      </c>
      <c r="AS201" s="386">
        <f t="shared" ref="AS201:AS209" si="216">CHOOSE(J201, Rdson3*Q201^2, Rdson1*Q201^2, 0)</f>
        <v>0.17733157252852264</v>
      </c>
      <c r="AT201" s="386">
        <f t="shared" ref="AT201:AT209" si="217">CHOOSE(J201, 2*Deadtime*Fsw*IF(VfdSky_Q2&gt;0,VfdSky_Q2,0)*K201, 2*Deadtime*Fsw*IF(VfdSky_Q3&gt;0,VfdSky_Q3,0)*L201, 2*Deadtime*Fsw/2*IF(VfdSky_Q2&gt;0,VfdSky_Q2,0)*K201+2*Deadtime*Fsw/2*IF(VfdSky_Q3&gt;0,VfdSky_Q3,0)*L201)</f>
        <v>0</v>
      </c>
      <c r="AU201" s="386">
        <f t="shared" ref="AU201:AU209" si="218">CHOOSE(J201, IF(QrrSky_Q2&gt;0,QrrSky_Q2,Qrr_Q2)*Fsw*(H201-K201*Rdson1), IF(QrrSky_Q3&gt;0,QrrSky_Q3,Qrr_Q3)*Fsw*Vout,  IF(QrrSky_Q2&gt;0,QrrSky_Q2,Qrr_Q2)*Fsw/2*(H201-K201*Rdson1)+IF(QrrSky_Q3&gt;0,QrrSky_Q3,Qrr_Q3)*Fsw/2*Vout)</f>
        <v>0.129056</v>
      </c>
      <c r="AV201" s="386">
        <f t="shared" ref="AV201:AV209" si="219">CHOOSE(J201, Rs*AF201^2, Rs*AJ201^2, Rs*(AF201^2+AJ201^2))</f>
        <v>0.17358418835433501</v>
      </c>
      <c r="AW201" s="386">
        <f t="shared" ref="AW201:AW209" si="220">Rshunt_std/1000*Iout^2</f>
        <v>6.5920000000000006E-2</v>
      </c>
      <c r="AX201" s="386">
        <f t="shared" ref="AX201:AX209" si="221">IF(Vout&gt;8, Iq*Vout, Iq*H201)</f>
        <v>3.6000000000000004E-2</v>
      </c>
      <c r="AY201" s="386">
        <f t="shared" ref="AY201:AY209" si="222">CHOOSE(J201, (Qg_Q1+Qg_Q2)*Fsw, (Qg_Q3+Qg_Q4)*Fsw, (Qg_Q1+Qg_Q2+Qg_Q3+Qg_Q4)*Fsw/2)*IF(Vout&gt;8, Vout, H201)</f>
        <v>0.40226399999999995</v>
      </c>
      <c r="AZ201" s="386">
        <f t="shared" ref="AZ201:AZ209" si="223">(Vin-Vdd)*Fsw*(Qg_Q1+Qg_Q2)+(RdsonDRT+RdsonDRT2)*Fsw*Qg_Q1*Vdd/(RdsonDRT+2*Rgate1+RdsonDRT2)+(RdsonDRB+RdsonDRB2)*Fsw*Qg_Q2*Vdd/(RdsonDRB+2*Rgate2+RdsonDRB2)</f>
        <v>0.30415082926829268</v>
      </c>
      <c r="BA201" s="386">
        <f t="shared" si="180"/>
        <v>0.43826399999999999</v>
      </c>
      <c r="BB201" s="386">
        <f t="shared" si="181"/>
        <v>3.0256419898541691</v>
      </c>
      <c r="BC201">
        <f t="shared" ref="BC201:BC209" si="224">Vout*K201</f>
        <v>48</v>
      </c>
      <c r="BD201" s="604">
        <f t="shared" si="182"/>
        <v>0.94070349981180479</v>
      </c>
      <c r="BE201" s="614">
        <f t="shared" ref="BE201:BE209" si="225">IF(H201&gt;Vout,ThetaJA_Q1*(AE201+AU201),ThetaJA_Q4*(AN201+AU201))</f>
        <v>44.140859459240303</v>
      </c>
      <c r="BF201" s="614">
        <f t="shared" ref="BF201:BF209" si="226">IF(H201&gt;Vout, AI201*ThetaJA_Q2, ThetaJA_Q3*AR201)</f>
        <v>18.364157106381263</v>
      </c>
      <c r="BG201" s="9"/>
      <c r="BH201" s="4">
        <f t="shared" si="183"/>
        <v>94.070349981180485</v>
      </c>
      <c r="BI201" s="386">
        <f t="shared" si="184"/>
        <v>0.90981104126935963</v>
      </c>
      <c r="BJ201" s="386">
        <f t="shared" si="185"/>
        <v>1.2626128820889178</v>
      </c>
      <c r="BK201" s="386">
        <f t="shared" si="186"/>
        <v>0.35921187838588386</v>
      </c>
      <c r="BL201" s="386">
        <f t="shared" si="187"/>
        <v>0.17358418835433501</v>
      </c>
    </row>
    <row r="202" spans="7:64" x14ac:dyDescent="0.2">
      <c r="G202">
        <v>193</v>
      </c>
      <c r="H202" s="610">
        <f t="shared" si="188"/>
        <v>35.055</v>
      </c>
      <c r="I202" s="4" t="str">
        <f t="shared" si="189"/>
        <v>BUCK</v>
      </c>
      <c r="J202">
        <f t="shared" ref="J202:J209" si="227">IF(I202="BOOST",2, IF(I202="BUCK", 1,3))</f>
        <v>1</v>
      </c>
      <c r="K202">
        <f t="shared" si="190"/>
        <v>4</v>
      </c>
      <c r="L202" s="4">
        <f t="shared" si="191"/>
        <v>1.5214187229591594</v>
      </c>
      <c r="M202" s="4">
        <f t="shared" si="192"/>
        <v>4</v>
      </c>
      <c r="N202" s="386">
        <f t="shared" si="193"/>
        <v>0.34608571835397972</v>
      </c>
      <c r="O202" s="386">
        <f t="shared" ref="O202:O209" si="228">CHOOSE(J202,0,(Vout+(Rdson3+Rdcr)*L202-H202)/(Vout+(Rdson3-Rdson4-Rs)*L202),IF(H202&gt;Vout,D_min_boost_exitBB_to_buck, (Vout-H202*D_max_buck_BB)/Vout))</f>
        <v>0</v>
      </c>
      <c r="P202" s="4">
        <f t="shared" si="194"/>
        <v>4.5698041874570183</v>
      </c>
      <c r="Q202" s="386">
        <f t="shared" si="195"/>
        <v>4.2119187067940471</v>
      </c>
      <c r="R202" s="386">
        <f t="shared" si="173"/>
        <v>0.23864207362877848</v>
      </c>
      <c r="S202" s="386">
        <f t="shared" si="174"/>
        <v>0.67443605000209006</v>
      </c>
      <c r="T202" s="386">
        <f t="shared" si="175"/>
        <v>0.91307812363086849</v>
      </c>
      <c r="U202" s="4">
        <f t="shared" si="196"/>
        <v>1.3191888388860944</v>
      </c>
      <c r="V202" s="386">
        <f t="shared" si="176"/>
        <v>4.6986998201324334E-2</v>
      </c>
      <c r="W202" s="386">
        <f t="shared" si="177"/>
        <v>4.6986998201324334E-2</v>
      </c>
      <c r="X202" s="386">
        <f t="shared" si="197"/>
        <v>2.0036978429569756</v>
      </c>
      <c r="Y202" s="386">
        <f t="shared" si="178"/>
        <v>0.128473761467854</v>
      </c>
      <c r="Z202" s="603">
        <f t="shared" si="179"/>
        <v>0.128473761467854</v>
      </c>
      <c r="AA202" s="386">
        <f t="shared" si="198"/>
        <v>2.4778317833281527</v>
      </c>
      <c r="AB202" s="386">
        <f t="shared" si="199"/>
        <v>6.1396503464711732E-2</v>
      </c>
      <c r="AC202" s="386">
        <f t="shared" si="200"/>
        <v>0.56352146319310248</v>
      </c>
      <c r="AD202">
        <f t="shared" si="201"/>
        <v>0</v>
      </c>
      <c r="AE202" s="386">
        <f t="shared" si="202"/>
        <v>0.63394791364193059</v>
      </c>
      <c r="AF202" s="386">
        <f t="shared" si="203"/>
        <v>3.4059666537079405</v>
      </c>
      <c r="AG202" s="386">
        <f t="shared" si="204"/>
        <v>0.11600608846170467</v>
      </c>
      <c r="AH202" s="386">
        <f t="shared" si="205"/>
        <v>0.19239999999999999</v>
      </c>
      <c r="AI202" s="386">
        <f t="shared" si="206"/>
        <v>0.31693591549891831</v>
      </c>
      <c r="AJ202" s="386">
        <f t="shared" si="207"/>
        <v>0</v>
      </c>
      <c r="AK202" s="386">
        <f t="shared" si="208"/>
        <v>0</v>
      </c>
      <c r="AL202" s="386">
        <f t="shared" si="209"/>
        <v>0</v>
      </c>
      <c r="AM202">
        <f t="shared" si="210"/>
        <v>0</v>
      </c>
      <c r="AN202" s="386">
        <f t="shared" si="211"/>
        <v>0</v>
      </c>
      <c r="AO202" s="386">
        <f t="shared" si="212"/>
        <v>4.2119187067940471</v>
      </c>
      <c r="AP202" s="386">
        <f t="shared" si="213"/>
        <v>0.17740259192641639</v>
      </c>
      <c r="AQ202" s="386">
        <f t="shared" si="214"/>
        <v>0</v>
      </c>
      <c r="AR202" s="386">
        <f t="shared" si="215"/>
        <v>0.18501742848296612</v>
      </c>
      <c r="AS202" s="386">
        <f t="shared" si="216"/>
        <v>0.17740259192641639</v>
      </c>
      <c r="AT202" s="386">
        <f t="shared" si="217"/>
        <v>0</v>
      </c>
      <c r="AU202" s="386">
        <f t="shared" si="218"/>
        <v>0.12955550000000002</v>
      </c>
      <c r="AV202" s="386">
        <f t="shared" si="219"/>
        <v>0.17400913269255699</v>
      </c>
      <c r="AW202" s="386">
        <f t="shared" si="220"/>
        <v>6.5920000000000006E-2</v>
      </c>
      <c r="AX202" s="386">
        <f t="shared" si="221"/>
        <v>3.6000000000000004E-2</v>
      </c>
      <c r="AY202" s="386">
        <f t="shared" si="222"/>
        <v>0.40226399999999995</v>
      </c>
      <c r="AZ202" s="386">
        <f t="shared" si="223"/>
        <v>0.30415082926829268</v>
      </c>
      <c r="BA202" s="386">
        <f t="shared" si="180"/>
        <v>0.43826399999999999</v>
      </c>
      <c r="BB202" s="386">
        <f t="shared" si="181"/>
        <v>3.032188773616419</v>
      </c>
      <c r="BC202">
        <f t="shared" si="224"/>
        <v>48</v>
      </c>
      <c r="BD202" s="604">
        <f t="shared" si="182"/>
        <v>0.94058281946189903</v>
      </c>
      <c r="BE202" s="614">
        <f t="shared" si="225"/>
        <v>44.28319799123198</v>
      </c>
      <c r="BF202" s="614">
        <f t="shared" si="226"/>
        <v>18.382283098937261</v>
      </c>
      <c r="BG202" s="9"/>
      <c r="BH202" s="4">
        <f t="shared" si="183"/>
        <v>94.058281946189908</v>
      </c>
      <c r="BI202" s="386">
        <f t="shared" si="184"/>
        <v>0.91307812363086849</v>
      </c>
      <c r="BJ202" s="386">
        <f t="shared" si="185"/>
        <v>1.2654567576238149</v>
      </c>
      <c r="BK202" s="386">
        <f t="shared" si="186"/>
        <v>0.35968923049891832</v>
      </c>
      <c r="BL202" s="386">
        <f t="shared" si="187"/>
        <v>0.17400913269255699</v>
      </c>
    </row>
    <row r="203" spans="7:64" x14ac:dyDescent="0.2">
      <c r="G203">
        <v>194</v>
      </c>
      <c r="H203" s="610">
        <f t="shared" si="188"/>
        <v>35.19</v>
      </c>
      <c r="I203" s="4" t="str">
        <f t="shared" si="189"/>
        <v>BUCK</v>
      </c>
      <c r="J203">
        <f t="shared" si="227"/>
        <v>1</v>
      </c>
      <c r="K203">
        <f t="shared" si="190"/>
        <v>4</v>
      </c>
      <c r="L203" s="4">
        <f t="shared" si="191"/>
        <v>1.5155820782419249</v>
      </c>
      <c r="M203" s="4">
        <f t="shared" si="192"/>
        <v>4</v>
      </c>
      <c r="N203" s="386">
        <f t="shared" si="193"/>
        <v>0.34476028368794326</v>
      </c>
      <c r="O203" s="386">
        <f t="shared" si="228"/>
        <v>0</v>
      </c>
      <c r="P203" s="4">
        <f t="shared" si="194"/>
        <v>4.5790668340409226</v>
      </c>
      <c r="Q203" s="386">
        <f t="shared" si="195"/>
        <v>4.2127569463734549</v>
      </c>
      <c r="R203" s="386">
        <f t="shared" si="173"/>
        <v>0.23873888465612747</v>
      </c>
      <c r="S203" s="386">
        <f t="shared" si="174"/>
        <v>0.67758985208841405</v>
      </c>
      <c r="T203" s="386">
        <f t="shared" si="175"/>
        <v>0.91632873674454152</v>
      </c>
      <c r="U203" s="4">
        <f t="shared" si="196"/>
        <v>1.321862734635407</v>
      </c>
      <c r="V203" s="386">
        <f t="shared" si="176"/>
        <v>4.7177669408880511E-2</v>
      </c>
      <c r="W203" s="386">
        <f t="shared" si="177"/>
        <v>4.7177669408880511E-2</v>
      </c>
      <c r="X203" s="386">
        <f t="shared" si="197"/>
        <v>2.0022814545846952</v>
      </c>
      <c r="Y203" s="386">
        <f t="shared" si="178"/>
        <v>0.12829219274796169</v>
      </c>
      <c r="Z203" s="603">
        <f t="shared" si="179"/>
        <v>0.12829219274796169</v>
      </c>
      <c r="AA203" s="386">
        <f t="shared" si="198"/>
        <v>2.4735746306549444</v>
      </c>
      <c r="AB203" s="386">
        <f t="shared" si="199"/>
        <v>6.1185714534197445E-2</v>
      </c>
      <c r="AC203" s="386">
        <f t="shared" si="200"/>
        <v>0.5656916357086087</v>
      </c>
      <c r="AD203">
        <f t="shared" si="201"/>
        <v>0</v>
      </c>
      <c r="AE203" s="386">
        <f t="shared" si="202"/>
        <v>0.63590406295923363</v>
      </c>
      <c r="AF203" s="386">
        <f t="shared" si="203"/>
        <v>3.410095253185466</v>
      </c>
      <c r="AG203" s="386">
        <f t="shared" si="204"/>
        <v>0.11628749635798048</v>
      </c>
      <c r="AH203" s="386">
        <f t="shared" si="205"/>
        <v>0.19239999999999999</v>
      </c>
      <c r="AI203" s="386">
        <f t="shared" si="206"/>
        <v>0.31724639130707993</v>
      </c>
      <c r="AJ203" s="386">
        <f t="shared" si="207"/>
        <v>0</v>
      </c>
      <c r="AK203" s="386">
        <f t="shared" si="208"/>
        <v>0</v>
      </c>
      <c r="AL203" s="386">
        <f t="shared" si="209"/>
        <v>0</v>
      </c>
      <c r="AM203">
        <f t="shared" si="210"/>
        <v>0</v>
      </c>
      <c r="AN203" s="386">
        <f t="shared" si="211"/>
        <v>0</v>
      </c>
      <c r="AO203" s="386">
        <f t="shared" si="212"/>
        <v>4.2127569463734549</v>
      </c>
      <c r="AP203" s="386">
        <f t="shared" si="213"/>
        <v>0.17747321089217796</v>
      </c>
      <c r="AQ203" s="386">
        <f t="shared" si="214"/>
        <v>0</v>
      </c>
      <c r="AR203" s="386">
        <f t="shared" si="215"/>
        <v>0.1850942413778949</v>
      </c>
      <c r="AS203" s="386">
        <f t="shared" si="216"/>
        <v>0.17747321089217796</v>
      </c>
      <c r="AT203" s="386">
        <f t="shared" si="217"/>
        <v>0</v>
      </c>
      <c r="AU203" s="386">
        <f t="shared" si="218"/>
        <v>0.130055</v>
      </c>
      <c r="AV203" s="386">
        <f t="shared" si="219"/>
        <v>0.1744312445369707</v>
      </c>
      <c r="AW203" s="386">
        <f t="shared" si="220"/>
        <v>6.5920000000000006E-2</v>
      </c>
      <c r="AX203" s="386">
        <f t="shared" si="221"/>
        <v>3.6000000000000004E-2</v>
      </c>
      <c r="AY203" s="386">
        <f t="shared" si="222"/>
        <v>0.40226399999999995</v>
      </c>
      <c r="AZ203" s="386">
        <f t="shared" si="223"/>
        <v>0.30415082926829268</v>
      </c>
      <c r="BA203" s="386">
        <f t="shared" si="180"/>
        <v>0.43826399999999999</v>
      </c>
      <c r="BB203" s="386">
        <f t="shared" si="181"/>
        <v>3.0387135390825635</v>
      </c>
      <c r="BC203">
        <f t="shared" si="224"/>
        <v>48</v>
      </c>
      <c r="BD203" s="604">
        <f t="shared" si="182"/>
        <v>0.94046257579051851</v>
      </c>
      <c r="BE203" s="614">
        <f t="shared" si="225"/>
        <v>44.425625651635549</v>
      </c>
      <c r="BF203" s="614">
        <f t="shared" si="226"/>
        <v>18.400290695810636</v>
      </c>
      <c r="BG203" s="9"/>
      <c r="BH203" s="4">
        <f t="shared" si="183"/>
        <v>94.046257579051854</v>
      </c>
      <c r="BI203" s="386">
        <f t="shared" si="184"/>
        <v>0.91632873674454152</v>
      </c>
      <c r="BJ203" s="386">
        <f t="shared" si="185"/>
        <v>1.2682996956442085</v>
      </c>
      <c r="BK203" s="386">
        <f t="shared" si="186"/>
        <v>0.36016454130707992</v>
      </c>
      <c r="BL203" s="386">
        <f t="shared" si="187"/>
        <v>0.1744312445369707</v>
      </c>
    </row>
    <row r="204" spans="7:64" x14ac:dyDescent="0.2">
      <c r="G204">
        <v>195</v>
      </c>
      <c r="H204" s="610">
        <f t="shared" si="188"/>
        <v>35.325000000000003</v>
      </c>
      <c r="I204" s="4" t="str">
        <f t="shared" si="189"/>
        <v>BUCK</v>
      </c>
      <c r="J204">
        <f t="shared" si="227"/>
        <v>1</v>
      </c>
      <c r="K204">
        <f t="shared" si="190"/>
        <v>4</v>
      </c>
      <c r="L204" s="4">
        <f t="shared" si="191"/>
        <v>1.5097900448218917</v>
      </c>
      <c r="M204" s="4">
        <f t="shared" si="192"/>
        <v>4</v>
      </c>
      <c r="N204" s="386">
        <f t="shared" si="193"/>
        <v>0.34344496255475476</v>
      </c>
      <c r="O204" s="386">
        <f t="shared" si="228"/>
        <v>0</v>
      </c>
      <c r="P204" s="4">
        <f t="shared" si="194"/>
        <v>4.5882588033723843</v>
      </c>
      <c r="Q204" s="386">
        <f t="shared" si="195"/>
        <v>4.2135903024887238</v>
      </c>
      <c r="R204" s="386">
        <f t="shared" si="173"/>
        <v>0.23883515223235677</v>
      </c>
      <c r="S204" s="386">
        <f t="shared" si="174"/>
        <v>0.68072782440846091</v>
      </c>
      <c r="T204" s="386">
        <f t="shared" si="175"/>
        <v>0.91956297664081765</v>
      </c>
      <c r="U204" s="4">
        <f t="shared" si="196"/>
        <v>1.3245162276193583</v>
      </c>
      <c r="V204" s="386">
        <f t="shared" si="176"/>
        <v>4.7367267405129428E-2</v>
      </c>
      <c r="W204" s="386">
        <f t="shared" si="177"/>
        <v>4.7367267405129428E-2</v>
      </c>
      <c r="X204" s="386">
        <f t="shared" si="197"/>
        <v>2.0008588389160749</v>
      </c>
      <c r="Y204" s="386">
        <f t="shared" si="178"/>
        <v>0.12810995498459465</v>
      </c>
      <c r="Z204" s="603">
        <f t="shared" si="179"/>
        <v>0.12810995498459465</v>
      </c>
      <c r="AA204" s="386">
        <f t="shared" si="198"/>
        <v>2.4693399418252837</v>
      </c>
      <c r="AB204" s="386">
        <f t="shared" si="199"/>
        <v>6.0976397482936956E-2</v>
      </c>
      <c r="AC204" s="386">
        <f t="shared" si="200"/>
        <v>0.56786180822411492</v>
      </c>
      <c r="AD204">
        <f t="shared" si="201"/>
        <v>0</v>
      </c>
      <c r="AE204" s="386">
        <f t="shared" si="202"/>
        <v>0.63786173214736053</v>
      </c>
      <c r="AF204" s="386">
        <f t="shared" si="203"/>
        <v>3.414191483929002</v>
      </c>
      <c r="AG204" s="386">
        <f t="shared" si="204"/>
        <v>0.1165670348893332</v>
      </c>
      <c r="AH204" s="386">
        <f t="shared" si="205"/>
        <v>0.19239999999999999</v>
      </c>
      <c r="AI204" s="386">
        <f t="shared" si="206"/>
        <v>0.31755484590743638</v>
      </c>
      <c r="AJ204" s="386">
        <f t="shared" si="207"/>
        <v>0</v>
      </c>
      <c r="AK204" s="386">
        <f t="shared" si="208"/>
        <v>0</v>
      </c>
      <c r="AL204" s="386">
        <f t="shared" si="209"/>
        <v>0</v>
      </c>
      <c r="AM204">
        <f t="shared" si="210"/>
        <v>0</v>
      </c>
      <c r="AN204" s="386">
        <f t="shared" si="211"/>
        <v>0</v>
      </c>
      <c r="AO204" s="386">
        <f t="shared" si="212"/>
        <v>4.2135903024887238</v>
      </c>
      <c r="AP204" s="386">
        <f t="shared" si="213"/>
        <v>0.17754343237227016</v>
      </c>
      <c r="AQ204" s="386">
        <f t="shared" si="214"/>
        <v>0</v>
      </c>
      <c r="AR204" s="386">
        <f t="shared" si="215"/>
        <v>0.1851706245269745</v>
      </c>
      <c r="AS204" s="386">
        <f t="shared" si="216"/>
        <v>0.17754343237227016</v>
      </c>
      <c r="AT204" s="386">
        <f t="shared" si="217"/>
        <v>0</v>
      </c>
      <c r="AU204" s="386">
        <f t="shared" si="218"/>
        <v>0.13055450000000002</v>
      </c>
      <c r="AV204" s="386">
        <f t="shared" si="219"/>
        <v>0.17485055233399979</v>
      </c>
      <c r="AW204" s="386">
        <f t="shared" si="220"/>
        <v>6.5920000000000006E-2</v>
      </c>
      <c r="AX204" s="386">
        <f t="shared" si="221"/>
        <v>3.6000000000000004E-2</v>
      </c>
      <c r="AY204" s="386">
        <f t="shared" si="222"/>
        <v>0.40226399999999995</v>
      </c>
      <c r="AZ204" s="386">
        <f t="shared" si="223"/>
        <v>0.30415082926829268</v>
      </c>
      <c r="BA204" s="386">
        <f t="shared" si="180"/>
        <v>0.43826399999999999</v>
      </c>
      <c r="BB204" s="386">
        <f t="shared" si="181"/>
        <v>3.0452164539463129</v>
      </c>
      <c r="BC204">
        <f t="shared" si="224"/>
        <v>48</v>
      </c>
      <c r="BD204" s="604">
        <f t="shared" si="182"/>
        <v>0.94034276538539618</v>
      </c>
      <c r="BE204" s="614">
        <f t="shared" si="225"/>
        <v>44.568141464546912</v>
      </c>
      <c r="BF204" s="614">
        <f t="shared" si="226"/>
        <v>18.418181062631309</v>
      </c>
      <c r="BG204" s="9"/>
      <c r="BH204" s="4">
        <f t="shared" si="183"/>
        <v>94.034276538539615</v>
      </c>
      <c r="BI204" s="386">
        <f t="shared" si="184"/>
        <v>0.91956297664081765</v>
      </c>
      <c r="BJ204" s="386">
        <f t="shared" si="185"/>
        <v>1.2711417025817715</v>
      </c>
      <c r="BK204" s="386">
        <f t="shared" si="186"/>
        <v>0.3606378309074364</v>
      </c>
      <c r="BL204" s="386">
        <f t="shared" si="187"/>
        <v>0.17485055233399979</v>
      </c>
    </row>
    <row r="205" spans="7:64" x14ac:dyDescent="0.2">
      <c r="G205">
        <v>196</v>
      </c>
      <c r="H205" s="610">
        <f t="shared" si="188"/>
        <v>35.46</v>
      </c>
      <c r="I205" s="4" t="str">
        <f t="shared" si="189"/>
        <v>BUCK</v>
      </c>
      <c r="J205">
        <f t="shared" si="227"/>
        <v>1</v>
      </c>
      <c r="K205">
        <f t="shared" si="190"/>
        <v>4</v>
      </c>
      <c r="L205" s="4">
        <f t="shared" si="191"/>
        <v>1.504042113179169</v>
      </c>
      <c r="M205" s="4">
        <f t="shared" si="192"/>
        <v>4</v>
      </c>
      <c r="N205" s="386">
        <f t="shared" si="193"/>
        <v>0.34213963963963956</v>
      </c>
      <c r="O205" s="386">
        <f t="shared" si="228"/>
        <v>0</v>
      </c>
      <c r="P205" s="4">
        <f t="shared" si="194"/>
        <v>4.5973809013153462</v>
      </c>
      <c r="Q205" s="386">
        <f t="shared" si="195"/>
        <v>4.2144188127563833</v>
      </c>
      <c r="R205" s="386">
        <f t="shared" si="173"/>
        <v>0.23893088034480059</v>
      </c>
      <c r="S205" s="386">
        <f t="shared" si="174"/>
        <v>0.68385005886233152</v>
      </c>
      <c r="T205" s="386">
        <f t="shared" si="175"/>
        <v>0.92278093920713211</v>
      </c>
      <c r="U205" s="4">
        <f t="shared" si="196"/>
        <v>1.3271495504708297</v>
      </c>
      <c r="V205" s="386">
        <f t="shared" si="176"/>
        <v>4.7555800091502988E-2</v>
      </c>
      <c r="W205" s="386">
        <f t="shared" si="177"/>
        <v>4.7555800091502988E-2</v>
      </c>
      <c r="X205" s="386">
        <f t="shared" si="197"/>
        <v>1.9994302023339738</v>
      </c>
      <c r="Y205" s="386">
        <f t="shared" si="178"/>
        <v>0.12792707628816882</v>
      </c>
      <c r="Z205" s="603">
        <f t="shared" si="179"/>
        <v>0.12792707628816882</v>
      </c>
      <c r="AA205" s="386">
        <f t="shared" si="198"/>
        <v>2.465127512518976</v>
      </c>
      <c r="AB205" s="386">
        <f t="shared" si="199"/>
        <v>6.076853652977994E-2</v>
      </c>
      <c r="AC205" s="386">
        <f t="shared" si="200"/>
        <v>0.57003198073962102</v>
      </c>
      <c r="AD205">
        <f t="shared" si="201"/>
        <v>0</v>
      </c>
      <c r="AE205" s="386">
        <f t="shared" si="202"/>
        <v>0.63982090463304575</v>
      </c>
      <c r="AF205" s="386">
        <f t="shared" si="203"/>
        <v>3.4182557359473456</v>
      </c>
      <c r="AG205" s="386">
        <f t="shared" si="204"/>
        <v>0.1168447227633693</v>
      </c>
      <c r="AH205" s="386">
        <f t="shared" si="205"/>
        <v>0.19239999999999999</v>
      </c>
      <c r="AI205" s="386">
        <f t="shared" si="206"/>
        <v>0.31786129913015287</v>
      </c>
      <c r="AJ205" s="386">
        <f t="shared" si="207"/>
        <v>0</v>
      </c>
      <c r="AK205" s="386">
        <f t="shared" si="208"/>
        <v>0</v>
      </c>
      <c r="AL205" s="386">
        <f t="shared" si="209"/>
        <v>0</v>
      </c>
      <c r="AM205">
        <f t="shared" si="210"/>
        <v>0</v>
      </c>
      <c r="AN205" s="386">
        <f t="shared" si="211"/>
        <v>0</v>
      </c>
      <c r="AO205" s="386">
        <f t="shared" si="212"/>
        <v>4.2144188127563833</v>
      </c>
      <c r="AP205" s="386">
        <f t="shared" si="213"/>
        <v>0.17761325929314925</v>
      </c>
      <c r="AQ205" s="386">
        <f t="shared" si="214"/>
        <v>0</v>
      </c>
      <c r="AR205" s="386">
        <f t="shared" si="215"/>
        <v>0.18524658106966257</v>
      </c>
      <c r="AS205" s="386">
        <f t="shared" si="216"/>
        <v>0.17761325929314925</v>
      </c>
      <c r="AT205" s="386">
        <f t="shared" si="217"/>
        <v>0</v>
      </c>
      <c r="AU205" s="386">
        <f t="shared" si="218"/>
        <v>0.131054</v>
      </c>
      <c r="AV205" s="386">
        <f t="shared" si="219"/>
        <v>0.17526708414505393</v>
      </c>
      <c r="AW205" s="386">
        <f t="shared" si="220"/>
        <v>6.5920000000000006E-2</v>
      </c>
      <c r="AX205" s="386">
        <f t="shared" si="221"/>
        <v>3.6000000000000004E-2</v>
      </c>
      <c r="AY205" s="386">
        <f t="shared" si="222"/>
        <v>0.40226399999999995</v>
      </c>
      <c r="AZ205" s="386">
        <f t="shared" si="223"/>
        <v>0.30415082926829268</v>
      </c>
      <c r="BA205" s="386">
        <f t="shared" si="180"/>
        <v>0.43826399999999999</v>
      </c>
      <c r="BB205" s="386">
        <f t="shared" si="181"/>
        <v>3.051697684564719</v>
      </c>
      <c r="BC205">
        <f t="shared" si="224"/>
        <v>48</v>
      </c>
      <c r="BD205" s="604">
        <f t="shared" si="182"/>
        <v>0.94022338486331292</v>
      </c>
      <c r="BE205" s="614">
        <f t="shared" si="225"/>
        <v>44.710744468716655</v>
      </c>
      <c r="BF205" s="614">
        <f t="shared" si="226"/>
        <v>18.435955349548866</v>
      </c>
      <c r="BG205" s="9"/>
      <c r="BH205" s="4">
        <f t="shared" si="183"/>
        <v>94.022338486331293</v>
      </c>
      <c r="BI205" s="386">
        <f t="shared" si="184"/>
        <v>0.92278093920713211</v>
      </c>
      <c r="BJ205" s="386">
        <f t="shared" si="185"/>
        <v>1.2739827848328613</v>
      </c>
      <c r="BK205" s="386">
        <f t="shared" si="186"/>
        <v>0.36110911913015287</v>
      </c>
      <c r="BL205" s="386">
        <f t="shared" si="187"/>
        <v>0.17526708414505393</v>
      </c>
    </row>
    <row r="206" spans="7:64" x14ac:dyDescent="0.2">
      <c r="G206">
        <v>197</v>
      </c>
      <c r="H206" s="610">
        <f t="shared" si="188"/>
        <v>35.594999999999999</v>
      </c>
      <c r="I206" s="4" t="str">
        <f t="shared" si="189"/>
        <v>BUCK</v>
      </c>
      <c r="J206">
        <f t="shared" si="227"/>
        <v>1</v>
      </c>
      <c r="K206">
        <f t="shared" si="190"/>
        <v>4</v>
      </c>
      <c r="L206" s="4">
        <f t="shared" si="191"/>
        <v>1.4983377815236223</v>
      </c>
      <c r="M206" s="4">
        <f t="shared" si="192"/>
        <v>4</v>
      </c>
      <c r="N206" s="386">
        <f t="shared" si="193"/>
        <v>0.34084420137428129</v>
      </c>
      <c r="O206" s="386">
        <f t="shared" si="228"/>
        <v>0</v>
      </c>
      <c r="P206" s="4">
        <f t="shared" si="194"/>
        <v>4.6064339215288301</v>
      </c>
      <c r="Q206" s="386">
        <f t="shared" si="195"/>
        <v>4.2152425145082244</v>
      </c>
      <c r="R206" s="386">
        <f t="shared" si="173"/>
        <v>0.23902607295362169</v>
      </c>
      <c r="S206" s="386">
        <f t="shared" si="174"/>
        <v>0.68695664721388416</v>
      </c>
      <c r="T206" s="386">
        <f t="shared" si="175"/>
        <v>0.92598272016750582</v>
      </c>
      <c r="U206" s="4">
        <f t="shared" si="196"/>
        <v>1.3297629322994469</v>
      </c>
      <c r="V206" s="386">
        <f t="shared" si="176"/>
        <v>4.7743275315175832E-2</v>
      </c>
      <c r="W206" s="386">
        <f t="shared" si="177"/>
        <v>4.7743275315175832E-2</v>
      </c>
      <c r="X206" s="386">
        <f t="shared" si="197"/>
        <v>1.9979957462748015</v>
      </c>
      <c r="Y206" s="386">
        <f t="shared" si="178"/>
        <v>0.12774358406823044</v>
      </c>
      <c r="Z206" s="603">
        <f t="shared" si="179"/>
        <v>0.12774358406823044</v>
      </c>
      <c r="AA206" s="386">
        <f t="shared" si="198"/>
        <v>2.4609371411260068</v>
      </c>
      <c r="AB206" s="386">
        <f t="shared" si="199"/>
        <v>6.0562116125734436E-2</v>
      </c>
      <c r="AC206" s="386">
        <f t="shared" si="200"/>
        <v>0.57220215325512713</v>
      </c>
      <c r="AD206">
        <f t="shared" si="201"/>
        <v>0</v>
      </c>
      <c r="AE206" s="386">
        <f t="shared" si="202"/>
        <v>0.64178156409080456</v>
      </c>
      <c r="AF206" s="386">
        <f t="shared" si="203"/>
        <v>3.4222883928073879</v>
      </c>
      <c r="AG206" s="386">
        <f t="shared" si="204"/>
        <v>0.11712057843544176</v>
      </c>
      <c r="AH206" s="386">
        <f t="shared" si="205"/>
        <v>0.19239999999999999</v>
      </c>
      <c r="AI206" s="386">
        <f t="shared" si="206"/>
        <v>0.31816577054301221</v>
      </c>
      <c r="AJ206" s="386">
        <f t="shared" si="207"/>
        <v>0</v>
      </c>
      <c r="AK206" s="386">
        <f t="shared" si="208"/>
        <v>0</v>
      </c>
      <c r="AL206" s="386">
        <f t="shared" si="209"/>
        <v>0</v>
      </c>
      <c r="AM206">
        <f t="shared" si="210"/>
        <v>0</v>
      </c>
      <c r="AN206" s="386">
        <f t="shared" si="211"/>
        <v>0</v>
      </c>
      <c r="AO206" s="386">
        <f t="shared" si="212"/>
        <v>4.2152425145082244</v>
      </c>
      <c r="AP206" s="386">
        <f t="shared" si="213"/>
        <v>0.17768269456117619</v>
      </c>
      <c r="AQ206" s="386">
        <f t="shared" si="214"/>
        <v>0</v>
      </c>
      <c r="AR206" s="386">
        <f t="shared" si="215"/>
        <v>0.1853221141242293</v>
      </c>
      <c r="AS206" s="386">
        <f t="shared" si="216"/>
        <v>0.17768269456117619</v>
      </c>
      <c r="AT206" s="386">
        <f t="shared" si="217"/>
        <v>0</v>
      </c>
      <c r="AU206" s="386">
        <f t="shared" si="218"/>
        <v>0.13155350000000002</v>
      </c>
      <c r="AV206" s="386">
        <f t="shared" si="219"/>
        <v>0.17568086765316263</v>
      </c>
      <c r="AW206" s="386">
        <f t="shared" si="220"/>
        <v>6.5920000000000006E-2</v>
      </c>
      <c r="AX206" s="386">
        <f t="shared" si="221"/>
        <v>3.6000000000000004E-2</v>
      </c>
      <c r="AY206" s="386">
        <f t="shared" si="222"/>
        <v>0.40226399999999995</v>
      </c>
      <c r="AZ206" s="386">
        <f t="shared" si="223"/>
        <v>0.30415082926829268</v>
      </c>
      <c r="BA206" s="386">
        <f t="shared" si="180"/>
        <v>0.43826399999999999</v>
      </c>
      <c r="BB206" s="386">
        <f t="shared" si="181"/>
        <v>3.0581573959621204</v>
      </c>
      <c r="BC206">
        <f t="shared" si="224"/>
        <v>48</v>
      </c>
      <c r="BD206" s="604">
        <f t="shared" si="182"/>
        <v>0.94010443086996376</v>
      </c>
      <c r="BE206" s="614">
        <f t="shared" si="225"/>
        <v>44.853433717266661</v>
      </c>
      <c r="BF206" s="614">
        <f t="shared" si="226"/>
        <v>18.453614691494707</v>
      </c>
      <c r="BG206" s="9"/>
      <c r="BH206" s="4">
        <f t="shared" si="183"/>
        <v>94.010443086996375</v>
      </c>
      <c r="BI206" s="386">
        <f t="shared" si="184"/>
        <v>0.92598272016750582</v>
      </c>
      <c r="BJ206" s="386">
        <f t="shared" si="185"/>
        <v>1.2768229487580463</v>
      </c>
      <c r="BK206" s="386">
        <f t="shared" si="186"/>
        <v>0.36157842554301223</v>
      </c>
      <c r="BL206" s="386">
        <f t="shared" si="187"/>
        <v>0.17568086765316263</v>
      </c>
    </row>
    <row r="207" spans="7:64" x14ac:dyDescent="0.2">
      <c r="G207">
        <v>198</v>
      </c>
      <c r="H207" s="610">
        <f t="shared" si="188"/>
        <v>35.730000000000004</v>
      </c>
      <c r="I207" s="4" t="str">
        <f t="shared" si="189"/>
        <v>BUCK</v>
      </c>
      <c r="J207">
        <f t="shared" si="227"/>
        <v>1</v>
      </c>
      <c r="K207">
        <f t="shared" si="190"/>
        <v>4</v>
      </c>
      <c r="L207" s="4">
        <f t="shared" si="191"/>
        <v>1.4926765556488477</v>
      </c>
      <c r="M207" s="4">
        <f t="shared" si="192"/>
        <v>4</v>
      </c>
      <c r="N207" s="386">
        <f t="shared" si="193"/>
        <v>0.33955853590388368</v>
      </c>
      <c r="O207" s="386">
        <f t="shared" si="228"/>
        <v>0</v>
      </c>
      <c r="P207" s="4">
        <f t="shared" si="194"/>
        <v>4.6154186456971145</v>
      </c>
      <c r="Q207" s="386">
        <f t="shared" si="195"/>
        <v>4.2160614447911033</v>
      </c>
      <c r="R207" s="386">
        <f t="shared" si="173"/>
        <v>0.23912073399170175</v>
      </c>
      <c r="S207" s="386">
        <f t="shared" si="174"/>
        <v>0.69004768107137582</v>
      </c>
      <c r="T207" s="386">
        <f t="shared" si="175"/>
        <v>0.92916841506307757</v>
      </c>
      <c r="U207" s="4">
        <f t="shared" si="196"/>
        <v>1.3323565987580235</v>
      </c>
      <c r="V207" s="386">
        <f t="shared" si="176"/>
        <v>4.7929700868859317E-2</v>
      </c>
      <c r="W207" s="386">
        <f t="shared" si="177"/>
        <v>4.7929700868859317E-2</v>
      </c>
      <c r="X207" s="386">
        <f t="shared" si="197"/>
        <v>1.9965556673570466</v>
      </c>
      <c r="Y207" s="386">
        <f t="shared" si="178"/>
        <v>0.12755950505137734</v>
      </c>
      <c r="Z207" s="603">
        <f t="shared" si="179"/>
        <v>0.12755950505137734</v>
      </c>
      <c r="AA207" s="386">
        <f t="shared" si="198"/>
        <v>2.4567686286983248</v>
      </c>
      <c r="AB207" s="386">
        <f t="shared" si="199"/>
        <v>6.0357120949562477E-2</v>
      </c>
      <c r="AC207" s="386">
        <f t="shared" si="200"/>
        <v>0.57437232577063346</v>
      </c>
      <c r="AD207">
        <f t="shared" si="201"/>
        <v>0</v>
      </c>
      <c r="AE207" s="386">
        <f t="shared" si="202"/>
        <v>0.64374369443816359</v>
      </c>
      <c r="AF207" s="386">
        <f t="shared" si="203"/>
        <v>3.4262898317710655</v>
      </c>
      <c r="AG207" s="386">
        <f t="shared" si="204"/>
        <v>0.11739462011297797</v>
      </c>
      <c r="AH207" s="386">
        <f t="shared" si="205"/>
        <v>0.19239999999999999</v>
      </c>
      <c r="AI207" s="386">
        <f t="shared" si="206"/>
        <v>0.31846827945584044</v>
      </c>
      <c r="AJ207" s="386">
        <f t="shared" si="207"/>
        <v>0</v>
      </c>
      <c r="AK207" s="386">
        <f t="shared" si="208"/>
        <v>0</v>
      </c>
      <c r="AL207" s="386">
        <f t="shared" si="209"/>
        <v>0</v>
      </c>
      <c r="AM207">
        <f t="shared" si="210"/>
        <v>0</v>
      </c>
      <c r="AN207" s="386">
        <f t="shared" si="211"/>
        <v>0</v>
      </c>
      <c r="AO207" s="386">
        <f t="shared" si="212"/>
        <v>4.2160614447911033</v>
      </c>
      <c r="AP207" s="386">
        <f t="shared" si="213"/>
        <v>0.17775174106254046</v>
      </c>
      <c r="AQ207" s="386">
        <f t="shared" si="214"/>
        <v>0</v>
      </c>
      <c r="AR207" s="386">
        <f t="shared" si="215"/>
        <v>0.18539722678766485</v>
      </c>
      <c r="AS207" s="386">
        <f t="shared" si="216"/>
        <v>0.17775174106254046</v>
      </c>
      <c r="AT207" s="386">
        <f t="shared" si="217"/>
        <v>0</v>
      </c>
      <c r="AU207" s="386">
        <f t="shared" si="218"/>
        <v>0.13205300000000003</v>
      </c>
      <c r="AV207" s="386">
        <f t="shared" si="219"/>
        <v>0.17609193016946695</v>
      </c>
      <c r="AW207" s="386">
        <f t="shared" si="220"/>
        <v>6.5920000000000006E-2</v>
      </c>
      <c r="AX207" s="386">
        <f t="shared" si="221"/>
        <v>3.6000000000000004E-2</v>
      </c>
      <c r="AY207" s="386">
        <f t="shared" si="222"/>
        <v>0.40226399999999995</v>
      </c>
      <c r="AZ207" s="386">
        <f t="shared" si="223"/>
        <v>0.30415082926829268</v>
      </c>
      <c r="BA207" s="386">
        <f t="shared" si="180"/>
        <v>0.43826399999999999</v>
      </c>
      <c r="BB207" s="386">
        <f t="shared" si="181"/>
        <v>3.06459575183445</v>
      </c>
      <c r="BC207">
        <f t="shared" si="224"/>
        <v>48</v>
      </c>
      <c r="BD207" s="604">
        <f t="shared" si="182"/>
        <v>0.93998590007981486</v>
      </c>
      <c r="BE207" s="614">
        <f t="shared" si="225"/>
        <v>44.996208277413487</v>
      </c>
      <c r="BF207" s="614">
        <f t="shared" si="226"/>
        <v>18.471160208438747</v>
      </c>
      <c r="BG207" s="9"/>
      <c r="BH207" s="4">
        <f t="shared" si="183"/>
        <v>93.998590007981491</v>
      </c>
      <c r="BI207" s="386">
        <f t="shared" si="184"/>
        <v>0.92916841506307757</v>
      </c>
      <c r="BJ207" s="386">
        <f t="shared" si="185"/>
        <v>1.2796622006816689</v>
      </c>
      <c r="BK207" s="386">
        <f t="shared" si="186"/>
        <v>0.36204576945584044</v>
      </c>
      <c r="BL207" s="386">
        <f t="shared" si="187"/>
        <v>0.17609193016946695</v>
      </c>
    </row>
    <row r="208" spans="7:64" x14ac:dyDescent="0.2">
      <c r="G208">
        <v>199</v>
      </c>
      <c r="H208" s="610">
        <f t="shared" si="188"/>
        <v>35.864999999999995</v>
      </c>
      <c r="I208" s="4" t="str">
        <f t="shared" si="189"/>
        <v>BUCK</v>
      </c>
      <c r="J208">
        <f t="shared" si="227"/>
        <v>1</v>
      </c>
      <c r="K208">
        <f t="shared" si="190"/>
        <v>4</v>
      </c>
      <c r="L208" s="4">
        <f t="shared" si="191"/>
        <v>1.4870579487894422</v>
      </c>
      <c r="M208" s="4">
        <f t="shared" si="192"/>
        <v>4</v>
      </c>
      <c r="N208" s="386">
        <f t="shared" si="193"/>
        <v>0.33828253305497563</v>
      </c>
      <c r="O208" s="386">
        <f t="shared" si="228"/>
        <v>0</v>
      </c>
      <c r="P208" s="4">
        <f t="shared" si="194"/>
        <v>4.6243358437547393</v>
      </c>
      <c r="Q208" s="386">
        <f t="shared" si="195"/>
        <v>4.2168756403668786</v>
      </c>
      <c r="R208" s="386">
        <f t="shared" si="173"/>
        <v>0.23921486736454756</v>
      </c>
      <c r="S208" s="386">
        <f t="shared" si="174"/>
        <v>0.69312325186899815</v>
      </c>
      <c r="T208" s="386">
        <f t="shared" si="175"/>
        <v>0.9323381192335457</v>
      </c>
      <c r="U208" s="4">
        <f t="shared" si="196"/>
        <v>1.334930772107517</v>
      </c>
      <c r="V208" s="386">
        <f t="shared" si="176"/>
        <v>4.8115084490628429E-2</v>
      </c>
      <c r="W208" s="386">
        <f t="shared" si="177"/>
        <v>4.8115084490628429E-2</v>
      </c>
      <c r="X208" s="386">
        <f t="shared" si="197"/>
        <v>1.9951101575060144</v>
      </c>
      <c r="Y208" s="386">
        <f t="shared" si="178"/>
        <v>0.12737486529867756</v>
      </c>
      <c r="Z208" s="603">
        <f t="shared" si="179"/>
        <v>0.12737486529867756</v>
      </c>
      <c r="AA208" s="386">
        <f t="shared" si="198"/>
        <v>2.4526217789027123</v>
      </c>
      <c r="AB208" s="386">
        <f t="shared" si="199"/>
        <v>6.015353590347905E-2</v>
      </c>
      <c r="AC208" s="386">
        <f t="shared" si="200"/>
        <v>0.57654249828613946</v>
      </c>
      <c r="AD208">
        <f t="shared" si="201"/>
        <v>0</v>
      </c>
      <c r="AE208" s="386">
        <f t="shared" si="202"/>
        <v>0.6457072798310034</v>
      </c>
      <c r="AF208" s="386">
        <f t="shared" si="203"/>
        <v>3.4302604239287238</v>
      </c>
      <c r="AG208" s="386">
        <f t="shared" si="204"/>
        <v>0.11766686575971669</v>
      </c>
      <c r="AH208" s="386">
        <f t="shared" si="205"/>
        <v>0.19239999999999999</v>
      </c>
      <c r="AI208" s="386">
        <f t="shared" si="206"/>
        <v>0.3187688449248397</v>
      </c>
      <c r="AJ208" s="386">
        <f t="shared" si="207"/>
        <v>0</v>
      </c>
      <c r="AK208" s="386">
        <f t="shared" si="208"/>
        <v>0</v>
      </c>
      <c r="AL208" s="386">
        <f t="shared" si="209"/>
        <v>0</v>
      </c>
      <c r="AM208">
        <f t="shared" si="210"/>
        <v>0</v>
      </c>
      <c r="AN208" s="386">
        <f t="shared" si="211"/>
        <v>0</v>
      </c>
      <c r="AO208" s="386">
        <f t="shared" si="212"/>
        <v>4.2168756403668786</v>
      </c>
      <c r="AP208" s="386">
        <f t="shared" si="213"/>
        <v>0.17782040166319571</v>
      </c>
      <c r="AQ208" s="386">
        <f t="shared" si="214"/>
        <v>0</v>
      </c>
      <c r="AR208" s="386">
        <f t="shared" si="215"/>
        <v>0.18547192213559988</v>
      </c>
      <c r="AS208" s="386">
        <f t="shared" si="216"/>
        <v>0.17782040166319571</v>
      </c>
      <c r="AT208" s="386">
        <f t="shared" si="217"/>
        <v>0</v>
      </c>
      <c r="AU208" s="386">
        <f t="shared" si="218"/>
        <v>0.13255249999999999</v>
      </c>
      <c r="AV208" s="386">
        <f t="shared" si="219"/>
        <v>0.17650029863957503</v>
      </c>
      <c r="AW208" s="386">
        <f t="shared" si="220"/>
        <v>6.5920000000000006E-2</v>
      </c>
      <c r="AX208" s="386">
        <f t="shared" si="221"/>
        <v>3.6000000000000004E-2</v>
      </c>
      <c r="AY208" s="386">
        <f t="shared" si="222"/>
        <v>0.40226399999999995</v>
      </c>
      <c r="AZ208" s="386">
        <f t="shared" si="223"/>
        <v>0.30415082926829268</v>
      </c>
      <c r="BA208" s="386">
        <f t="shared" si="180"/>
        <v>0.43826399999999999</v>
      </c>
      <c r="BB208" s="386">
        <f t="shared" si="181"/>
        <v>3.0710129145538705</v>
      </c>
      <c r="BC208">
        <f t="shared" si="224"/>
        <v>48</v>
      </c>
      <c r="BD208" s="604">
        <f t="shared" si="182"/>
        <v>0.9398677891959587</v>
      </c>
      <c r="BE208" s="614">
        <f t="shared" si="225"/>
        <v>45.139067230198194</v>
      </c>
      <c r="BF208" s="614">
        <f t="shared" si="226"/>
        <v>18.488593005640702</v>
      </c>
      <c r="BG208" s="9"/>
      <c r="BH208" s="4">
        <f t="shared" si="183"/>
        <v>93.986778919595864</v>
      </c>
      <c r="BI208" s="386">
        <f t="shared" si="184"/>
        <v>0.9323381192335457</v>
      </c>
      <c r="BJ208" s="386">
        <f t="shared" si="185"/>
        <v>1.282500546891443</v>
      </c>
      <c r="BK208" s="386">
        <f t="shared" si="186"/>
        <v>0.36251116992483967</v>
      </c>
      <c r="BL208" s="386">
        <f t="shared" si="187"/>
        <v>0.17650029863957503</v>
      </c>
    </row>
    <row r="209" spans="7:64" x14ac:dyDescent="0.2">
      <c r="G209">
        <v>200</v>
      </c>
      <c r="H209" s="610">
        <f t="shared" si="188"/>
        <v>36</v>
      </c>
      <c r="I209" s="4" t="str">
        <f t="shared" si="189"/>
        <v>BUCK</v>
      </c>
      <c r="J209">
        <f t="shared" si="227"/>
        <v>1</v>
      </c>
      <c r="K209">
        <f t="shared" si="190"/>
        <v>4</v>
      </c>
      <c r="L209" s="4">
        <f t="shared" si="191"/>
        <v>1.4814814814814816</v>
      </c>
      <c r="M209" s="4">
        <f t="shared" si="192"/>
        <v>4</v>
      </c>
      <c r="N209" s="386">
        <f t="shared" si="193"/>
        <v>0.33701608430393781</v>
      </c>
      <c r="O209" s="386">
        <f t="shared" si="228"/>
        <v>0</v>
      </c>
      <c r="P209" s="4">
        <f t="shared" si="194"/>
        <v>4.6331862741064427</v>
      </c>
      <c r="Q209" s="386">
        <f t="shared" si="195"/>
        <v>4.2176851377124747</v>
      </c>
      <c r="R209" s="386">
        <f t="shared" si="173"/>
        <v>0.23930847695021329</v>
      </c>
      <c r="S209" s="386">
        <f t="shared" si="174"/>
        <v>0.69618345084925459</v>
      </c>
      <c r="T209" s="386">
        <f t="shared" si="175"/>
        <v>0.93549192779946788</v>
      </c>
      <c r="U209" s="4">
        <f t="shared" si="196"/>
        <v>1.337485671280517</v>
      </c>
      <c r="V209" s="386">
        <f t="shared" si="176"/>
        <v>4.8299433863778773E-2</v>
      </c>
      <c r="W209" s="386">
        <f t="shared" si="177"/>
        <v>4.8299433863778773E-2</v>
      </c>
      <c r="X209" s="386">
        <f t="shared" si="197"/>
        <v>1.9936594040748912</v>
      </c>
      <c r="Y209" s="386">
        <f t="shared" si="178"/>
        <v>0.12718969022260002</v>
      </c>
      <c r="Z209" s="603">
        <f t="shared" si="179"/>
        <v>0.12718969022260002</v>
      </c>
      <c r="AA209" s="386">
        <f t="shared" si="198"/>
        <v>2.4484963979747127</v>
      </c>
      <c r="AB209" s="386">
        <f t="shared" si="199"/>
        <v>5.9951346108951427E-2</v>
      </c>
      <c r="AC209" s="386">
        <f t="shared" si="200"/>
        <v>0.57871267080164568</v>
      </c>
      <c r="AD209">
        <f t="shared" si="201"/>
        <v>0</v>
      </c>
      <c r="AE209" s="386">
        <f t="shared" si="202"/>
        <v>0.6476723046590136</v>
      </c>
      <c r="AF209" s="386">
        <f t="shared" si="203"/>
        <v>3.4342005343289945</v>
      </c>
      <c r="AG209" s="386">
        <f t="shared" si="204"/>
        <v>0.11793733309985552</v>
      </c>
      <c r="AH209" s="386">
        <f t="shared" si="205"/>
        <v>0.19239999999999999</v>
      </c>
      <c r="AI209" s="386">
        <f t="shared" si="206"/>
        <v>0.31906748575683208</v>
      </c>
      <c r="AJ209" s="386">
        <f t="shared" si="207"/>
        <v>0</v>
      </c>
      <c r="AK209" s="386">
        <f t="shared" si="208"/>
        <v>0</v>
      </c>
      <c r="AL209" s="386">
        <f t="shared" si="209"/>
        <v>0</v>
      </c>
      <c r="AM209">
        <f t="shared" si="210"/>
        <v>0</v>
      </c>
      <c r="AN209" s="386">
        <f t="shared" si="211"/>
        <v>0</v>
      </c>
      <c r="AO209" s="386">
        <f t="shared" si="212"/>
        <v>4.2176851377124747</v>
      </c>
      <c r="AP209" s="386">
        <f t="shared" si="213"/>
        <v>0.17788867920880699</v>
      </c>
      <c r="AQ209" s="386">
        <f t="shared" si="214"/>
        <v>0</v>
      </c>
      <c r="AR209" s="386">
        <f t="shared" si="215"/>
        <v>0.1855462032222388</v>
      </c>
      <c r="AS209" s="386">
        <f t="shared" si="216"/>
        <v>0.17788867920880699</v>
      </c>
      <c r="AT209" s="386">
        <f t="shared" si="217"/>
        <v>0</v>
      </c>
      <c r="AU209" s="386">
        <f t="shared" si="218"/>
        <v>0.133052</v>
      </c>
      <c r="AV209" s="386">
        <f t="shared" si="219"/>
        <v>0.17690599964978326</v>
      </c>
      <c r="AW209" s="386">
        <f t="shared" si="220"/>
        <v>6.5920000000000006E-2</v>
      </c>
      <c r="AX209" s="386">
        <f t="shared" si="221"/>
        <v>3.6000000000000004E-2</v>
      </c>
      <c r="AY209" s="386">
        <f t="shared" si="222"/>
        <v>0.40226399999999995</v>
      </c>
      <c r="AZ209" s="386">
        <f t="shared" si="223"/>
        <v>0.30415082926829268</v>
      </c>
      <c r="BA209" s="386">
        <f t="shared" si="180"/>
        <v>0.43826399999999999</v>
      </c>
      <c r="BB209" s="386">
        <f t="shared" si="181"/>
        <v>3.0774090451737148</v>
      </c>
      <c r="BC209">
        <f t="shared" si="224"/>
        <v>48</v>
      </c>
      <c r="BD209" s="604">
        <f t="shared" si="182"/>
        <v>0.93975009494996109</v>
      </c>
      <c r="BE209" s="614">
        <f t="shared" si="225"/>
        <v>45.282009670222784</v>
      </c>
      <c r="BF209" s="614">
        <f t="shared" si="226"/>
        <v>18.505914173896262</v>
      </c>
      <c r="BG209" s="9"/>
      <c r="BH209" s="4">
        <f t="shared" si="183"/>
        <v>93.975009494996115</v>
      </c>
      <c r="BI209" s="386">
        <f t="shared" si="184"/>
        <v>0.93549192779946788</v>
      </c>
      <c r="BJ209" s="386">
        <f t="shared" si="185"/>
        <v>1.2853379936380844</v>
      </c>
      <c r="BK209" s="386">
        <f t="shared" si="186"/>
        <v>0.36297464575683208</v>
      </c>
      <c r="BL209" s="386">
        <f t="shared" si="187"/>
        <v>0.17690599964978326</v>
      </c>
    </row>
    <row r="224" spans="7:64" x14ac:dyDescent="0.2">
      <c r="H224"/>
      <c r="N224"/>
      <c r="O224"/>
      <c r="P224"/>
      <c r="Q224"/>
      <c r="R224"/>
      <c r="U224"/>
      <c r="X224"/>
      <c r="AS224"/>
      <c r="AU224"/>
      <c r="BB224"/>
      <c r="BD224"/>
      <c r="BE224"/>
      <c r="BF224"/>
      <c r="BH224"/>
      <c r="BI224"/>
      <c r="BJ224"/>
      <c r="BK224"/>
    </row>
    <row r="234" customFormat="1" x14ac:dyDescent="0.2"/>
    <row r="235" customFormat="1" x14ac:dyDescent="0.2"/>
  </sheetData>
  <sheetProtection selectLockedCells="1"/>
  <mergeCells count="13">
    <mergeCell ref="AA7:AE7"/>
    <mergeCell ref="AF7:AI7"/>
    <mergeCell ref="AX7:BA7"/>
    <mergeCell ref="BB7:BF7"/>
    <mergeCell ref="BH7:BL7"/>
    <mergeCell ref="AJ7:AN7"/>
    <mergeCell ref="AO7:AR7"/>
    <mergeCell ref="X7:Z7"/>
    <mergeCell ref="A1:D4"/>
    <mergeCell ref="A6:D7"/>
    <mergeCell ref="G7:P7"/>
    <mergeCell ref="Q7:T7"/>
    <mergeCell ref="U7:W7"/>
  </mergeCells>
  <phoneticPr fontId="98" type="noConversion"/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>
    <tabColor rgb="FF92D050"/>
  </sheetPr>
  <dimension ref="A1:CE209"/>
  <sheetViews>
    <sheetView zoomScaleNormal="100" workbookViewId="0">
      <pane ySplit="8" topLeftCell="A9" activePane="bottomLeft" state="frozen"/>
      <selection activeCell="F1" sqref="F1"/>
      <selection pane="bottomLeft" activeCell="BH109" sqref="BH109"/>
    </sheetView>
  </sheetViews>
  <sheetFormatPr defaultRowHeight="12.75" x14ac:dyDescent="0.2"/>
  <cols>
    <col min="1" max="1" width="19.85546875" customWidth="1"/>
    <col min="2" max="2" width="13.140625" bestFit="1" customWidth="1"/>
    <col min="4" max="4" width="71.5703125" customWidth="1"/>
    <col min="6" max="6" width="9.140625" customWidth="1"/>
    <col min="7" max="7" width="6.85546875" customWidth="1"/>
    <col min="8" max="8" width="9.140625" style="609"/>
    <col min="9" max="9" width="11" customWidth="1"/>
    <col min="10" max="10" width="6.7109375" customWidth="1"/>
    <col min="11" max="11" width="8.140625" customWidth="1"/>
    <col min="12" max="12" width="7.42578125" customWidth="1"/>
    <col min="13" max="13" width="7.140625" customWidth="1"/>
    <col min="14" max="14" width="10.7109375" style="386" customWidth="1"/>
    <col min="15" max="15" width="11.42578125" style="386" customWidth="1"/>
    <col min="16" max="16" width="8.85546875" style="4" customWidth="1"/>
    <col min="17" max="17" width="8" style="4" customWidth="1"/>
    <col min="18" max="18" width="9.42578125" style="335" customWidth="1"/>
    <col min="19" max="19" width="8" customWidth="1"/>
    <col min="20" max="20" width="9.28515625" customWidth="1"/>
    <col min="21" max="21" width="8.85546875" style="4" customWidth="1"/>
    <col min="22" max="22" width="9.85546875" customWidth="1"/>
    <col min="23" max="23" width="10.7109375" customWidth="1"/>
    <col min="24" max="24" width="9.7109375" style="335" customWidth="1"/>
    <col min="25" max="25" width="10.5703125" customWidth="1"/>
    <col min="27" max="28" width="8.5703125" customWidth="1"/>
    <col min="29" max="29" width="10" customWidth="1"/>
    <col min="30" max="30" width="8" customWidth="1"/>
    <col min="31" max="31" width="9.85546875" customWidth="1"/>
    <col min="32" max="33" width="8.85546875" customWidth="1"/>
    <col min="34" max="34" width="10.5703125" customWidth="1"/>
    <col min="35" max="35" width="10.28515625" customWidth="1"/>
    <col min="36" max="37" width="8.5703125" customWidth="1"/>
    <col min="38" max="38" width="10" customWidth="1"/>
    <col min="39" max="39" width="8" customWidth="1"/>
    <col min="40" max="40" width="9.85546875" customWidth="1"/>
    <col min="41" max="42" width="8.85546875" customWidth="1"/>
    <col min="43" max="43" width="10.42578125" customWidth="1"/>
    <col min="44" max="44" width="10.28515625" customWidth="1"/>
    <col min="45" max="45" width="12.28515625" style="335" customWidth="1"/>
    <col min="46" max="46" width="13.7109375" customWidth="1"/>
    <col min="47" max="47" width="12" style="335" customWidth="1"/>
    <col min="48" max="48" width="11.5703125" customWidth="1"/>
    <col min="49" max="49" width="11" customWidth="1"/>
    <col min="50" max="50" width="9.28515625" customWidth="1"/>
    <col min="51" max="52" width="10.42578125" customWidth="1"/>
    <col min="54" max="54" width="8.42578125" style="4" customWidth="1"/>
    <col min="55" max="55" width="7.28515625" customWidth="1"/>
    <col min="56" max="56" width="10.140625" style="9" customWidth="1"/>
    <col min="57" max="57" width="12.42578125" style="406" customWidth="1"/>
    <col min="58" max="58" width="11.42578125" style="406" customWidth="1"/>
    <col min="59" max="59" width="3.28515625" customWidth="1"/>
    <col min="60" max="60" width="7.85546875" style="386" customWidth="1"/>
    <col min="61" max="61" width="9.140625" style="335"/>
    <col min="62" max="62" width="10.28515625" style="335" customWidth="1"/>
    <col min="63" max="63" width="12.140625" style="335" customWidth="1"/>
    <col min="64" max="64" width="8.85546875" style="335" customWidth="1"/>
    <col min="65" max="65" width="7.85546875" customWidth="1"/>
    <col min="69" max="69" width="28.42578125" customWidth="1"/>
    <col min="72" max="72" width="12.42578125" bestFit="1" customWidth="1"/>
  </cols>
  <sheetData>
    <row r="1" spans="1:83" ht="12.75" customHeight="1" x14ac:dyDescent="0.2">
      <c r="A1" s="714" t="s">
        <v>888</v>
      </c>
      <c r="B1" s="714"/>
      <c r="C1" s="714"/>
      <c r="D1" s="714"/>
    </row>
    <row r="2" spans="1:83" ht="12.75" customHeight="1" x14ac:dyDescent="0.2">
      <c r="A2" s="714"/>
      <c r="B2" s="714"/>
      <c r="C2" s="714"/>
      <c r="D2" s="714"/>
      <c r="H2" s="615">
        <f>BD19</f>
        <v>0.87732069315130834</v>
      </c>
      <c r="I2" s="118" t="s">
        <v>920</v>
      </c>
      <c r="AI2" s="118"/>
      <c r="AJ2" s="118"/>
    </row>
    <row r="3" spans="1:83" ht="12.75" customHeight="1" x14ac:dyDescent="0.2">
      <c r="A3" s="714"/>
      <c r="B3" s="714"/>
      <c r="C3" s="714"/>
      <c r="D3" s="714"/>
      <c r="H3" s="615">
        <f>BD59</f>
        <v>0.96160538638814241</v>
      </c>
      <c r="I3" s="118" t="s">
        <v>922</v>
      </c>
      <c r="AI3" s="118"/>
      <c r="AJ3" s="118"/>
    </row>
    <row r="4" spans="1:83" ht="12.75" customHeight="1" x14ac:dyDescent="0.2">
      <c r="A4" s="714"/>
      <c r="B4" s="714"/>
      <c r="C4" s="714"/>
      <c r="D4" s="714"/>
      <c r="H4" s="615">
        <f>BD109</f>
        <v>0.96711504761355849</v>
      </c>
      <c r="I4" s="118" t="s">
        <v>921</v>
      </c>
      <c r="AI4" s="118"/>
      <c r="AJ4" s="118"/>
    </row>
    <row r="5" spans="1:83" x14ac:dyDescent="0.2">
      <c r="A5" s="10"/>
      <c r="B5" s="11"/>
      <c r="C5" s="6"/>
      <c r="D5" s="6"/>
    </row>
    <row r="6" spans="1:83" ht="13.5" customHeight="1" thickBot="1" x14ac:dyDescent="0.25">
      <c r="A6" s="715" t="s">
        <v>682</v>
      </c>
      <c r="B6" s="715"/>
      <c r="C6" s="715"/>
      <c r="D6" s="715"/>
      <c r="BV6">
        <v>80</v>
      </c>
      <c r="BW6">
        <v>100</v>
      </c>
      <c r="BX6">
        <v>120</v>
      </c>
      <c r="BY6">
        <v>140</v>
      </c>
      <c r="BZ6">
        <v>160</v>
      </c>
      <c r="CA6">
        <v>180</v>
      </c>
      <c r="CB6">
        <v>20</v>
      </c>
      <c r="CC6">
        <v>30</v>
      </c>
      <c r="CD6">
        <v>40</v>
      </c>
      <c r="CE6">
        <v>50</v>
      </c>
    </row>
    <row r="7" spans="1:83" ht="13.5" thickBot="1" x14ac:dyDescent="0.25">
      <c r="A7" s="715"/>
      <c r="B7" s="715"/>
      <c r="C7" s="715"/>
      <c r="D7" s="715"/>
      <c r="G7" s="711" t="s">
        <v>903</v>
      </c>
      <c r="H7" s="712"/>
      <c r="I7" s="712"/>
      <c r="J7" s="712"/>
      <c r="K7" s="712"/>
      <c r="L7" s="712"/>
      <c r="M7" s="712"/>
      <c r="N7" s="712"/>
      <c r="O7" s="712"/>
      <c r="P7" s="713"/>
      <c r="Q7" s="711" t="s">
        <v>694</v>
      </c>
      <c r="R7" s="712"/>
      <c r="S7" s="712"/>
      <c r="T7" s="713"/>
      <c r="U7" s="716" t="s">
        <v>27</v>
      </c>
      <c r="V7" s="717"/>
      <c r="W7" s="718"/>
      <c r="X7" s="711" t="s">
        <v>61</v>
      </c>
      <c r="Y7" s="712"/>
      <c r="Z7" s="713"/>
      <c r="AA7" s="711" t="s">
        <v>898</v>
      </c>
      <c r="AB7" s="712"/>
      <c r="AC7" s="712"/>
      <c r="AD7" s="712"/>
      <c r="AE7" s="713"/>
      <c r="AF7" s="711" t="s">
        <v>899</v>
      </c>
      <c r="AG7" s="712"/>
      <c r="AH7" s="712"/>
      <c r="AI7" s="713"/>
      <c r="AJ7" s="711" t="s">
        <v>900</v>
      </c>
      <c r="AK7" s="712"/>
      <c r="AL7" s="712"/>
      <c r="AM7" s="712"/>
      <c r="AN7" s="713"/>
      <c r="AO7" s="711" t="s">
        <v>901</v>
      </c>
      <c r="AP7" s="712"/>
      <c r="AQ7" s="712"/>
      <c r="AR7" s="713"/>
      <c r="AS7" s="510" t="s">
        <v>893</v>
      </c>
      <c r="AT7" s="508" t="s">
        <v>237</v>
      </c>
      <c r="AU7" s="511" t="s">
        <v>656</v>
      </c>
      <c r="AV7" s="509" t="s">
        <v>714</v>
      </c>
      <c r="AW7" s="509" t="s">
        <v>711</v>
      </c>
      <c r="AX7" s="719" t="s">
        <v>701</v>
      </c>
      <c r="AY7" s="720"/>
      <c r="AZ7" s="720"/>
      <c r="BA7" s="721"/>
      <c r="BB7" s="711" t="s">
        <v>709</v>
      </c>
      <c r="BC7" s="712"/>
      <c r="BD7" s="712"/>
      <c r="BE7" s="712"/>
      <c r="BF7" s="712"/>
      <c r="BG7" s="605"/>
      <c r="BH7" s="722" t="s">
        <v>710</v>
      </c>
      <c r="BI7" s="722"/>
      <c r="BJ7" s="722"/>
      <c r="BK7" s="722"/>
      <c r="BL7" s="722"/>
      <c r="BM7" s="722"/>
    </row>
    <row r="8" spans="1:83" ht="51.75" thickBot="1" x14ac:dyDescent="0.45">
      <c r="A8" s="13" t="s">
        <v>112</v>
      </c>
      <c r="B8" s="13"/>
      <c r="C8" s="13"/>
      <c r="D8" s="6"/>
      <c r="G8" s="493" t="s">
        <v>57</v>
      </c>
      <c r="H8" s="608" t="s">
        <v>4</v>
      </c>
      <c r="I8" s="600" t="s">
        <v>902</v>
      </c>
      <c r="J8" s="600" t="s">
        <v>904</v>
      </c>
      <c r="K8" s="494" t="s">
        <v>6</v>
      </c>
      <c r="L8" s="494" t="s">
        <v>412</v>
      </c>
      <c r="M8" s="494" t="s">
        <v>912</v>
      </c>
      <c r="N8" s="505" t="s">
        <v>908</v>
      </c>
      <c r="O8" s="611" t="s">
        <v>907</v>
      </c>
      <c r="P8" s="602" t="s">
        <v>695</v>
      </c>
      <c r="Q8" s="601" t="s">
        <v>897</v>
      </c>
      <c r="R8" s="507" t="s">
        <v>91</v>
      </c>
      <c r="S8" s="494" t="s">
        <v>896</v>
      </c>
      <c r="T8" s="495" t="s">
        <v>747</v>
      </c>
      <c r="U8" s="601" t="s">
        <v>697</v>
      </c>
      <c r="V8" s="496" t="s">
        <v>696</v>
      </c>
      <c r="W8" s="495" t="s">
        <v>746</v>
      </c>
      <c r="X8" s="506" t="s">
        <v>698</v>
      </c>
      <c r="Y8" s="494" t="s">
        <v>699</v>
      </c>
      <c r="Z8" s="495" t="s">
        <v>744</v>
      </c>
      <c r="AA8" s="493" t="s">
        <v>88</v>
      </c>
      <c r="AB8" s="494" t="s">
        <v>700</v>
      </c>
      <c r="AC8" s="494" t="s">
        <v>889</v>
      </c>
      <c r="AD8" s="497" t="s">
        <v>238</v>
      </c>
      <c r="AE8" s="495" t="s">
        <v>890</v>
      </c>
      <c r="AF8" s="493" t="s">
        <v>88</v>
      </c>
      <c r="AG8" s="494" t="s">
        <v>700</v>
      </c>
      <c r="AH8" s="494" t="s">
        <v>703</v>
      </c>
      <c r="AI8" s="498" t="s">
        <v>891</v>
      </c>
      <c r="AJ8" s="493" t="s">
        <v>88</v>
      </c>
      <c r="AK8" s="494" t="s">
        <v>700</v>
      </c>
      <c r="AL8" s="494" t="s">
        <v>889</v>
      </c>
      <c r="AM8" s="497" t="s">
        <v>238</v>
      </c>
      <c r="AN8" s="495" t="s">
        <v>890</v>
      </c>
      <c r="AO8" s="493" t="s">
        <v>88</v>
      </c>
      <c r="AP8" s="494" t="s">
        <v>700</v>
      </c>
      <c r="AQ8" s="494" t="s">
        <v>703</v>
      </c>
      <c r="AR8" s="498" t="s">
        <v>891</v>
      </c>
      <c r="AS8" s="507" t="s">
        <v>892</v>
      </c>
      <c r="AT8" s="495" t="s">
        <v>703</v>
      </c>
      <c r="AU8" s="512" t="s">
        <v>97</v>
      </c>
      <c r="AV8" s="513" t="s">
        <v>713</v>
      </c>
      <c r="AW8" s="513" t="s">
        <v>712</v>
      </c>
      <c r="AX8" s="499" t="s">
        <v>704</v>
      </c>
      <c r="AY8" s="500" t="s">
        <v>166</v>
      </c>
      <c r="AZ8" s="501" t="s">
        <v>240</v>
      </c>
      <c r="BA8" s="502" t="s">
        <v>702</v>
      </c>
      <c r="BB8" s="503" t="s">
        <v>58</v>
      </c>
      <c r="BC8" s="494" t="s">
        <v>394</v>
      </c>
      <c r="BD8" s="504" t="s">
        <v>706</v>
      </c>
      <c r="BE8" s="613" t="str">
        <f>IF(Vin&gt;Vout, "Buck ''CONTROL'' MOSFET Temp Rise", "Boost ''CONTROL'' MOSFET Temp Rise")</f>
        <v>Boost ''CONTROL'' MOSFET Temp Rise</v>
      </c>
      <c r="BF8" s="613" t="str">
        <f>IF(Vin&gt;Vout, "Buck ''SYNC'' MOSFET Temp Rise", "Boost ''SYNC'' MOSFET Temp Rise")</f>
        <v>Boost ''SYNC'' MOSFET Temp Rise</v>
      </c>
      <c r="BH8" s="606" t="s">
        <v>705</v>
      </c>
      <c r="BI8" s="607" t="s">
        <v>745</v>
      </c>
      <c r="BJ8" s="607" t="s">
        <v>914</v>
      </c>
      <c r="BK8" s="607" t="str">
        <f>IF(Vin&gt;Vout, "Buck ''Control'' MOSFET Loss", "Boost ''Control'' MOSFET Loss")</f>
        <v>Boost ''Control'' MOSFET Loss</v>
      </c>
      <c r="BL8" s="607" t="str">
        <f>IF(Vin&gt;Vout, "Buck ''SYNC'' MOSFET Loss", "Boost ''SYNC'' MOSFET Loss")</f>
        <v>Boost ''SYNC'' MOSFET Loss</v>
      </c>
      <c r="BM8" s="607" t="s">
        <v>870</v>
      </c>
      <c r="BN8" s="607"/>
      <c r="BT8" t="s">
        <v>132</v>
      </c>
      <c r="BV8" t="s">
        <v>124</v>
      </c>
      <c r="BW8" t="s">
        <v>125</v>
      </c>
      <c r="BX8" t="s">
        <v>126</v>
      </c>
      <c r="BY8" t="s">
        <v>127</v>
      </c>
      <c r="BZ8" t="s">
        <v>128</v>
      </c>
      <c r="CA8" t="s">
        <v>129</v>
      </c>
      <c r="CB8" t="s">
        <v>133</v>
      </c>
      <c r="CC8" t="s">
        <v>134</v>
      </c>
      <c r="CD8" t="s">
        <v>135</v>
      </c>
      <c r="CE8" t="s">
        <v>136</v>
      </c>
    </row>
    <row r="9" spans="1:83" x14ac:dyDescent="0.2">
      <c r="A9" s="14" t="s">
        <v>59</v>
      </c>
      <c r="B9" s="15" t="s">
        <v>115</v>
      </c>
      <c r="C9" s="16" t="s">
        <v>80</v>
      </c>
      <c r="D9" s="17" t="s">
        <v>111</v>
      </c>
      <c r="G9">
        <v>0</v>
      </c>
      <c r="H9" s="610">
        <f t="shared" ref="H9:H40" si="0">Vin</f>
        <v>12</v>
      </c>
      <c r="I9" s="4" t="str">
        <f t="shared" ref="I9:I40" si="1">IF(H9&gt;VIN_BB_to_buck, "BUCK", IF(H9&lt;VIN_boost_to_BB,"BOOST","BUCK-BST"))</f>
        <v>BUCK-BST</v>
      </c>
      <c r="J9">
        <f>IF(I9="BOOST",2, IF(I9="BUCK", 1,3))</f>
        <v>3</v>
      </c>
      <c r="K9">
        <v>0</v>
      </c>
      <c r="L9" s="4">
        <f t="shared" ref="L9:L40" si="2">Vout*K9/(Vin*Efficiency)</f>
        <v>0</v>
      </c>
      <c r="M9" s="4">
        <f>K9/(1-O9)</f>
        <v>0</v>
      </c>
      <c r="N9" s="386">
        <f t="shared" ref="N9:N40" si="3">CHOOSE(J9,(Vout+(Rdson2+Rs+Rdcr)*K9)/(Vin+(Rs+Rdson2-Rdson1)*K9), 1, IF(Vin&lt;Vout, D_max_buck_BB, Vout/Vin*(1-D_min_boost_exitBB_to_buck)))</f>
        <v>0.94450000000000001</v>
      </c>
      <c r="O9" s="386">
        <f t="shared" ref="O9:O40" si="4">CHOOSE(J9,0,(Vout+(Rdson3+Rdcr)*L9-Vin)/(Vout+(Rdson3-Rdson4-Rs)*L9), IF(Vin&gt;Vout,D_min_boost_exitBB_to_buck, (Vout-Vin*D_max_buck_BB)/Vout))</f>
        <v>5.5500000000000028E-2</v>
      </c>
      <c r="P9" s="4">
        <f t="shared" ref="P9:P40" si="5">MAX(0, CHOOSE(J9, (Vin-(Rdson1+Rdcr)*K9-Vout)*N9/(Fsw*Lf), (Vin-(Rdson4+Rdcr+Rs)*L9)*O9/(Fsw*Lf), IF(Vin&lt;Vout, (Vin-(Rdson4+Rdcr+Rs)*L9)*O9/(0.5*Fsw*Lf),(Vin-(Rdson1+Rdcr)*K9-Vout)*N9/(0.5*Fsw*Lf))))</f>
        <v>0</v>
      </c>
      <c r="Q9" s="4">
        <f t="shared" ref="Q9:Q40" si="6">CHOOSE(J9, SQRT(K9^2+(P9^2)/12), SQRT(L9^2+(P9^2)/12), SQRT(M9^2+(P9^2)/12))</f>
        <v>0</v>
      </c>
      <c r="R9" s="386">
        <f t="shared" ref="R9:R73" si="7">(Q9^2*Rdcr*(1+Ltc*Ta-Ltc*25))/(1-Q9^2*Rdcr*Ltc*ThetaCa)</f>
        <v>0</v>
      </c>
      <c r="S9" s="386">
        <f>ABS(7.759*10^-3*Fsw^0.9458*(0.00787*P9)^2.304)</f>
        <v>0</v>
      </c>
      <c r="T9" s="386">
        <f>R9+S9</f>
        <v>0</v>
      </c>
      <c r="U9" s="4">
        <f t="shared" ref="U9:U40" si="8">IF(Vin&gt;Vout, P9/SQRT(12), SQRT(O9/(1-O9))*SQRT(K9^2+(P9^2)/12))</f>
        <v>0</v>
      </c>
      <c r="V9" s="386">
        <f t="shared" ref="V9:V73" si="9">RCoutEsr*U9^2</f>
        <v>0</v>
      </c>
      <c r="W9" s="386">
        <f>V9</f>
        <v>0</v>
      </c>
      <c r="X9" s="4">
        <f t="shared" ref="X9:X40" si="10">IF(Vin&gt;Vout, SQRT(N9*(1-N9))*SQRT(K9^2+(P9^2)/12), P9/SQRT(12))</f>
        <v>0</v>
      </c>
      <c r="Y9" s="386">
        <f t="shared" ref="Y9:Y73" si="11">RCinEsr*X9^2</f>
        <v>0</v>
      </c>
      <c r="Z9" s="603">
        <f>Y9</f>
        <v>0</v>
      </c>
      <c r="AA9" s="386">
        <f t="shared" ref="AA9:AA40" si="12">CHOOSE(J9, SQRT(N9)*SQRT(K9^2+(P9^2)/12), SQRT(L9^2+(P9^2)/12), SQRT(N9)*SQRT(M9^2+(P9^2)/12))</f>
        <v>0</v>
      </c>
      <c r="AB9" s="386">
        <f t="shared" ref="AB9:AB40" si="13">Rdson1*AA9^2</f>
        <v>0</v>
      </c>
      <c r="AC9" s="386">
        <f t="shared" ref="AC9:AC40" si="14">CHOOSE(J9, (Vin*K9/2)*(Fsw)*(Tr_buck+Tf_buck), 0, (Vin*K9/2)*(Fsw/2)*(Tr_buck+Tf_buck))</f>
        <v>0</v>
      </c>
      <c r="AD9" s="386">
        <f t="shared" ref="AD9:AD40" si="15">CHOOSE(J9, IF(K9&gt;P9/2,0,ABS(K9-P9/2)*Vsd_Q1*Deadtime*Fsw),0, IF(K9&gt;P9/2,0,ABS(K9-P9/2)*Vsd_Q1*Deadtime*Fsw/2))</f>
        <v>0</v>
      </c>
      <c r="AE9" s="386">
        <f t="shared" ref="AE9:AE40" si="16">(AD9+AC9+AB9*(1+RdsonTopTc*Ta-RdsonTopTc*25))/(1-AB9*RdsonTopTc*ThetaJA_Q1)</f>
        <v>0</v>
      </c>
      <c r="AF9" s="386">
        <f t="shared" ref="AF9:AF40" si="17">CHOOSE(J9, SQRT((1-N9))*SQRT(K9^2+(P9^2)/12), 0, SQRT((1-N9))*SQRT(M9^2+(P9^2)/12))</f>
        <v>0</v>
      </c>
      <c r="AG9" s="386">
        <f t="shared" ref="AG9:AG40" si="18">Rdson2*AF9^2</f>
        <v>0</v>
      </c>
      <c r="AH9" s="386">
        <f t="shared" ref="AH9:AH40" si="19">CHOOSE(J9, IF(K9&lt;P9/2,Deadtime*Fsw*IF(VfdSky_Q2&gt;0,0,Vsd_Q2)*(K9+P9/2),2*Deadtime*Fsw*IF(VfdSky_Q2&gt;0,0,Vsd_Q2)*K9),0, IF(K9&lt;P9/2,Deadtime*Fsw/2*IF(VfdSky_Q2&gt;0,0,Vsd_Q2)*(K9+P9/2),2*Deadtime*Fsw/2*IF(VfdSky_Q2&gt;0,0,Vsd_Q2)*K9))</f>
        <v>0</v>
      </c>
      <c r="AI9" s="386">
        <f t="shared" ref="AI9:AI40" si="20">(AH9+AG9*(1+RdsonBotTc*Ta-RdsonBotTc*25))/(1-AG9*RdsonBotTc*ThetaJA_Q2)</f>
        <v>0</v>
      </c>
      <c r="AJ9" s="386">
        <f t="shared" ref="AJ9:AJ40" si="21">CHOOSE(J9, 0, SQRT(O9)*SQRT(L9^2+(P9^2)/12), SQRT(O9)*SQRT(M9^2+(P9^2)/12))</f>
        <v>0</v>
      </c>
      <c r="AK9" s="386">
        <f t="shared" ref="AK9:AK40" si="22">Rdson4*AJ9^2</f>
        <v>0</v>
      </c>
      <c r="AL9" s="386">
        <f t="shared" ref="AL9:AL40" si="23">CHOOSE(J9, 0, (Vout*L9/2)*(Fsw)*(Tr_boost+Tf_boost), (Vout*Iout/2)*(Fsw/2)*(Tr_boost+Tf_boost))</f>
        <v>0.10612653575380041</v>
      </c>
      <c r="AM9" s="386">
        <f t="shared" ref="AM9:AM40" si="24">IF(H9&gt;Vout, 0, IF(L9&gt;P9/2,0,ABS(L9-P9/2)*Vsd_Q4*Deadtime*Fsw))</f>
        <v>0</v>
      </c>
      <c r="AN9" s="386">
        <f t="shared" ref="AN9:AN40" si="25">(AM9+AL9+AK9*(1+RdsonTopTc*Ta-RdsonTopTc*25))/(1-AK9*RdsonTopTc*ThetaJA_Q4)</f>
        <v>0.10612653575380041</v>
      </c>
      <c r="AO9" s="386">
        <f>CHOOSE(J9, SQRT(K9^2+(P9^2)/12), SQRT(1-O9)*SQRT(L9^2+(P9^2)/12), SQRT(1-O9)*SQRT(M9^2+(P9^2)/12))</f>
        <v>0</v>
      </c>
      <c r="AP9" s="386">
        <f t="shared" ref="AP9:AP40" si="26">Rdson3*AO9^2</f>
        <v>0</v>
      </c>
      <c r="AQ9" s="386">
        <f t="shared" ref="AQ9:AQ40" si="27">CHOOSE(J9, 0, IF(L9&lt;P9/2,Deadtime*Fsw*IF(VfdSky_Q3&gt;0,0,Vsd_Q3)*(L9+P9/2), 2*Deadtime*Fsw*IF(VfdSky_Q3&gt;0,0,Vsd_Q3)*L9), IF(L9&lt;P9/2,Deadtime*Fsw/2*IF(VfdSky_Q3&gt;0,0,Vsd_Q3)*(L9+P9/2), 2*Deadtime*Fsw/2*IF(VfdSky_Q3&gt;0,0,Vsd_Q3)*L9))</f>
        <v>0</v>
      </c>
      <c r="AR9" s="386">
        <f t="shared" ref="AR9:AR40" si="28">(AQ9+AP9*(1+RdsonBotTc*Ta-RdsonBotTc*25))/(1-AP9*RdsonBotTc*ThetaJA_Q3)</f>
        <v>0</v>
      </c>
      <c r="AS9" s="386">
        <f t="shared" ref="AS9:AS40" si="29">CHOOSE(J9, Rdson3*Q9^2, Rdson1*Q9^2, 0)</f>
        <v>0</v>
      </c>
      <c r="AT9" s="386">
        <f t="shared" ref="AT9:AT40" si="30">CHOOSE(J9, 2*Deadtime*Fsw*IF(VfdSky_Q2&gt;0,VfdSky_Q2,0)*K9, 2*Deadtime*Fsw*IF(VfdSky_Q3&gt;0,VfdSky_Q3,0)*L9, 2*Deadtime*Fsw/2*IF(VfdSky_Q2&gt;0,VfdSky_Q2,0)*K9+2*Deadtime*Fsw/2*IF(VfdSky_Q3&gt;0,VfdSky_Q3,0)*L9)</f>
        <v>0</v>
      </c>
      <c r="AU9" s="386">
        <f t="shared" ref="AU9:AU40" si="31">CHOOSE(J9, IF(QrrSky_Q2&gt;0,QrrSky_Q2,Qrr_Q2*K9/Iout)*Fsw*(Vin-K9*Rdson1), IF(QrrSky_Q3&gt;0,QrrSky_Q3,Qrr_Q3)*Fsw*Vout,  IF(QrrSky_Q2&gt;0,QrrSky_Q2,Qrr_Q2*K9/Iout)*Fsw/2*(Vin-K9*Rdson1)+IF(QrrSky_Q3&gt;0,QrrSky_Q3,Qrr_Q3)*Fsw/2*Vout)</f>
        <v>2.2200000000000001E-2</v>
      </c>
      <c r="AV9" s="386">
        <f t="shared" ref="AV9:AV40" si="32">CHOOSE(J9, Rs*AF9^2, Rs*AJ9^2, Rs*(AF9^2+AJ9^2))</f>
        <v>0</v>
      </c>
      <c r="AW9" s="386">
        <f t="shared" ref="AW9:AW72" si="33">Rshunt_std/1000*Iout^2</f>
        <v>6.5920000000000006E-2</v>
      </c>
      <c r="AX9" s="386">
        <f t="shared" ref="AX9:AX40" si="34">IF(Vout&gt;8, Iq*Vout, Iq*Vin)</f>
        <v>3.6000000000000004E-2</v>
      </c>
      <c r="AY9" s="386">
        <f t="shared" ref="AY9:AY40" si="35">CHOOSE(J9, (Qg_Q1+Qg_Q2)*Fsw, (Qg_Q3+Qg_Q4)*Fsw, (Qg_Q1+Qg_Q2+Qg_Q3+Qg_Q4)*Fsw/2)*IF(Vout&gt;8, Vout, Vin)</f>
        <v>0.40226399999999995</v>
      </c>
      <c r="AZ9" s="386">
        <f t="shared" ref="AZ9:AZ72" si="36">(Vin-Vdd)*Fsw*(Qg_Q1+Qg_Q2)+(RdsonDRT+RdsonDRT2)*Fsw*Qg_Q1*Vdd/(RdsonDRT+2*Rgate1+RdsonDRT2)+(RdsonDRB+RdsonDRB2)*Fsw*Qg_Q2*Vdd/(RdsonDRB+2*Rgate2+RdsonDRB2)</f>
        <v>0.30415082926829268</v>
      </c>
      <c r="BA9" s="386">
        <f>SUM(AX9:AY9)</f>
        <v>0.43826399999999999</v>
      </c>
      <c r="BB9" s="386">
        <f>SUM(T9,W9,Z9,AE9,AI9,AN9,AR9, AT9,AU9,BA9,AV9,AW9)</f>
        <v>0.63251053575380034</v>
      </c>
      <c r="BC9">
        <f t="shared" ref="BC9:BC40" si="37">Vout*K9</f>
        <v>0</v>
      </c>
      <c r="BD9" s="604">
        <f>BC9/(BC9+BB9)</f>
        <v>0</v>
      </c>
      <c r="BE9" s="614">
        <f t="shared" ref="BE9:BE40" si="38">IF(Vin&gt;Vout,ThetaJA_Q1*BK9,ThetaJA_Q4*BK9)</f>
        <v>7.0051550737204238</v>
      </c>
      <c r="BF9" s="614">
        <f t="shared" ref="BF9:BF40" si="39">IF(Vin&gt;Vout, ThetaJA_Q2*BL9, ThetaJA_Q3*BL9)</f>
        <v>0.42490800000000006</v>
      </c>
      <c r="BH9" s="4">
        <f>BD9*100</f>
        <v>0</v>
      </c>
      <c r="BI9" s="386">
        <f>T9</f>
        <v>0</v>
      </c>
      <c r="BJ9" s="386">
        <f>AE9+AI9+AN9+AR9+AU9</f>
        <v>0.1283265357538004</v>
      </c>
      <c r="BK9" s="386">
        <f t="shared" ref="BK9:BK40" si="40">IF(Vin&gt;Vout, AE9+AU9*0.66, AN9+AU9*0.66)</f>
        <v>0.1207785357538004</v>
      </c>
      <c r="BL9" s="386">
        <f t="shared" ref="BL9:BL40" si="41">IF(Vin&gt;Vout, AI9+AU9*0.33, AR9+AU9*0.33)</f>
        <v>7.3260000000000009E-3</v>
      </c>
      <c r="BM9" s="386">
        <f>AV9</f>
        <v>0</v>
      </c>
      <c r="BQ9" t="s">
        <v>137</v>
      </c>
      <c r="BR9" s="18">
        <v>70</v>
      </c>
      <c r="BS9" s="18">
        <v>70</v>
      </c>
      <c r="BT9" s="18">
        <v>70</v>
      </c>
      <c r="BU9" s="19">
        <f>250000*(5-Vdd)*BT9/1000000000+((250000*BT9/1000000000*Vdd)*2.5/(2*4))</f>
        <v>-2.7343749999999972E-3</v>
      </c>
      <c r="BV9">
        <f t="shared" ref="BV9:CE17" si="42">BV$6*$BU9</f>
        <v>-0.21874999999999978</v>
      </c>
      <c r="BW9">
        <f t="shared" si="42"/>
        <v>-0.27343749999999972</v>
      </c>
      <c r="BX9">
        <f t="shared" si="42"/>
        <v>-0.32812499999999967</v>
      </c>
      <c r="BY9">
        <f t="shared" si="42"/>
        <v>-0.38281249999999961</v>
      </c>
      <c r="BZ9">
        <f t="shared" si="42"/>
        <v>-0.43749999999999956</v>
      </c>
      <c r="CA9">
        <f t="shared" si="42"/>
        <v>-0.4921874999999995</v>
      </c>
      <c r="CB9">
        <f t="shared" si="42"/>
        <v>-5.4687499999999944E-2</v>
      </c>
      <c r="CC9">
        <f t="shared" si="42"/>
        <v>-8.2031249999999917E-2</v>
      </c>
      <c r="CD9">
        <f t="shared" si="42"/>
        <v>-0.10937499999999989</v>
      </c>
      <c r="CE9">
        <f t="shared" si="42"/>
        <v>-0.13671874999999986</v>
      </c>
    </row>
    <row r="10" spans="1:83" x14ac:dyDescent="0.2">
      <c r="A10" s="547"/>
      <c r="B10" s="24"/>
      <c r="C10" s="16"/>
      <c r="D10" s="17"/>
      <c r="G10">
        <v>1</v>
      </c>
      <c r="H10" s="610">
        <f t="shared" si="0"/>
        <v>12</v>
      </c>
      <c r="I10" s="4" t="str">
        <f t="shared" si="1"/>
        <v>BUCK-BST</v>
      </c>
      <c r="J10">
        <f t="shared" ref="J10:J73" si="43">IF(I10="BOOST",2, IF(I10="BUCK", 1,3))</f>
        <v>3</v>
      </c>
      <c r="K10" s="386">
        <f t="shared" ref="K10:K41" si="44">Iout*G10/100</f>
        <v>0.04</v>
      </c>
      <c r="L10" s="4">
        <f t="shared" si="2"/>
        <v>4.4444444444444439E-2</v>
      </c>
      <c r="M10" s="4">
        <f>K10/(1-O10)</f>
        <v>4.2350449973530969E-2</v>
      </c>
      <c r="N10" s="386">
        <f t="shared" si="3"/>
        <v>0.94450000000000001</v>
      </c>
      <c r="O10" s="386">
        <f t="shared" si="4"/>
        <v>5.5500000000000028E-2</v>
      </c>
      <c r="P10" s="4">
        <f t="shared" si="5"/>
        <v>0</v>
      </c>
      <c r="Q10" s="4">
        <f t="shared" si="6"/>
        <v>4.2350449973530969E-2</v>
      </c>
      <c r="R10" s="386">
        <f t="shared" si="7"/>
        <v>2.3675044931614523E-5</v>
      </c>
      <c r="S10" s="386">
        <f t="shared" ref="S10:S73" si="45">7.759*10^-3*Fsw^0.9458*(0.00787*P10)^2.304</f>
        <v>0</v>
      </c>
      <c r="T10" s="386">
        <f t="shared" ref="T10:T73" si="46">R10+S10</f>
        <v>2.3675044931614523E-5</v>
      </c>
      <c r="U10" s="4">
        <f t="shared" si="8"/>
        <v>9.6962878949234371E-3</v>
      </c>
      <c r="V10" s="386">
        <f t="shared" si="9"/>
        <v>2.5384859714134469E-6</v>
      </c>
      <c r="W10" s="386">
        <f t="shared" ref="W10:W73" si="47">V10</f>
        <v>2.5384859714134469E-6</v>
      </c>
      <c r="X10" s="4">
        <f t="shared" si="10"/>
        <v>0</v>
      </c>
      <c r="Y10" s="386">
        <f t="shared" si="11"/>
        <v>0</v>
      </c>
      <c r="Z10" s="603">
        <f t="shared" ref="Z10:Z73" si="48">Y10</f>
        <v>0</v>
      </c>
      <c r="AA10" s="386">
        <f t="shared" si="12"/>
        <v>4.1158449909359303E-2</v>
      </c>
      <c r="AB10" s="386">
        <f t="shared" si="13"/>
        <v>1.6940179989412389E-5</v>
      </c>
      <c r="AC10" s="386">
        <f t="shared" si="14"/>
        <v>9.6452111800274286E-4</v>
      </c>
      <c r="AD10" s="386">
        <f t="shared" si="15"/>
        <v>0</v>
      </c>
      <c r="AE10" s="386">
        <f t="shared" si="16"/>
        <v>9.814651552697163E-4</v>
      </c>
      <c r="AF10" s="386">
        <f t="shared" si="17"/>
        <v>9.9771044907483297E-3</v>
      </c>
      <c r="AG10" s="386">
        <f t="shared" si="18"/>
        <v>9.9542614019310486E-7</v>
      </c>
      <c r="AH10" s="386">
        <f t="shared" si="19"/>
        <v>9.6199999999999996E-4</v>
      </c>
      <c r="AI10" s="386">
        <f t="shared" si="20"/>
        <v>9.6299564853331463E-4</v>
      </c>
      <c r="AJ10" s="386">
        <f t="shared" si="21"/>
        <v>9.9771044907483314E-3</v>
      </c>
      <c r="AK10" s="386">
        <f t="shared" si="22"/>
        <v>9.9542614019310529E-7</v>
      </c>
      <c r="AL10" s="386">
        <f t="shared" si="23"/>
        <v>0.10612653575380041</v>
      </c>
      <c r="AM10" s="386">
        <f t="shared" si="24"/>
        <v>0</v>
      </c>
      <c r="AN10" s="386">
        <f t="shared" si="25"/>
        <v>0.1061275556889178</v>
      </c>
      <c r="AO10" s="386">
        <f t="shared" ref="AO10:AO73" si="49">CHOOSE(J10, SQRT(K10^2+(P10^2)/12), SQRT(1-O10)*SQRT(L10^2+(P10^2)/12), SQRT(1-O10)*SQRT(M10^2+(P10^2)/12))</f>
        <v>4.1158449909359303E-2</v>
      </c>
      <c r="AP10" s="386">
        <f t="shared" si="26"/>
        <v>1.6940179989412389E-5</v>
      </c>
      <c r="AQ10" s="386">
        <f t="shared" si="27"/>
        <v>1.0688888888888888E-3</v>
      </c>
      <c r="AR10" s="386">
        <f t="shared" si="28"/>
        <v>1.0858333363355215E-3</v>
      </c>
      <c r="AS10" s="386">
        <f t="shared" si="29"/>
        <v>0</v>
      </c>
      <c r="AT10" s="386">
        <f t="shared" si="30"/>
        <v>0</v>
      </c>
      <c r="AU10" s="386">
        <f t="shared" si="31"/>
        <v>2.2421992599999999E-2</v>
      </c>
      <c r="AV10" s="386">
        <f t="shared" si="32"/>
        <v>2.9862784205793152E-6</v>
      </c>
      <c r="AW10" s="386">
        <f t="shared" si="33"/>
        <v>6.5920000000000006E-2</v>
      </c>
      <c r="AX10" s="386">
        <f t="shared" si="34"/>
        <v>3.6000000000000004E-2</v>
      </c>
      <c r="AY10" s="386">
        <f t="shared" si="35"/>
        <v>0.40226399999999995</v>
      </c>
      <c r="AZ10" s="386">
        <f t="shared" si="36"/>
        <v>0.30415082926829268</v>
      </c>
      <c r="BA10" s="386">
        <f t="shared" ref="BA10" si="50">SUM(AX10:AY10)</f>
        <v>0.43826399999999999</v>
      </c>
      <c r="BB10" s="386">
        <f>SUM(T10,W10,Z10,AE10,AI10,AN10,AR10, AT10,AU10,BA10,AV10,AW10)</f>
        <v>0.63579304223837996</v>
      </c>
      <c r="BC10">
        <f t="shared" si="37"/>
        <v>0.48</v>
      </c>
      <c r="BD10" s="604">
        <f t="shared" ref="BD10:BD73" si="51">BC10/(BC10+BB10)</f>
        <v>0.43018730340626371</v>
      </c>
      <c r="BE10" s="614">
        <f t="shared" si="38"/>
        <v>7.0137121066852322</v>
      </c>
      <c r="BF10" s="614">
        <f t="shared" si="39"/>
        <v>0.49213527187146022</v>
      </c>
      <c r="BG10" s="9"/>
      <c r="BH10" s="4">
        <f t="shared" ref="BH10:BH73" si="52">BD10*100</f>
        <v>43.018730340626369</v>
      </c>
      <c r="BI10" s="386">
        <f t="shared" ref="BI10:BI73" si="53">T10</f>
        <v>2.3675044931614523E-5</v>
      </c>
      <c r="BJ10" s="386">
        <f t="shared" ref="BJ10:BJ73" si="54">AE10+AI10+AN10+AR10+AU10</f>
        <v>0.13157984242905635</v>
      </c>
      <c r="BK10" s="386">
        <f t="shared" si="40"/>
        <v>0.1209260708049178</v>
      </c>
      <c r="BL10" s="386">
        <f t="shared" si="41"/>
        <v>8.4850908943355213E-3</v>
      </c>
      <c r="BM10" s="386">
        <f t="shared" ref="BM10:BM73" si="55">AV10</f>
        <v>2.9862784205793152E-6</v>
      </c>
      <c r="BR10" s="18"/>
      <c r="BS10" s="18"/>
      <c r="BT10" s="18"/>
      <c r="BU10" s="19"/>
    </row>
    <row r="11" spans="1:83" x14ac:dyDescent="0.2">
      <c r="A11" s="20" t="s">
        <v>4</v>
      </c>
      <c r="B11" s="5">
        <f>Vin</f>
        <v>12</v>
      </c>
      <c r="C11" s="482" t="s">
        <v>0</v>
      </c>
      <c r="D11" s="21" t="s">
        <v>4</v>
      </c>
      <c r="G11">
        <v>2</v>
      </c>
      <c r="H11" s="610">
        <f t="shared" si="0"/>
        <v>12</v>
      </c>
      <c r="I11" s="4" t="str">
        <f t="shared" si="1"/>
        <v>BUCK-BST</v>
      </c>
      <c r="J11">
        <f t="shared" si="43"/>
        <v>3</v>
      </c>
      <c r="K11" s="386">
        <f t="shared" si="44"/>
        <v>0.08</v>
      </c>
      <c r="L11" s="4">
        <f t="shared" si="2"/>
        <v>8.8888888888888878E-2</v>
      </c>
      <c r="M11" s="4">
        <f t="shared" ref="M11:M74" si="56">K11/(1-O11)</f>
        <v>8.4700899947061939E-2</v>
      </c>
      <c r="N11" s="386">
        <f t="shared" si="3"/>
        <v>0.94450000000000001</v>
      </c>
      <c r="O11" s="386">
        <f t="shared" si="4"/>
        <v>5.5500000000000028E-2</v>
      </c>
      <c r="P11" s="4">
        <f t="shared" si="5"/>
        <v>0</v>
      </c>
      <c r="Q11" s="4">
        <f t="shared" si="6"/>
        <v>8.4700899947061939E-2</v>
      </c>
      <c r="R11" s="386">
        <f t="shared" si="7"/>
        <v>9.470071781695793E-5</v>
      </c>
      <c r="S11" s="386">
        <f t="shared" si="45"/>
        <v>0</v>
      </c>
      <c r="T11" s="386">
        <f t="shared" si="46"/>
        <v>9.470071781695793E-5</v>
      </c>
      <c r="U11" s="4">
        <f t="shared" si="8"/>
        <v>1.9392575789846874E-2</v>
      </c>
      <c r="V11" s="386">
        <f t="shared" si="9"/>
        <v>1.0153943885653788E-5</v>
      </c>
      <c r="W11" s="386">
        <f t="shared" si="47"/>
        <v>1.0153943885653788E-5</v>
      </c>
      <c r="X11" s="4">
        <f t="shared" si="10"/>
        <v>0</v>
      </c>
      <c r="Y11" s="386">
        <f t="shared" si="11"/>
        <v>0</v>
      </c>
      <c r="Z11" s="603">
        <f t="shared" si="48"/>
        <v>0</v>
      </c>
      <c r="AA11" s="386">
        <f t="shared" si="12"/>
        <v>8.2316899818718606E-2</v>
      </c>
      <c r="AB11" s="386">
        <f t="shared" si="13"/>
        <v>6.7760719957649557E-5</v>
      </c>
      <c r="AC11" s="386">
        <f t="shared" si="14"/>
        <v>1.9290422360054857E-3</v>
      </c>
      <c r="AD11" s="386">
        <f t="shared" si="15"/>
        <v>0</v>
      </c>
      <c r="AE11" s="386">
        <f t="shared" si="16"/>
        <v>1.9968343471715912E-3</v>
      </c>
      <c r="AF11" s="386">
        <f t="shared" si="17"/>
        <v>1.9954208981496659E-2</v>
      </c>
      <c r="AG11" s="386">
        <f t="shared" si="18"/>
        <v>3.9817045607724195E-6</v>
      </c>
      <c r="AH11" s="386">
        <f t="shared" si="19"/>
        <v>1.9239999999999999E-3</v>
      </c>
      <c r="AI11" s="386">
        <f t="shared" si="20"/>
        <v>1.9279834855460403E-3</v>
      </c>
      <c r="AJ11" s="386">
        <f t="shared" si="21"/>
        <v>1.9954208981496663E-2</v>
      </c>
      <c r="AK11" s="386">
        <f t="shared" si="22"/>
        <v>3.9817045607724212E-6</v>
      </c>
      <c r="AL11" s="386">
        <f t="shared" si="23"/>
        <v>0.10612653575380041</v>
      </c>
      <c r="AM11" s="386">
        <f t="shared" si="24"/>
        <v>0</v>
      </c>
      <c r="AN11" s="386">
        <f t="shared" si="25"/>
        <v>0.10613061549709651</v>
      </c>
      <c r="AO11" s="386">
        <f t="shared" si="49"/>
        <v>8.2316899818718606E-2</v>
      </c>
      <c r="AP11" s="386">
        <f t="shared" si="26"/>
        <v>6.7760719957649557E-5</v>
      </c>
      <c r="AQ11" s="386">
        <f t="shared" si="27"/>
        <v>2.1377777777777775E-3</v>
      </c>
      <c r="AR11" s="386">
        <f t="shared" si="28"/>
        <v>2.2055731704198468E-3</v>
      </c>
      <c r="AS11" s="386">
        <f t="shared" si="29"/>
        <v>0</v>
      </c>
      <c r="AT11" s="386">
        <f t="shared" si="30"/>
        <v>0</v>
      </c>
      <c r="AU11" s="386">
        <f t="shared" si="31"/>
        <v>2.2643970400000001E-2</v>
      </c>
      <c r="AV11" s="386">
        <f t="shared" si="32"/>
        <v>1.1945113682317261E-5</v>
      </c>
      <c r="AW11" s="386">
        <f t="shared" si="33"/>
        <v>6.5920000000000006E-2</v>
      </c>
      <c r="AX11" s="386">
        <f t="shared" si="34"/>
        <v>3.6000000000000004E-2</v>
      </c>
      <c r="AY11" s="386">
        <f t="shared" si="35"/>
        <v>0.40226399999999995</v>
      </c>
      <c r="AZ11" s="386">
        <f t="shared" si="36"/>
        <v>0.30415082926829268</v>
      </c>
      <c r="BA11" s="386">
        <f t="shared" ref="BA11:BA74" si="57">SUM(AX11:AY11)</f>
        <v>0.43826399999999999</v>
      </c>
      <c r="BB11" s="386">
        <f t="shared" ref="BB11:BB74" si="58">SUM(T11,W11,Z11,AE11,AI11,AN11,AR11, AT11,AU11,BA11,AV11,AW11)</f>
        <v>0.63920577667561884</v>
      </c>
      <c r="BC11">
        <f t="shared" si="37"/>
        <v>0.96</v>
      </c>
      <c r="BD11" s="604">
        <f t="shared" si="51"/>
        <v>0.60029798166163406</v>
      </c>
      <c r="BE11" s="614">
        <f t="shared" si="38"/>
        <v>7.0223868857435985</v>
      </c>
      <c r="BF11" s="614">
        <f t="shared" si="39"/>
        <v>0.56132883734035122</v>
      </c>
      <c r="BG11" s="9"/>
      <c r="BH11" s="4">
        <f t="shared" si="52"/>
        <v>60.029798166163403</v>
      </c>
      <c r="BI11" s="386">
        <f t="shared" si="53"/>
        <v>9.470071781695793E-5</v>
      </c>
      <c r="BJ11" s="386">
        <f t="shared" si="54"/>
        <v>0.13490497690023398</v>
      </c>
      <c r="BK11" s="386">
        <f t="shared" si="40"/>
        <v>0.12107563596109652</v>
      </c>
      <c r="BL11" s="386">
        <f t="shared" si="41"/>
        <v>9.678083402419848E-3</v>
      </c>
      <c r="BM11" s="386">
        <f t="shared" si="55"/>
        <v>1.1945113682317261E-5</v>
      </c>
      <c r="BQ11" t="s">
        <v>138</v>
      </c>
      <c r="BR11" s="18">
        <v>90</v>
      </c>
      <c r="BS11" s="18">
        <v>90</v>
      </c>
      <c r="BT11" s="18">
        <v>90</v>
      </c>
      <c r="BU11" s="19">
        <f>250000*(12-Vdd)*BT11/1000000000+((250000*BT9/1000000000*Vdd)*2.5/(2*4))</f>
        <v>0.14226562500000001</v>
      </c>
      <c r="BV11">
        <f t="shared" si="42"/>
        <v>11.381250000000001</v>
      </c>
      <c r="BW11">
        <f t="shared" si="42"/>
        <v>14.2265625</v>
      </c>
      <c r="BX11">
        <f t="shared" si="42"/>
        <v>17.071875000000002</v>
      </c>
      <c r="BY11">
        <f t="shared" si="42"/>
        <v>19.917187500000001</v>
      </c>
      <c r="BZ11">
        <f t="shared" si="42"/>
        <v>22.762500000000003</v>
      </c>
      <c r="CA11">
        <f t="shared" si="42"/>
        <v>25.607812500000001</v>
      </c>
      <c r="CB11">
        <f t="shared" si="42"/>
        <v>2.8453125000000004</v>
      </c>
      <c r="CC11">
        <f t="shared" si="42"/>
        <v>4.2679687500000005</v>
      </c>
      <c r="CD11">
        <f t="shared" si="42"/>
        <v>5.6906250000000007</v>
      </c>
      <c r="CE11">
        <f t="shared" si="42"/>
        <v>7.11328125</v>
      </c>
    </row>
    <row r="12" spans="1:83" x14ac:dyDescent="0.2">
      <c r="A12" s="22" t="s">
        <v>5</v>
      </c>
      <c r="B12" s="5">
        <f>Vout</f>
        <v>12</v>
      </c>
      <c r="C12" s="482" t="s">
        <v>0</v>
      </c>
      <c r="D12" s="21" t="s">
        <v>5</v>
      </c>
      <c r="G12">
        <v>3</v>
      </c>
      <c r="H12" s="610">
        <f t="shared" si="0"/>
        <v>12</v>
      </c>
      <c r="I12" s="4" t="str">
        <f t="shared" si="1"/>
        <v>BUCK-BST</v>
      </c>
      <c r="J12">
        <f t="shared" si="43"/>
        <v>3</v>
      </c>
      <c r="K12" s="386">
        <f t="shared" si="44"/>
        <v>0.12</v>
      </c>
      <c r="L12" s="4">
        <f t="shared" si="2"/>
        <v>0.13333333333333333</v>
      </c>
      <c r="M12" s="4">
        <f t="shared" si="56"/>
        <v>0.12705134992059289</v>
      </c>
      <c r="N12" s="386">
        <f t="shared" si="3"/>
        <v>0.94450000000000001</v>
      </c>
      <c r="O12" s="386">
        <f t="shared" si="4"/>
        <v>5.5500000000000028E-2</v>
      </c>
      <c r="P12" s="4">
        <f t="shared" si="5"/>
        <v>0</v>
      </c>
      <c r="Q12" s="4">
        <f t="shared" si="6"/>
        <v>0.12705134992059289</v>
      </c>
      <c r="R12" s="386">
        <f t="shared" si="7"/>
        <v>2.1307863295810459E-4</v>
      </c>
      <c r="S12" s="386">
        <f t="shared" si="45"/>
        <v>0</v>
      </c>
      <c r="T12" s="386">
        <f t="shared" si="46"/>
        <v>2.1307863295810459E-4</v>
      </c>
      <c r="U12" s="4">
        <f t="shared" si="8"/>
        <v>2.9088863684770313E-2</v>
      </c>
      <c r="V12" s="386">
        <f t="shared" si="9"/>
        <v>2.2846373742721024E-5</v>
      </c>
      <c r="W12" s="386">
        <f t="shared" si="47"/>
        <v>2.2846373742721024E-5</v>
      </c>
      <c r="X12" s="4">
        <f t="shared" si="10"/>
        <v>0</v>
      </c>
      <c r="Y12" s="386">
        <f t="shared" si="11"/>
        <v>0</v>
      </c>
      <c r="Z12" s="603">
        <f t="shared" si="48"/>
        <v>0</v>
      </c>
      <c r="AA12" s="386">
        <f t="shared" si="12"/>
        <v>0.12347534972807789</v>
      </c>
      <c r="AB12" s="386">
        <f t="shared" si="13"/>
        <v>1.5246161990471144E-4</v>
      </c>
      <c r="AC12" s="386">
        <f t="shared" si="14"/>
        <v>2.8935633540082286E-3</v>
      </c>
      <c r="AD12" s="386">
        <f t="shared" si="15"/>
        <v>0</v>
      </c>
      <c r="AE12" s="386">
        <f t="shared" si="16"/>
        <v>3.0461327189652164E-3</v>
      </c>
      <c r="AF12" s="386">
        <f t="shared" si="17"/>
        <v>2.9931313472244984E-2</v>
      </c>
      <c r="AG12" s="386">
        <f t="shared" si="18"/>
        <v>8.9588352617379415E-6</v>
      </c>
      <c r="AH12" s="386">
        <f t="shared" si="19"/>
        <v>2.8859999999999997E-3</v>
      </c>
      <c r="AI12" s="386">
        <f t="shared" si="20"/>
        <v>2.8949648523008001E-3</v>
      </c>
      <c r="AJ12" s="386">
        <f t="shared" si="21"/>
        <v>2.9931313472244991E-2</v>
      </c>
      <c r="AK12" s="386">
        <f t="shared" si="22"/>
        <v>8.9588352617379448E-6</v>
      </c>
      <c r="AL12" s="386">
        <f t="shared" si="23"/>
        <v>0.10612653575380041</v>
      </c>
      <c r="AM12" s="386">
        <f t="shared" si="24"/>
        <v>0</v>
      </c>
      <c r="AN12" s="386">
        <f t="shared" si="25"/>
        <v>0.1061357151868161</v>
      </c>
      <c r="AO12" s="386">
        <f t="shared" si="49"/>
        <v>0.12347534972807789</v>
      </c>
      <c r="AP12" s="386">
        <f t="shared" si="26"/>
        <v>1.5246161990471144E-4</v>
      </c>
      <c r="AQ12" s="386">
        <f t="shared" si="27"/>
        <v>3.2066666666666663E-3</v>
      </c>
      <c r="AR12" s="386">
        <f t="shared" si="28"/>
        <v>3.3592471068226689E-3</v>
      </c>
      <c r="AS12" s="386">
        <f t="shared" si="29"/>
        <v>0</v>
      </c>
      <c r="AT12" s="386">
        <f t="shared" si="30"/>
        <v>0</v>
      </c>
      <c r="AU12" s="386">
        <f t="shared" si="31"/>
        <v>2.28659334E-2</v>
      </c>
      <c r="AV12" s="386">
        <f t="shared" si="32"/>
        <v>2.6876505785213829E-5</v>
      </c>
      <c r="AW12" s="386">
        <f t="shared" si="33"/>
        <v>6.5920000000000006E-2</v>
      </c>
      <c r="AX12" s="386">
        <f t="shared" si="34"/>
        <v>3.6000000000000004E-2</v>
      </c>
      <c r="AY12" s="386">
        <f t="shared" si="35"/>
        <v>0.40226399999999995</v>
      </c>
      <c r="AZ12" s="386">
        <f t="shared" si="36"/>
        <v>0.30415082926829268</v>
      </c>
      <c r="BA12" s="386">
        <f t="shared" si="57"/>
        <v>0.43826399999999999</v>
      </c>
      <c r="BB12" s="386">
        <f t="shared" si="58"/>
        <v>0.64274879477739078</v>
      </c>
      <c r="BC12">
        <f t="shared" si="37"/>
        <v>1.44</v>
      </c>
      <c r="BD12" s="604">
        <f t="shared" si="51"/>
        <v>0.69139399029344328</v>
      </c>
      <c r="BE12" s="614">
        <f t="shared" si="38"/>
        <v>7.0311794113873338</v>
      </c>
      <c r="BF12" s="614">
        <f t="shared" si="39"/>
        <v>0.63249029747171481</v>
      </c>
      <c r="BG12" s="9"/>
      <c r="BH12" s="4">
        <f t="shared" si="52"/>
        <v>69.139399029344332</v>
      </c>
      <c r="BI12" s="386">
        <f t="shared" si="53"/>
        <v>2.1307863295810459E-4</v>
      </c>
      <c r="BJ12" s="386">
        <f t="shared" si="54"/>
        <v>0.13830199326490478</v>
      </c>
      <c r="BK12" s="386">
        <f t="shared" si="40"/>
        <v>0.12122723123081609</v>
      </c>
      <c r="BL12" s="386">
        <f t="shared" si="41"/>
        <v>1.090500512882267E-2</v>
      </c>
      <c r="BM12" s="386">
        <f t="shared" si="55"/>
        <v>2.6876505785213829E-5</v>
      </c>
      <c r="BQ12" t="s">
        <v>143</v>
      </c>
      <c r="BR12" s="18">
        <v>60</v>
      </c>
      <c r="BS12" s="18">
        <v>60</v>
      </c>
      <c r="BT12" s="18">
        <v>60</v>
      </c>
      <c r="BU12" s="19">
        <f>250000*(18-Vdd)*BT12/1000000000+((250000*BT9/1000000000*Vdd)*2.5/(2*4))</f>
        <v>0.198515625</v>
      </c>
      <c r="BV12">
        <f t="shared" si="42"/>
        <v>15.88125</v>
      </c>
      <c r="BW12">
        <f t="shared" si="42"/>
        <v>19.8515625</v>
      </c>
      <c r="BX12">
        <f t="shared" si="42"/>
        <v>23.821874999999999</v>
      </c>
      <c r="BY12">
        <f t="shared" si="42"/>
        <v>27.792187500000001</v>
      </c>
      <c r="BZ12">
        <f t="shared" si="42"/>
        <v>31.762499999999999</v>
      </c>
      <c r="CA12">
        <f t="shared" si="42"/>
        <v>35.732812500000001</v>
      </c>
      <c r="CB12">
        <f t="shared" si="42"/>
        <v>3.9703124999999999</v>
      </c>
      <c r="CC12">
        <f t="shared" si="42"/>
        <v>5.9554687499999996</v>
      </c>
      <c r="CD12">
        <f t="shared" si="42"/>
        <v>7.9406249999999998</v>
      </c>
      <c r="CE12">
        <f t="shared" si="42"/>
        <v>9.92578125</v>
      </c>
    </row>
    <row r="13" spans="1:83" x14ac:dyDescent="0.2">
      <c r="A13" s="22" t="s">
        <v>7</v>
      </c>
      <c r="B13" s="5">
        <f>Fsw/1000</f>
        <v>370</v>
      </c>
      <c r="C13" s="482" t="s">
        <v>3</v>
      </c>
      <c r="D13" s="21" t="s">
        <v>98</v>
      </c>
      <c r="G13">
        <v>4</v>
      </c>
      <c r="H13" s="610">
        <f t="shared" si="0"/>
        <v>12</v>
      </c>
      <c r="I13" s="4" t="str">
        <f t="shared" si="1"/>
        <v>BUCK-BST</v>
      </c>
      <c r="J13">
        <f t="shared" si="43"/>
        <v>3</v>
      </c>
      <c r="K13" s="386">
        <f t="shared" si="44"/>
        <v>0.16</v>
      </c>
      <c r="L13" s="4">
        <f t="shared" si="2"/>
        <v>0.17777777777777776</v>
      </c>
      <c r="M13" s="4">
        <f t="shared" si="56"/>
        <v>0.16940179989412388</v>
      </c>
      <c r="N13" s="386">
        <f t="shared" si="3"/>
        <v>0.94450000000000001</v>
      </c>
      <c r="O13" s="386">
        <f t="shared" si="4"/>
        <v>5.5500000000000028E-2</v>
      </c>
      <c r="P13" s="4">
        <f t="shared" si="5"/>
        <v>0</v>
      </c>
      <c r="Q13" s="4">
        <f t="shared" si="6"/>
        <v>0.16940179989412388</v>
      </c>
      <c r="R13" s="386">
        <f t="shared" si="7"/>
        <v>3.7881148096043121E-4</v>
      </c>
      <c r="S13" s="386">
        <f t="shared" si="45"/>
        <v>0</v>
      </c>
      <c r="T13" s="386">
        <f t="shared" si="46"/>
        <v>3.7881148096043121E-4</v>
      </c>
      <c r="U13" s="4">
        <f t="shared" si="8"/>
        <v>3.8785151579693748E-2</v>
      </c>
      <c r="V13" s="386">
        <f t="shared" si="9"/>
        <v>4.061577554261515E-5</v>
      </c>
      <c r="W13" s="386">
        <f t="shared" si="47"/>
        <v>4.061577554261515E-5</v>
      </c>
      <c r="X13" s="4">
        <f t="shared" si="10"/>
        <v>0</v>
      </c>
      <c r="Y13" s="386">
        <f t="shared" si="11"/>
        <v>0</v>
      </c>
      <c r="Z13" s="603">
        <f t="shared" si="48"/>
        <v>0</v>
      </c>
      <c r="AA13" s="386">
        <f t="shared" si="12"/>
        <v>0.16463379963743721</v>
      </c>
      <c r="AB13" s="386">
        <f t="shared" si="13"/>
        <v>2.7104287983059823E-4</v>
      </c>
      <c r="AC13" s="386">
        <f t="shared" si="14"/>
        <v>3.8580844720109714E-3</v>
      </c>
      <c r="AD13" s="386">
        <f t="shared" si="15"/>
        <v>0</v>
      </c>
      <c r="AE13" s="386">
        <f t="shared" si="16"/>
        <v>4.1293870157416632E-3</v>
      </c>
      <c r="AF13" s="386">
        <f t="shared" si="17"/>
        <v>3.9908417962993319E-2</v>
      </c>
      <c r="AG13" s="386">
        <f t="shared" si="18"/>
        <v>1.5926818243089678E-5</v>
      </c>
      <c r="AH13" s="386">
        <f t="shared" si="19"/>
        <v>3.8479999999999999E-3</v>
      </c>
      <c r="AI13" s="386">
        <f t="shared" si="20"/>
        <v>3.8639410955897966E-3</v>
      </c>
      <c r="AJ13" s="386">
        <f t="shared" si="21"/>
        <v>3.9908417962993326E-2</v>
      </c>
      <c r="AK13" s="386">
        <f t="shared" si="22"/>
        <v>1.5926818243089685E-5</v>
      </c>
      <c r="AL13" s="386">
        <f t="shared" si="23"/>
        <v>0.10612653575380041</v>
      </c>
      <c r="AM13" s="386">
        <f t="shared" si="24"/>
        <v>0</v>
      </c>
      <c r="AN13" s="386">
        <f t="shared" si="25"/>
        <v>0.10614285477220922</v>
      </c>
      <c r="AO13" s="386">
        <f t="shared" si="49"/>
        <v>0.16463379963743721</v>
      </c>
      <c r="AP13" s="386">
        <f t="shared" si="26"/>
        <v>2.7104287983059823E-4</v>
      </c>
      <c r="AQ13" s="386">
        <f t="shared" si="27"/>
        <v>4.275555555555555E-3</v>
      </c>
      <c r="AR13" s="386">
        <f t="shared" si="28"/>
        <v>4.5468843523321072E-3</v>
      </c>
      <c r="AS13" s="386">
        <f t="shared" si="29"/>
        <v>0</v>
      </c>
      <c r="AT13" s="386">
        <f t="shared" si="30"/>
        <v>0</v>
      </c>
      <c r="AU13" s="386">
        <f t="shared" si="31"/>
        <v>2.3087881600000002E-2</v>
      </c>
      <c r="AV13" s="386">
        <f t="shared" si="32"/>
        <v>4.7780454729269044E-5</v>
      </c>
      <c r="AW13" s="386">
        <f t="shared" si="33"/>
        <v>6.5920000000000006E-2</v>
      </c>
      <c r="AX13" s="386">
        <f t="shared" si="34"/>
        <v>3.6000000000000004E-2</v>
      </c>
      <c r="AY13" s="386">
        <f t="shared" si="35"/>
        <v>0.40226399999999995</v>
      </c>
      <c r="AZ13" s="386">
        <f t="shared" si="36"/>
        <v>0.30415082926829268</v>
      </c>
      <c r="BA13" s="386">
        <f t="shared" si="57"/>
        <v>0.43826399999999999</v>
      </c>
      <c r="BB13" s="386">
        <f t="shared" si="58"/>
        <v>0.64642215654710511</v>
      </c>
      <c r="BC13">
        <f t="shared" si="37"/>
        <v>1.92</v>
      </c>
      <c r="BD13" s="604">
        <f t="shared" si="51"/>
        <v>0.74812321702489926</v>
      </c>
      <c r="BE13" s="614">
        <f t="shared" si="38"/>
        <v>7.0400896844361354</v>
      </c>
      <c r="BF13" s="614">
        <f t="shared" si="39"/>
        <v>0.70562134625926232</v>
      </c>
      <c r="BG13" s="9"/>
      <c r="BH13" s="4">
        <f t="shared" si="52"/>
        <v>74.812321702489925</v>
      </c>
      <c r="BI13" s="386">
        <f t="shared" si="53"/>
        <v>3.7881148096043121E-4</v>
      </c>
      <c r="BJ13" s="386">
        <f t="shared" si="54"/>
        <v>0.1417709488358728</v>
      </c>
      <c r="BK13" s="386">
        <f t="shared" si="40"/>
        <v>0.12138085662820923</v>
      </c>
      <c r="BL13" s="386">
        <f t="shared" si="41"/>
        <v>1.216588528033211E-2</v>
      </c>
      <c r="BM13" s="386">
        <f t="shared" si="55"/>
        <v>4.7780454729269044E-5</v>
      </c>
      <c r="BQ13" t="s">
        <v>139</v>
      </c>
      <c r="BR13" s="18">
        <v>30</v>
      </c>
      <c r="BS13" s="18">
        <v>30</v>
      </c>
      <c r="BT13" s="18">
        <v>30</v>
      </c>
      <c r="BU13" s="19">
        <f>500000*(5-Vdd)*BT13/1000000000+((500000*BT9/1000000000*Vdd)*2.5/(2*4))</f>
        <v>4.4531250000000001E-2</v>
      </c>
      <c r="BV13">
        <f t="shared" si="42"/>
        <v>3.5625</v>
      </c>
      <c r="BW13">
        <f t="shared" si="42"/>
        <v>4.453125</v>
      </c>
      <c r="BX13">
        <f t="shared" si="42"/>
        <v>5.34375</v>
      </c>
      <c r="BY13">
        <f t="shared" si="42"/>
        <v>6.234375</v>
      </c>
      <c r="BZ13">
        <f t="shared" si="42"/>
        <v>7.125</v>
      </c>
      <c r="CA13">
        <f t="shared" si="42"/>
        <v>8.015625</v>
      </c>
      <c r="CB13">
        <f t="shared" si="42"/>
        <v>0.890625</v>
      </c>
      <c r="CC13">
        <f t="shared" si="42"/>
        <v>1.3359375</v>
      </c>
      <c r="CD13">
        <f t="shared" si="42"/>
        <v>1.78125</v>
      </c>
      <c r="CE13">
        <f t="shared" si="42"/>
        <v>2.2265625</v>
      </c>
    </row>
    <row r="14" spans="1:83" x14ac:dyDescent="0.2">
      <c r="A14" s="22" t="s">
        <v>6</v>
      </c>
      <c r="B14" s="5">
        <f>Iout</f>
        <v>4</v>
      </c>
      <c r="C14" s="482" t="s">
        <v>2</v>
      </c>
      <c r="D14" s="21" t="s">
        <v>99</v>
      </c>
      <c r="G14">
        <v>5</v>
      </c>
      <c r="H14" s="610">
        <f t="shared" si="0"/>
        <v>12</v>
      </c>
      <c r="I14" s="4" t="str">
        <f t="shared" si="1"/>
        <v>BUCK-BST</v>
      </c>
      <c r="J14">
        <f t="shared" si="43"/>
        <v>3</v>
      </c>
      <c r="K14" s="386">
        <f t="shared" si="44"/>
        <v>0.2</v>
      </c>
      <c r="L14" s="4">
        <f t="shared" si="2"/>
        <v>0.22222222222222224</v>
      </c>
      <c r="M14" s="4">
        <f t="shared" si="56"/>
        <v>0.21175224986765484</v>
      </c>
      <c r="N14" s="386">
        <f t="shared" si="3"/>
        <v>0.94450000000000001</v>
      </c>
      <c r="O14" s="386">
        <f t="shared" si="4"/>
        <v>5.5500000000000028E-2</v>
      </c>
      <c r="P14" s="4">
        <f t="shared" si="5"/>
        <v>0</v>
      </c>
      <c r="Q14" s="4">
        <f t="shared" si="6"/>
        <v>0.21175224986765484</v>
      </c>
      <c r="R14" s="386">
        <f t="shared" si="7"/>
        <v>5.9190302888550679E-4</v>
      </c>
      <c r="S14" s="386">
        <f t="shared" si="45"/>
        <v>0</v>
      </c>
      <c r="T14" s="386">
        <f t="shared" si="46"/>
        <v>5.9190302888550679E-4</v>
      </c>
      <c r="U14" s="4">
        <f t="shared" si="8"/>
        <v>4.8481439474617194E-2</v>
      </c>
      <c r="V14" s="386">
        <f t="shared" si="9"/>
        <v>6.3462149285336205E-5</v>
      </c>
      <c r="W14" s="386">
        <f t="shared" si="47"/>
        <v>6.3462149285336205E-5</v>
      </c>
      <c r="X14" s="4">
        <f t="shared" si="10"/>
        <v>0</v>
      </c>
      <c r="Y14" s="386">
        <f t="shared" si="11"/>
        <v>0</v>
      </c>
      <c r="Z14" s="603">
        <f t="shared" si="48"/>
        <v>0</v>
      </c>
      <c r="AA14" s="386">
        <f t="shared" si="12"/>
        <v>0.20579224954679651</v>
      </c>
      <c r="AB14" s="386">
        <f t="shared" si="13"/>
        <v>4.2350449973530972E-4</v>
      </c>
      <c r="AC14" s="386">
        <f t="shared" si="14"/>
        <v>4.8226055900137147E-3</v>
      </c>
      <c r="AD14" s="386">
        <f t="shared" si="15"/>
        <v>0</v>
      </c>
      <c r="AE14" s="386">
        <f t="shared" si="16"/>
        <v>5.2466255866833221E-3</v>
      </c>
      <c r="AF14" s="386">
        <f t="shared" si="17"/>
        <v>4.9885522453741643E-2</v>
      </c>
      <c r="AG14" s="386">
        <f t="shared" si="18"/>
        <v>2.4885653504827618E-5</v>
      </c>
      <c r="AH14" s="386">
        <f t="shared" si="19"/>
        <v>4.81E-3</v>
      </c>
      <c r="AI14" s="386">
        <f t="shared" si="20"/>
        <v>4.8349135677410631E-3</v>
      </c>
      <c r="AJ14" s="386">
        <f t="shared" si="21"/>
        <v>4.9885522453741657E-2</v>
      </c>
      <c r="AK14" s="386">
        <f t="shared" si="22"/>
        <v>2.4885653504827631E-5</v>
      </c>
      <c r="AL14" s="386">
        <f t="shared" si="23"/>
        <v>0.10612653575380041</v>
      </c>
      <c r="AM14" s="386">
        <f t="shared" si="24"/>
        <v>0</v>
      </c>
      <c r="AN14" s="386">
        <f t="shared" si="25"/>
        <v>0.10615203427306177</v>
      </c>
      <c r="AO14" s="386">
        <f t="shared" si="49"/>
        <v>0.20579224954679651</v>
      </c>
      <c r="AP14" s="386">
        <f t="shared" si="26"/>
        <v>4.2350449973530972E-4</v>
      </c>
      <c r="AQ14" s="386">
        <f t="shared" si="27"/>
        <v>5.3444444444444442E-3</v>
      </c>
      <c r="AR14" s="386">
        <f t="shared" si="28"/>
        <v>5.7685157184080953E-3</v>
      </c>
      <c r="AS14" s="386">
        <f t="shared" si="29"/>
        <v>0</v>
      </c>
      <c r="AT14" s="386">
        <f t="shared" si="30"/>
        <v>0</v>
      </c>
      <c r="AU14" s="386">
        <f t="shared" si="31"/>
        <v>2.3309815000000001E-2</v>
      </c>
      <c r="AV14" s="386">
        <f t="shared" si="32"/>
        <v>7.4656960514482877E-5</v>
      </c>
      <c r="AW14" s="386">
        <f t="shared" si="33"/>
        <v>6.5920000000000006E-2</v>
      </c>
      <c r="AX14" s="386">
        <f t="shared" si="34"/>
        <v>3.6000000000000004E-2</v>
      </c>
      <c r="AY14" s="386">
        <f t="shared" si="35"/>
        <v>0.40226399999999995</v>
      </c>
      <c r="AZ14" s="386">
        <f t="shared" si="36"/>
        <v>0.30415082926829268</v>
      </c>
      <c r="BA14" s="386">
        <f t="shared" si="57"/>
        <v>0.43826399999999999</v>
      </c>
      <c r="BB14" s="386">
        <f t="shared" si="58"/>
        <v>0.65022592628457954</v>
      </c>
      <c r="BC14">
        <f t="shared" si="37"/>
        <v>2.4000000000000004</v>
      </c>
      <c r="BD14" s="604">
        <f t="shared" si="51"/>
        <v>0.78682696233042415</v>
      </c>
      <c r="BE14" s="614">
        <f t="shared" si="38"/>
        <v>7.0491177060375829</v>
      </c>
      <c r="BF14" s="614">
        <f t="shared" si="39"/>
        <v>0.78072377076766963</v>
      </c>
      <c r="BG14" s="9"/>
      <c r="BH14" s="4">
        <f t="shared" si="52"/>
        <v>78.682696233042421</v>
      </c>
      <c r="BI14" s="386">
        <f t="shared" si="53"/>
        <v>5.9190302888550679E-4</v>
      </c>
      <c r="BJ14" s="386">
        <f t="shared" si="54"/>
        <v>0.14531190414589426</v>
      </c>
      <c r="BK14" s="386">
        <f t="shared" si="40"/>
        <v>0.12153651217306177</v>
      </c>
      <c r="BL14" s="386">
        <f t="shared" si="41"/>
        <v>1.3460754668408096E-2</v>
      </c>
      <c r="BM14" s="386">
        <f t="shared" si="55"/>
        <v>7.4656960514482877E-5</v>
      </c>
      <c r="BQ14" t="s">
        <v>142</v>
      </c>
      <c r="BR14" s="18">
        <v>45</v>
      </c>
      <c r="BS14" s="18">
        <v>45</v>
      </c>
      <c r="BT14" s="18">
        <v>45</v>
      </c>
      <c r="BU14" s="19">
        <f>500000*(12-Vdd)*BT14/1000000000+((500000*BT9/1000000000*Vdd)*2.5/(2*4))</f>
        <v>0.18328125000000001</v>
      </c>
      <c r="BV14">
        <f t="shared" si="42"/>
        <v>14.662500000000001</v>
      </c>
      <c r="BW14">
        <f t="shared" si="42"/>
        <v>18.328125</v>
      </c>
      <c r="BX14">
        <f t="shared" si="42"/>
        <v>21.993750000000002</v>
      </c>
      <c r="BY14">
        <f t="shared" si="42"/>
        <v>25.659375000000001</v>
      </c>
      <c r="BZ14">
        <f t="shared" si="42"/>
        <v>29.325000000000003</v>
      </c>
      <c r="CA14">
        <f t="shared" si="42"/>
        <v>32.990625000000001</v>
      </c>
      <c r="CB14">
        <f t="shared" si="42"/>
        <v>3.6656250000000004</v>
      </c>
      <c r="CC14">
        <f t="shared" si="42"/>
        <v>5.4984375000000005</v>
      </c>
      <c r="CD14">
        <f t="shared" si="42"/>
        <v>7.3312500000000007</v>
      </c>
      <c r="CE14">
        <f t="shared" si="42"/>
        <v>9.1640625</v>
      </c>
    </row>
    <row r="15" spans="1:83" x14ac:dyDescent="0.2">
      <c r="A15" s="23" t="s">
        <v>87</v>
      </c>
      <c r="B15" s="5">
        <f>Ta</f>
        <v>25</v>
      </c>
      <c r="C15" s="482" t="s">
        <v>673</v>
      </c>
      <c r="D15" s="21" t="s">
        <v>100</v>
      </c>
      <c r="G15">
        <v>6</v>
      </c>
      <c r="H15" s="610">
        <f t="shared" si="0"/>
        <v>12</v>
      </c>
      <c r="I15" s="4" t="str">
        <f t="shared" si="1"/>
        <v>BUCK-BST</v>
      </c>
      <c r="J15">
        <f t="shared" si="43"/>
        <v>3</v>
      </c>
      <c r="K15" s="386">
        <f t="shared" si="44"/>
        <v>0.24</v>
      </c>
      <c r="L15" s="4">
        <f t="shared" si="2"/>
        <v>0.26666666666666666</v>
      </c>
      <c r="M15" s="4">
        <f t="shared" si="56"/>
        <v>0.25410269984118578</v>
      </c>
      <c r="N15" s="386">
        <f t="shared" si="3"/>
        <v>0.94450000000000001</v>
      </c>
      <c r="O15" s="386">
        <f t="shared" si="4"/>
        <v>5.5500000000000028E-2</v>
      </c>
      <c r="P15" s="4">
        <f t="shared" si="5"/>
        <v>0</v>
      </c>
      <c r="Q15" s="4">
        <f t="shared" si="6"/>
        <v>0.25410269984118578</v>
      </c>
      <c r="R15" s="386">
        <f t="shared" si="7"/>
        <v>8.5235812046516226E-4</v>
      </c>
      <c r="S15" s="386">
        <f t="shared" si="45"/>
        <v>0</v>
      </c>
      <c r="T15" s="386">
        <f t="shared" si="46"/>
        <v>8.5235812046516226E-4</v>
      </c>
      <c r="U15" s="4">
        <f t="shared" si="8"/>
        <v>5.8177727369540626E-2</v>
      </c>
      <c r="V15" s="386">
        <f t="shared" si="9"/>
        <v>9.1385494970884097E-5</v>
      </c>
      <c r="W15" s="386">
        <f t="shared" si="47"/>
        <v>9.1385494970884097E-5</v>
      </c>
      <c r="X15" s="4">
        <f t="shared" si="10"/>
        <v>0</v>
      </c>
      <c r="Y15" s="386">
        <f t="shared" si="11"/>
        <v>0</v>
      </c>
      <c r="Z15" s="603">
        <f t="shared" si="48"/>
        <v>0</v>
      </c>
      <c r="AA15" s="386">
        <f t="shared" si="12"/>
        <v>0.24695069945615578</v>
      </c>
      <c r="AB15" s="386">
        <f t="shared" si="13"/>
        <v>6.0984647961884577E-4</v>
      </c>
      <c r="AC15" s="386">
        <f t="shared" si="14"/>
        <v>5.7871267080164572E-3</v>
      </c>
      <c r="AD15" s="386">
        <f t="shared" si="15"/>
        <v>0</v>
      </c>
      <c r="AE15" s="386">
        <f t="shared" si="16"/>
        <v>6.3978783875132074E-3</v>
      </c>
      <c r="AF15" s="386">
        <f t="shared" si="17"/>
        <v>5.9862626944489968E-2</v>
      </c>
      <c r="AG15" s="386">
        <f t="shared" si="18"/>
        <v>3.5835341046951766E-5</v>
      </c>
      <c r="AH15" s="386">
        <f t="shared" si="19"/>
        <v>5.7719999999999994E-3</v>
      </c>
      <c r="AI15" s="386">
        <f t="shared" si="20"/>
        <v>5.8078836266247519E-3</v>
      </c>
      <c r="AJ15" s="386">
        <f t="shared" si="21"/>
        <v>5.9862626944489981E-2</v>
      </c>
      <c r="AK15" s="386">
        <f t="shared" si="22"/>
        <v>3.5835341046951779E-5</v>
      </c>
      <c r="AL15" s="386">
        <f t="shared" si="23"/>
        <v>0.10612653575380041</v>
      </c>
      <c r="AM15" s="386">
        <f t="shared" si="24"/>
        <v>0</v>
      </c>
      <c r="AN15" s="386">
        <f t="shared" si="25"/>
        <v>0.10616325371481297</v>
      </c>
      <c r="AO15" s="386">
        <f t="shared" si="49"/>
        <v>0.24695069945615578</v>
      </c>
      <c r="AP15" s="386">
        <f t="shared" si="26"/>
        <v>6.0984647961884577E-4</v>
      </c>
      <c r="AQ15" s="386">
        <f t="shared" si="27"/>
        <v>6.4133333333333325E-3</v>
      </c>
      <c r="AR15" s="386">
        <f t="shared" si="28"/>
        <v>7.0241736238253376E-3</v>
      </c>
      <c r="AS15" s="386">
        <f t="shared" si="29"/>
        <v>0</v>
      </c>
      <c r="AT15" s="386">
        <f t="shared" si="30"/>
        <v>0</v>
      </c>
      <c r="AU15" s="386">
        <f t="shared" si="31"/>
        <v>2.35317336E-2</v>
      </c>
      <c r="AV15" s="386">
        <f t="shared" si="32"/>
        <v>1.0750602314085532E-4</v>
      </c>
      <c r="AW15" s="386">
        <f t="shared" si="33"/>
        <v>6.5920000000000006E-2</v>
      </c>
      <c r="AX15" s="386">
        <f t="shared" si="34"/>
        <v>3.6000000000000004E-2</v>
      </c>
      <c r="AY15" s="386">
        <f t="shared" si="35"/>
        <v>0.40226399999999995</v>
      </c>
      <c r="AZ15" s="386">
        <f t="shared" si="36"/>
        <v>0.30415082926829268</v>
      </c>
      <c r="BA15" s="386">
        <f t="shared" si="57"/>
        <v>0.43826399999999999</v>
      </c>
      <c r="BB15" s="386">
        <f t="shared" si="58"/>
        <v>0.65416017259135306</v>
      </c>
      <c r="BC15">
        <f t="shared" si="37"/>
        <v>2.88</v>
      </c>
      <c r="BD15" s="604">
        <f t="shared" si="51"/>
        <v>0.81490364311595342</v>
      </c>
      <c r="BE15" s="614">
        <f t="shared" si="38"/>
        <v>7.0582634776671522</v>
      </c>
      <c r="BF15" s="614">
        <f t="shared" si="39"/>
        <v>0.85779945128586965</v>
      </c>
      <c r="BG15" s="9"/>
      <c r="BH15" s="4">
        <f t="shared" si="52"/>
        <v>81.490364311595343</v>
      </c>
      <c r="BI15" s="386">
        <f t="shared" si="53"/>
        <v>8.5235812046516226E-4</v>
      </c>
      <c r="BJ15" s="386">
        <f t="shared" si="54"/>
        <v>0.14892492295277626</v>
      </c>
      <c r="BK15" s="386">
        <f t="shared" si="40"/>
        <v>0.12169419789081297</v>
      </c>
      <c r="BL15" s="386">
        <f t="shared" si="41"/>
        <v>1.4789645711825339E-2</v>
      </c>
      <c r="BM15" s="386">
        <f t="shared" si="55"/>
        <v>1.0750602314085532E-4</v>
      </c>
      <c r="BQ15" t="s">
        <v>140</v>
      </c>
      <c r="BR15" s="18">
        <v>20</v>
      </c>
      <c r="BS15" s="18">
        <v>20</v>
      </c>
      <c r="BT15" s="18">
        <v>20</v>
      </c>
      <c r="BU15" s="19">
        <f>1000000*(5-Vdd)*BT15/1000000000+((1000000*BT9/1000000000*Vdd)*2.5/(2*4))</f>
        <v>0.1140625</v>
      </c>
      <c r="BV15">
        <f t="shared" si="42"/>
        <v>9.125</v>
      </c>
      <c r="BW15">
        <f t="shared" si="42"/>
        <v>11.40625</v>
      </c>
      <c r="BX15">
        <f t="shared" si="42"/>
        <v>13.6875</v>
      </c>
      <c r="BY15">
        <f t="shared" si="42"/>
        <v>15.96875</v>
      </c>
      <c r="BZ15">
        <f t="shared" si="42"/>
        <v>18.25</v>
      </c>
      <c r="CA15">
        <f t="shared" si="42"/>
        <v>20.53125</v>
      </c>
      <c r="CB15">
        <f t="shared" si="42"/>
        <v>2.28125</v>
      </c>
      <c r="CC15">
        <f t="shared" si="42"/>
        <v>3.421875</v>
      </c>
      <c r="CD15">
        <f t="shared" si="42"/>
        <v>4.5625</v>
      </c>
      <c r="CE15">
        <f t="shared" si="42"/>
        <v>5.703125</v>
      </c>
    </row>
    <row r="16" spans="1:83" x14ac:dyDescent="0.2">
      <c r="A16" s="490" t="s">
        <v>684</v>
      </c>
      <c r="B16" s="5">
        <f>Vdd</f>
        <v>7.5</v>
      </c>
      <c r="C16" s="482" t="s">
        <v>0</v>
      </c>
      <c r="D16" s="482" t="s">
        <v>683</v>
      </c>
      <c r="G16">
        <v>7</v>
      </c>
      <c r="H16" s="610">
        <f t="shared" si="0"/>
        <v>12</v>
      </c>
      <c r="I16" s="4" t="str">
        <f t="shared" si="1"/>
        <v>BUCK-BST</v>
      </c>
      <c r="J16">
        <f t="shared" si="43"/>
        <v>3</v>
      </c>
      <c r="K16" s="386">
        <f t="shared" si="44"/>
        <v>0.28000000000000003</v>
      </c>
      <c r="L16" s="4">
        <f t="shared" si="2"/>
        <v>0.31111111111111112</v>
      </c>
      <c r="M16" s="4">
        <f t="shared" si="56"/>
        <v>0.29645314981471682</v>
      </c>
      <c r="N16" s="386">
        <f t="shared" si="3"/>
        <v>0.94450000000000001</v>
      </c>
      <c r="O16" s="386">
        <f t="shared" si="4"/>
        <v>5.5500000000000028E-2</v>
      </c>
      <c r="P16" s="4">
        <f t="shared" si="5"/>
        <v>0</v>
      </c>
      <c r="Q16" s="4">
        <f t="shared" si="6"/>
        <v>0.29645314981471682</v>
      </c>
      <c r="R16" s="386">
        <f t="shared" si="7"/>
        <v>1.1601826763767615E-3</v>
      </c>
      <c r="S16" s="386">
        <f t="shared" si="45"/>
        <v>0</v>
      </c>
      <c r="T16" s="386">
        <f t="shared" si="46"/>
        <v>1.1601826763767615E-3</v>
      </c>
      <c r="U16" s="4">
        <f t="shared" si="8"/>
        <v>6.7874015264464072E-2</v>
      </c>
      <c r="V16" s="386">
        <f t="shared" si="9"/>
        <v>1.2438581259925895E-4</v>
      </c>
      <c r="W16" s="386">
        <f t="shared" si="47"/>
        <v>1.2438581259925895E-4</v>
      </c>
      <c r="X16" s="4">
        <f t="shared" si="10"/>
        <v>0</v>
      </c>
      <c r="Y16" s="386">
        <f t="shared" si="11"/>
        <v>0</v>
      </c>
      <c r="Z16" s="603">
        <f t="shared" si="48"/>
        <v>0</v>
      </c>
      <c r="AA16" s="386">
        <f t="shared" si="12"/>
        <v>0.28810914936551518</v>
      </c>
      <c r="AB16" s="386">
        <f t="shared" si="13"/>
        <v>8.3006881948120739E-4</v>
      </c>
      <c r="AC16" s="386">
        <f t="shared" si="14"/>
        <v>6.7516478260192013E-3</v>
      </c>
      <c r="AD16" s="386">
        <f t="shared" si="15"/>
        <v>0</v>
      </c>
      <c r="AE16" s="386">
        <f t="shared" si="16"/>
        <v>7.5831769831341926E-3</v>
      </c>
      <c r="AF16" s="386">
        <f t="shared" si="17"/>
        <v>6.983973143523832E-2</v>
      </c>
      <c r="AG16" s="386">
        <f t="shared" si="18"/>
        <v>4.8775880869462156E-5</v>
      </c>
      <c r="AH16" s="386">
        <f t="shared" si="19"/>
        <v>6.7340000000000004E-3</v>
      </c>
      <c r="AI16" s="386">
        <f t="shared" si="20"/>
        <v>6.7828526356594728E-3</v>
      </c>
      <c r="AJ16" s="386">
        <f t="shared" si="21"/>
        <v>6.9839731435238334E-2</v>
      </c>
      <c r="AK16" s="386">
        <f t="shared" si="22"/>
        <v>4.877588086946217E-5</v>
      </c>
      <c r="AL16" s="386">
        <f t="shared" si="23"/>
        <v>0.10612653575380041</v>
      </c>
      <c r="AM16" s="386">
        <f t="shared" si="24"/>
        <v>0</v>
      </c>
      <c r="AN16" s="386">
        <f t="shared" si="25"/>
        <v>0.10617651312855554</v>
      </c>
      <c r="AO16" s="386">
        <f t="shared" si="49"/>
        <v>0.28810914936551518</v>
      </c>
      <c r="AP16" s="386">
        <f t="shared" si="26"/>
        <v>8.3006881948120739E-4</v>
      </c>
      <c r="AQ16" s="386">
        <f t="shared" si="27"/>
        <v>7.4822222222222217E-3</v>
      </c>
      <c r="AR16" s="386">
        <f t="shared" si="28"/>
        <v>8.3138920975063205E-3</v>
      </c>
      <c r="AS16" s="386">
        <f t="shared" si="29"/>
        <v>0</v>
      </c>
      <c r="AT16" s="386">
        <f t="shared" si="30"/>
        <v>0</v>
      </c>
      <c r="AU16" s="386">
        <f t="shared" si="31"/>
        <v>2.3753637399999999E-2</v>
      </c>
      <c r="AV16" s="386">
        <f t="shared" si="32"/>
        <v>1.4632764260838648E-4</v>
      </c>
      <c r="AW16" s="386">
        <f t="shared" si="33"/>
        <v>6.5920000000000006E-2</v>
      </c>
      <c r="AX16" s="386">
        <f t="shared" si="34"/>
        <v>3.6000000000000004E-2</v>
      </c>
      <c r="AY16" s="386">
        <f t="shared" si="35"/>
        <v>0.40226399999999995</v>
      </c>
      <c r="AZ16" s="386">
        <f t="shared" si="36"/>
        <v>0.30415082926829268</v>
      </c>
      <c r="BA16" s="386">
        <f t="shared" si="57"/>
        <v>0.43826399999999999</v>
      </c>
      <c r="BB16" s="386">
        <f t="shared" si="58"/>
        <v>0.65822496837643985</v>
      </c>
      <c r="BC16">
        <f t="shared" si="37"/>
        <v>3.3600000000000003</v>
      </c>
      <c r="BD16" s="604">
        <f t="shared" si="51"/>
        <v>0.83619011539754695</v>
      </c>
      <c r="BE16" s="614">
        <f t="shared" si="38"/>
        <v>7.0675270011282212</v>
      </c>
      <c r="BF16" s="614">
        <f t="shared" si="39"/>
        <v>0.93685036149136658</v>
      </c>
      <c r="BG16" s="9"/>
      <c r="BH16" s="4">
        <f t="shared" si="52"/>
        <v>83.619011539754695</v>
      </c>
      <c r="BI16" s="386">
        <f t="shared" si="53"/>
        <v>1.1601826763767615E-3</v>
      </c>
      <c r="BJ16" s="386">
        <f t="shared" si="54"/>
        <v>0.15261007224485554</v>
      </c>
      <c r="BK16" s="386">
        <f t="shared" si="40"/>
        <v>0.12185391381255554</v>
      </c>
      <c r="BL16" s="386">
        <f t="shared" si="41"/>
        <v>1.6152592439506321E-2</v>
      </c>
      <c r="BM16" s="386">
        <f t="shared" si="55"/>
        <v>1.4632764260838648E-4</v>
      </c>
      <c r="BQ16" t="s">
        <v>141</v>
      </c>
      <c r="BR16" s="18">
        <v>25</v>
      </c>
      <c r="BS16" s="18">
        <v>25</v>
      </c>
      <c r="BT16" s="18">
        <v>25</v>
      </c>
      <c r="BU16" s="19">
        <f>1000000*(12-Vdd)*BT16/1000000000+((1000000*BT9/1000000000*Vdd)*2.5/(2*4))</f>
        <v>0.27656249999999999</v>
      </c>
      <c r="BV16">
        <f t="shared" si="42"/>
        <v>22.125</v>
      </c>
      <c r="BW16">
        <f t="shared" si="42"/>
        <v>27.65625</v>
      </c>
      <c r="BX16">
        <f t="shared" si="42"/>
        <v>33.1875</v>
      </c>
      <c r="BY16">
        <f t="shared" si="42"/>
        <v>38.71875</v>
      </c>
      <c r="BZ16">
        <f t="shared" si="42"/>
        <v>44.25</v>
      </c>
      <c r="CA16">
        <f t="shared" si="42"/>
        <v>49.78125</v>
      </c>
      <c r="CB16">
        <f t="shared" si="42"/>
        <v>5.53125</v>
      </c>
      <c r="CC16">
        <f t="shared" si="42"/>
        <v>8.296875</v>
      </c>
      <c r="CD16">
        <f t="shared" si="42"/>
        <v>11.0625</v>
      </c>
      <c r="CE16">
        <f t="shared" si="42"/>
        <v>13.828125</v>
      </c>
    </row>
    <row r="17" spans="1:83" x14ac:dyDescent="0.2">
      <c r="A17" s="24" t="s">
        <v>62</v>
      </c>
      <c r="B17" s="16" t="s">
        <v>115</v>
      </c>
      <c r="C17" s="24" t="s">
        <v>80</v>
      </c>
      <c r="D17" s="17" t="s">
        <v>111</v>
      </c>
      <c r="G17">
        <v>8</v>
      </c>
      <c r="H17" s="610">
        <f t="shared" si="0"/>
        <v>12</v>
      </c>
      <c r="I17" s="4" t="str">
        <f t="shared" si="1"/>
        <v>BUCK-BST</v>
      </c>
      <c r="J17">
        <f t="shared" si="43"/>
        <v>3</v>
      </c>
      <c r="K17" s="386">
        <f t="shared" si="44"/>
        <v>0.32</v>
      </c>
      <c r="L17" s="4">
        <f t="shared" si="2"/>
        <v>0.35555555555555551</v>
      </c>
      <c r="M17" s="4">
        <f t="shared" si="56"/>
        <v>0.33880359978824776</v>
      </c>
      <c r="N17" s="386">
        <f t="shared" si="3"/>
        <v>0.94450000000000001</v>
      </c>
      <c r="O17" s="386">
        <f t="shared" si="4"/>
        <v>5.5500000000000028E-2</v>
      </c>
      <c r="P17" s="4">
        <f t="shared" si="5"/>
        <v>0</v>
      </c>
      <c r="Q17" s="4">
        <f t="shared" si="6"/>
        <v>0.33880359978824776</v>
      </c>
      <c r="R17" s="386">
        <f t="shared" si="7"/>
        <v>1.5153836945797008E-3</v>
      </c>
      <c r="S17" s="386">
        <f t="shared" si="45"/>
        <v>0</v>
      </c>
      <c r="T17" s="386">
        <f t="shared" si="46"/>
        <v>1.5153836945797008E-3</v>
      </c>
      <c r="U17" s="4">
        <f t="shared" si="8"/>
        <v>7.7570303159387496E-2</v>
      </c>
      <c r="V17" s="386">
        <f t="shared" si="9"/>
        <v>1.624631021704606E-4</v>
      </c>
      <c r="W17" s="386">
        <f t="shared" si="47"/>
        <v>1.624631021704606E-4</v>
      </c>
      <c r="X17" s="4">
        <f t="shared" si="10"/>
        <v>0</v>
      </c>
      <c r="Y17" s="386">
        <f t="shared" si="11"/>
        <v>0</v>
      </c>
      <c r="Z17" s="603">
        <f t="shared" si="48"/>
        <v>0</v>
      </c>
      <c r="AA17" s="386">
        <f t="shared" si="12"/>
        <v>0.32926759927487442</v>
      </c>
      <c r="AB17" s="386">
        <f t="shared" si="13"/>
        <v>1.0841715193223929E-3</v>
      </c>
      <c r="AC17" s="386">
        <f t="shared" si="14"/>
        <v>7.7161689440219429E-3</v>
      </c>
      <c r="AD17" s="386">
        <f t="shared" si="15"/>
        <v>0</v>
      </c>
      <c r="AE17" s="386">
        <f t="shared" si="16"/>
        <v>8.802554550458622E-3</v>
      </c>
      <c r="AF17" s="386">
        <f t="shared" si="17"/>
        <v>7.9816835925986637E-2</v>
      </c>
      <c r="AG17" s="386">
        <f t="shared" si="18"/>
        <v>6.3707272972358711E-5</v>
      </c>
      <c r="AH17" s="386">
        <f t="shared" si="19"/>
        <v>7.6959999999999997E-3</v>
      </c>
      <c r="AI17" s="386">
        <f t="shared" si="20"/>
        <v>7.7598219638186456E-3</v>
      </c>
      <c r="AJ17" s="386">
        <f t="shared" si="21"/>
        <v>7.9816835925986651E-2</v>
      </c>
      <c r="AK17" s="386">
        <f t="shared" si="22"/>
        <v>6.3707272972358738E-5</v>
      </c>
      <c r="AL17" s="386">
        <f t="shared" si="23"/>
        <v>0.10612653575380041</v>
      </c>
      <c r="AM17" s="386">
        <f t="shared" si="24"/>
        <v>0</v>
      </c>
      <c r="AN17" s="386">
        <f t="shared" si="25"/>
        <v>0.10619181255103596</v>
      </c>
      <c r="AO17" s="386">
        <f t="shared" si="49"/>
        <v>0.32926759927487442</v>
      </c>
      <c r="AP17" s="386">
        <f t="shared" si="26"/>
        <v>1.0841715193223929E-3</v>
      </c>
      <c r="AQ17" s="386">
        <f t="shared" si="27"/>
        <v>8.55111111111111E-3</v>
      </c>
      <c r="AR17" s="386">
        <f t="shared" si="28"/>
        <v>9.6377067815448612E-3</v>
      </c>
      <c r="AS17" s="386">
        <f t="shared" si="29"/>
        <v>0</v>
      </c>
      <c r="AT17" s="386">
        <f t="shared" si="30"/>
        <v>0</v>
      </c>
      <c r="AU17" s="386">
        <f t="shared" si="31"/>
        <v>2.3975526400000002E-2</v>
      </c>
      <c r="AV17" s="386">
        <f t="shared" si="32"/>
        <v>1.9112181891707617E-4</v>
      </c>
      <c r="AW17" s="386">
        <f t="shared" si="33"/>
        <v>6.5920000000000006E-2</v>
      </c>
      <c r="AX17" s="386">
        <f t="shared" si="34"/>
        <v>3.6000000000000004E-2</v>
      </c>
      <c r="AY17" s="386">
        <f t="shared" si="35"/>
        <v>0.40226399999999995</v>
      </c>
      <c r="AZ17" s="386">
        <f t="shared" si="36"/>
        <v>0.30415082926829268</v>
      </c>
      <c r="BA17" s="386">
        <f t="shared" si="57"/>
        <v>0.43826399999999999</v>
      </c>
      <c r="BB17" s="386">
        <f t="shared" si="58"/>
        <v>0.66242039086252535</v>
      </c>
      <c r="BC17">
        <f t="shared" si="37"/>
        <v>3.84</v>
      </c>
      <c r="BD17" s="604">
        <f t="shared" si="51"/>
        <v>0.85287460224574319</v>
      </c>
      <c r="BE17" s="614">
        <f t="shared" si="38"/>
        <v>7.0769082785520858</v>
      </c>
      <c r="BF17" s="614">
        <f t="shared" si="39"/>
        <v>1.017878568625602</v>
      </c>
      <c r="BG17" s="9"/>
      <c r="BH17" s="4">
        <f t="shared" si="52"/>
        <v>85.287460224574318</v>
      </c>
      <c r="BI17" s="386">
        <f t="shared" si="53"/>
        <v>1.5153836945797008E-3</v>
      </c>
      <c r="BJ17" s="386">
        <f t="shared" si="54"/>
        <v>0.1563674222468581</v>
      </c>
      <c r="BK17" s="386">
        <f t="shared" si="40"/>
        <v>0.12201565997503597</v>
      </c>
      <c r="BL17" s="386">
        <f t="shared" si="41"/>
        <v>1.7549630493544861E-2</v>
      </c>
      <c r="BM17" s="386">
        <f t="shared" si="55"/>
        <v>1.9112181891707617E-4</v>
      </c>
      <c r="BQ17" t="s">
        <v>144</v>
      </c>
      <c r="BR17" s="18">
        <v>50</v>
      </c>
      <c r="BS17" s="18">
        <v>50</v>
      </c>
      <c r="BT17" s="18">
        <v>50</v>
      </c>
      <c r="BU17" s="19">
        <f>500000*(18-Vdd)*BT17/1000000000+((500000*BT15/1000000000*Vdd)*2.5/(2*4))</f>
        <v>0.28593750000000001</v>
      </c>
      <c r="BV17">
        <f t="shared" si="42"/>
        <v>22.875</v>
      </c>
      <c r="BW17">
        <f t="shared" si="42"/>
        <v>28.59375</v>
      </c>
      <c r="BX17">
        <f t="shared" si="42"/>
        <v>34.3125</v>
      </c>
      <c r="BY17">
        <f t="shared" si="42"/>
        <v>40.03125</v>
      </c>
      <c r="BZ17">
        <f t="shared" si="42"/>
        <v>45.75</v>
      </c>
      <c r="CA17">
        <f t="shared" si="42"/>
        <v>51.46875</v>
      </c>
      <c r="CB17">
        <f t="shared" si="42"/>
        <v>5.71875</v>
      </c>
      <c r="CC17">
        <f t="shared" si="42"/>
        <v>8.578125</v>
      </c>
      <c r="CD17">
        <f t="shared" si="42"/>
        <v>11.4375</v>
      </c>
      <c r="CE17">
        <f t="shared" si="42"/>
        <v>14.296875</v>
      </c>
    </row>
    <row r="18" spans="1:83" x14ac:dyDescent="0.2">
      <c r="A18" s="35" t="s">
        <v>60</v>
      </c>
      <c r="B18" s="38">
        <f>Lf*1000000</f>
        <v>4.7</v>
      </c>
      <c r="C18" s="483" t="s">
        <v>11</v>
      </c>
      <c r="D18" s="482" t="s">
        <v>676</v>
      </c>
      <c r="G18">
        <v>9</v>
      </c>
      <c r="H18" s="610">
        <f t="shared" si="0"/>
        <v>12</v>
      </c>
      <c r="I18" s="4" t="str">
        <f t="shared" si="1"/>
        <v>BUCK-BST</v>
      </c>
      <c r="J18">
        <f t="shared" si="43"/>
        <v>3</v>
      </c>
      <c r="K18" s="386">
        <f t="shared" si="44"/>
        <v>0.36</v>
      </c>
      <c r="L18" s="4">
        <f t="shared" si="2"/>
        <v>0.4</v>
      </c>
      <c r="M18" s="4">
        <f t="shared" si="56"/>
        <v>0.38115404976177869</v>
      </c>
      <c r="N18" s="386">
        <f t="shared" si="3"/>
        <v>0.94450000000000001</v>
      </c>
      <c r="O18" s="386">
        <f t="shared" si="4"/>
        <v>5.5500000000000028E-2</v>
      </c>
      <c r="P18" s="4">
        <f t="shared" si="5"/>
        <v>0</v>
      </c>
      <c r="Q18" s="4">
        <f t="shared" si="6"/>
        <v>0.38115404976177869</v>
      </c>
      <c r="R18" s="386">
        <f t="shared" si="7"/>
        <v>1.9179692507131797E-3</v>
      </c>
      <c r="S18" s="386">
        <f t="shared" si="45"/>
        <v>0</v>
      </c>
      <c r="T18" s="386">
        <f t="shared" si="46"/>
        <v>1.9179692507131797E-3</v>
      </c>
      <c r="U18" s="4">
        <f t="shared" si="8"/>
        <v>8.7266591054310935E-2</v>
      </c>
      <c r="V18" s="386">
        <f t="shared" si="9"/>
        <v>2.0561736368448921E-4</v>
      </c>
      <c r="W18" s="386">
        <f t="shared" si="47"/>
        <v>2.0561736368448921E-4</v>
      </c>
      <c r="X18" s="4">
        <f t="shared" si="10"/>
        <v>0</v>
      </c>
      <c r="Y18" s="386">
        <f t="shared" si="11"/>
        <v>0</v>
      </c>
      <c r="Z18" s="603">
        <f t="shared" si="48"/>
        <v>0</v>
      </c>
      <c r="AA18" s="386">
        <f t="shared" si="12"/>
        <v>0.37042604918423372</v>
      </c>
      <c r="AB18" s="386">
        <f t="shared" si="13"/>
        <v>1.3721545791424033E-3</v>
      </c>
      <c r="AC18" s="386">
        <f t="shared" si="14"/>
        <v>8.6806900620246853E-3</v>
      </c>
      <c r="AD18" s="386">
        <f t="shared" si="15"/>
        <v>0</v>
      </c>
      <c r="AE18" s="386">
        <f t="shared" si="16"/>
        <v>1.0056045881428879E-2</v>
      </c>
      <c r="AF18" s="386">
        <f t="shared" si="17"/>
        <v>8.9793940416734955E-2</v>
      </c>
      <c r="AG18" s="386">
        <f t="shared" si="18"/>
        <v>8.0629517355641471E-5</v>
      </c>
      <c r="AH18" s="386">
        <f t="shared" si="19"/>
        <v>8.657999999999999E-3</v>
      </c>
      <c r="AI18" s="386">
        <f t="shared" si="20"/>
        <v>8.7387929856369232E-3</v>
      </c>
      <c r="AJ18" s="386">
        <f t="shared" si="21"/>
        <v>8.9793940416734983E-2</v>
      </c>
      <c r="AK18" s="386">
        <f t="shared" si="22"/>
        <v>8.0629517355641526E-5</v>
      </c>
      <c r="AL18" s="386">
        <f t="shared" si="23"/>
        <v>0.10612653575380041</v>
      </c>
      <c r="AM18" s="386">
        <f t="shared" si="24"/>
        <v>0</v>
      </c>
      <c r="AN18" s="386">
        <f t="shared" si="25"/>
        <v>0.10620915202465468</v>
      </c>
      <c r="AO18" s="386">
        <f t="shared" si="49"/>
        <v>0.37042604918423372</v>
      </c>
      <c r="AP18" s="386">
        <f t="shared" si="26"/>
        <v>1.3721545791424033E-3</v>
      </c>
      <c r="AQ18" s="386">
        <f t="shared" si="27"/>
        <v>9.6200000000000001E-3</v>
      </c>
      <c r="AR18" s="386">
        <f t="shared" si="28"/>
        <v>1.0995654934420796E-2</v>
      </c>
      <c r="AS18" s="386">
        <f t="shared" si="29"/>
        <v>0</v>
      </c>
      <c r="AT18" s="386">
        <f t="shared" si="30"/>
        <v>0</v>
      </c>
      <c r="AU18" s="386">
        <f t="shared" si="31"/>
        <v>2.4197400600000002E-2</v>
      </c>
      <c r="AV18" s="386">
        <f t="shared" si="32"/>
        <v>2.4188855206692448E-4</v>
      </c>
      <c r="AW18" s="386">
        <f t="shared" si="33"/>
        <v>6.5920000000000006E-2</v>
      </c>
      <c r="AX18" s="386">
        <f t="shared" si="34"/>
        <v>3.6000000000000004E-2</v>
      </c>
      <c r="AY18" s="386">
        <f t="shared" si="35"/>
        <v>0.40226399999999995</v>
      </c>
      <c r="AZ18" s="386">
        <f t="shared" si="36"/>
        <v>0.30415082926829268</v>
      </c>
      <c r="BA18" s="386">
        <f t="shared" si="57"/>
        <v>0.43826399999999999</v>
      </c>
      <c r="BB18" s="386">
        <f t="shared" si="58"/>
        <v>0.66674652159260583</v>
      </c>
      <c r="BC18">
        <f t="shared" si="37"/>
        <v>4.32</v>
      </c>
      <c r="BD18" s="604">
        <f t="shared" si="51"/>
        <v>0.86629628782902968</v>
      </c>
      <c r="BE18" s="614">
        <f t="shared" si="38"/>
        <v>7.0864073123979718</v>
      </c>
      <c r="BF18" s="614">
        <f t="shared" si="39"/>
        <v>1.1008862336804062</v>
      </c>
      <c r="BG18" s="9"/>
      <c r="BH18" s="4">
        <f t="shared" si="52"/>
        <v>86.629628782902969</v>
      </c>
      <c r="BI18" s="386">
        <f t="shared" si="53"/>
        <v>1.9179692507131797E-3</v>
      </c>
      <c r="BJ18" s="386">
        <f t="shared" si="54"/>
        <v>0.16019704642614127</v>
      </c>
      <c r="BK18" s="386">
        <f t="shared" si="40"/>
        <v>0.12217943642065468</v>
      </c>
      <c r="BL18" s="386">
        <f t="shared" si="41"/>
        <v>1.8980797132420797E-2</v>
      </c>
      <c r="BM18" s="386">
        <f t="shared" si="55"/>
        <v>2.4188855206692448E-4</v>
      </c>
      <c r="BQ18" t="s">
        <v>145</v>
      </c>
      <c r="BS18" s="18"/>
      <c r="BT18" s="19"/>
    </row>
    <row r="19" spans="1:83" x14ac:dyDescent="0.2">
      <c r="A19" s="35" t="s">
        <v>12</v>
      </c>
      <c r="B19" s="39">
        <f>Rdcr*1000</f>
        <v>13.2</v>
      </c>
      <c r="C19" s="484" t="s">
        <v>674</v>
      </c>
      <c r="D19" s="482" t="s">
        <v>677</v>
      </c>
      <c r="G19">
        <v>10</v>
      </c>
      <c r="H19" s="610">
        <f t="shared" si="0"/>
        <v>12</v>
      </c>
      <c r="I19" s="4" t="str">
        <f t="shared" si="1"/>
        <v>BUCK-BST</v>
      </c>
      <c r="J19">
        <f t="shared" si="43"/>
        <v>3</v>
      </c>
      <c r="K19" s="386">
        <f t="shared" si="44"/>
        <v>0.4</v>
      </c>
      <c r="L19" s="4">
        <f t="shared" si="2"/>
        <v>0.44444444444444448</v>
      </c>
      <c r="M19" s="4">
        <f t="shared" si="56"/>
        <v>0.42350449973530968</v>
      </c>
      <c r="N19" s="386">
        <f t="shared" si="3"/>
        <v>0.94450000000000001</v>
      </c>
      <c r="O19" s="386">
        <f t="shared" si="4"/>
        <v>5.5500000000000028E-2</v>
      </c>
      <c r="P19" s="4">
        <f t="shared" si="5"/>
        <v>0</v>
      </c>
      <c r="Q19" s="4">
        <f t="shared" si="6"/>
        <v>0.42350449973530968</v>
      </c>
      <c r="R19" s="386">
        <f t="shared" si="7"/>
        <v>2.3679484985552764E-3</v>
      </c>
      <c r="S19" s="386">
        <f t="shared" si="45"/>
        <v>0</v>
      </c>
      <c r="T19" s="386">
        <f t="shared" si="46"/>
        <v>2.3679484985552764E-3</v>
      </c>
      <c r="U19" s="4">
        <f t="shared" si="8"/>
        <v>9.6962878949234388E-2</v>
      </c>
      <c r="V19" s="386">
        <f t="shared" si="9"/>
        <v>2.5384859714134482E-4</v>
      </c>
      <c r="W19" s="386">
        <f t="shared" si="47"/>
        <v>2.5384859714134482E-4</v>
      </c>
      <c r="X19" s="4">
        <f t="shared" si="10"/>
        <v>0</v>
      </c>
      <c r="Y19" s="386">
        <f t="shared" si="11"/>
        <v>0</v>
      </c>
      <c r="Z19" s="603">
        <f t="shared" si="48"/>
        <v>0</v>
      </c>
      <c r="AA19" s="386">
        <f t="shared" si="12"/>
        <v>0.41158449909359301</v>
      </c>
      <c r="AB19" s="386">
        <f t="shared" si="13"/>
        <v>1.6940179989412389E-3</v>
      </c>
      <c r="AC19" s="386">
        <f t="shared" si="14"/>
        <v>9.6452111800274295E-3</v>
      </c>
      <c r="AD19" s="386">
        <f t="shared" si="15"/>
        <v>0</v>
      </c>
      <c r="AE19" s="386">
        <f t="shared" si="16"/>
        <v>1.1343687386229409E-2</v>
      </c>
      <c r="AF19" s="386">
        <f t="shared" si="17"/>
        <v>9.9771044907483286E-2</v>
      </c>
      <c r="AG19" s="386">
        <f t="shared" si="18"/>
        <v>9.954261401931047E-5</v>
      </c>
      <c r="AH19" s="386">
        <f t="shared" si="19"/>
        <v>9.6200000000000001E-3</v>
      </c>
      <c r="AI19" s="386">
        <f t="shared" si="20"/>
        <v>9.7197670812166296E-3</v>
      </c>
      <c r="AJ19" s="386">
        <f t="shared" si="21"/>
        <v>9.9771044907483314E-2</v>
      </c>
      <c r="AK19" s="386">
        <f t="shared" si="22"/>
        <v>9.9542614019310525E-5</v>
      </c>
      <c r="AL19" s="386">
        <f t="shared" si="23"/>
        <v>0.10612653575380041</v>
      </c>
      <c r="AM19" s="386">
        <f t="shared" si="24"/>
        <v>0</v>
      </c>
      <c r="AN19" s="386">
        <f t="shared" si="25"/>
        <v>0.10622853159746645</v>
      </c>
      <c r="AO19" s="386">
        <f t="shared" si="49"/>
        <v>0.41158449909359301</v>
      </c>
      <c r="AP19" s="386">
        <f t="shared" si="26"/>
        <v>1.6940179989412389E-3</v>
      </c>
      <c r="AQ19" s="386">
        <f t="shared" si="27"/>
        <v>1.0688888888888888E-2</v>
      </c>
      <c r="AR19" s="386">
        <f t="shared" si="28"/>
        <v>1.238777543440636E-2</v>
      </c>
      <c r="AS19" s="386">
        <f t="shared" si="29"/>
        <v>0</v>
      </c>
      <c r="AT19" s="386">
        <f t="shared" si="30"/>
        <v>0</v>
      </c>
      <c r="AU19" s="386">
        <f t="shared" si="31"/>
        <v>2.4419260000000002E-2</v>
      </c>
      <c r="AV19" s="386">
        <f t="shared" si="32"/>
        <v>2.9862784205793151E-4</v>
      </c>
      <c r="AW19" s="386">
        <f t="shared" si="33"/>
        <v>6.5920000000000006E-2</v>
      </c>
      <c r="AX19" s="386">
        <f t="shared" si="34"/>
        <v>3.6000000000000004E-2</v>
      </c>
      <c r="AY19" s="386">
        <f t="shared" si="35"/>
        <v>0.40226399999999995</v>
      </c>
      <c r="AZ19" s="386">
        <f t="shared" si="36"/>
        <v>0.30415082926829268</v>
      </c>
      <c r="BA19" s="386">
        <f t="shared" si="57"/>
        <v>0.43826399999999999</v>
      </c>
      <c r="BB19" s="386">
        <f t="shared" si="58"/>
        <v>0.67120344643707341</v>
      </c>
      <c r="BC19">
        <f t="shared" si="37"/>
        <v>4.8000000000000007</v>
      </c>
      <c r="BD19" s="604">
        <f t="shared" si="51"/>
        <v>0.87732069315130834</v>
      </c>
      <c r="BE19" s="614">
        <f t="shared" si="38"/>
        <v>7.0960241054530542</v>
      </c>
      <c r="BF19" s="614">
        <f t="shared" si="39"/>
        <v>1.1858756115955691</v>
      </c>
      <c r="BG19" s="9"/>
      <c r="BH19" s="4">
        <f t="shared" si="52"/>
        <v>87.732069315130829</v>
      </c>
      <c r="BI19" s="386">
        <f t="shared" si="53"/>
        <v>2.3679484985552764E-3</v>
      </c>
      <c r="BJ19" s="386">
        <f t="shared" si="54"/>
        <v>0.16409902149931885</v>
      </c>
      <c r="BK19" s="386">
        <f t="shared" si="40"/>
        <v>0.12234524319746645</v>
      </c>
      <c r="BL19" s="386">
        <f t="shared" si="41"/>
        <v>2.0446131234406362E-2</v>
      </c>
      <c r="BM19" s="386">
        <f t="shared" si="55"/>
        <v>2.9862784205793151E-4</v>
      </c>
      <c r="BQ19" t="s">
        <v>146</v>
      </c>
      <c r="BS19" s="18"/>
      <c r="BT19" s="19"/>
    </row>
    <row r="20" spans="1:83" x14ac:dyDescent="0.2">
      <c r="A20" s="35" t="s">
        <v>86</v>
      </c>
      <c r="B20" s="39">
        <f>Ltc*1000000</f>
        <v>4000</v>
      </c>
      <c r="C20" s="483" t="s">
        <v>85</v>
      </c>
      <c r="D20" s="21" t="s">
        <v>101</v>
      </c>
      <c r="G20">
        <v>11</v>
      </c>
      <c r="H20" s="610">
        <f t="shared" si="0"/>
        <v>12</v>
      </c>
      <c r="I20" s="4" t="str">
        <f t="shared" si="1"/>
        <v>BUCK-BST</v>
      </c>
      <c r="J20">
        <f t="shared" si="43"/>
        <v>3</v>
      </c>
      <c r="K20" s="386">
        <f t="shared" si="44"/>
        <v>0.44</v>
      </c>
      <c r="L20" s="4">
        <f t="shared" si="2"/>
        <v>0.48888888888888887</v>
      </c>
      <c r="M20" s="4">
        <f t="shared" si="56"/>
        <v>0.46585494970884067</v>
      </c>
      <c r="N20" s="386">
        <f t="shared" si="3"/>
        <v>0.94450000000000001</v>
      </c>
      <c r="O20" s="386">
        <f t="shared" si="4"/>
        <v>5.5500000000000028E-2</v>
      </c>
      <c r="P20" s="4">
        <f t="shared" si="5"/>
        <v>0</v>
      </c>
      <c r="Q20" s="4">
        <f t="shared" si="6"/>
        <v>0.46585494970884067</v>
      </c>
      <c r="R20" s="386">
        <f t="shared" si="7"/>
        <v>2.8653316705433808E-3</v>
      </c>
      <c r="S20" s="386">
        <f t="shared" si="45"/>
        <v>0</v>
      </c>
      <c r="T20" s="386">
        <f t="shared" si="46"/>
        <v>2.8653316705433808E-3</v>
      </c>
      <c r="U20" s="4">
        <f t="shared" si="8"/>
        <v>0.10665916684415781</v>
      </c>
      <c r="V20" s="386">
        <f t="shared" si="9"/>
        <v>3.0715680254102712E-4</v>
      </c>
      <c r="W20" s="386">
        <f t="shared" si="47"/>
        <v>3.0715680254102712E-4</v>
      </c>
      <c r="X20" s="4">
        <f t="shared" si="10"/>
        <v>0</v>
      </c>
      <c r="Y20" s="386">
        <f t="shared" si="11"/>
        <v>0</v>
      </c>
      <c r="Z20" s="603">
        <f t="shared" si="48"/>
        <v>0</v>
      </c>
      <c r="AA20" s="386">
        <f t="shared" si="12"/>
        <v>0.45274294900295237</v>
      </c>
      <c r="AB20" s="386">
        <f t="shared" si="13"/>
        <v>2.0497617787188995E-3</v>
      </c>
      <c r="AC20" s="386">
        <f t="shared" si="14"/>
        <v>1.0609732298030172E-2</v>
      </c>
      <c r="AD20" s="386">
        <f t="shared" si="15"/>
        <v>0</v>
      </c>
      <c r="AE20" s="386">
        <f t="shared" si="16"/>
        <v>1.2665517096690853E-2</v>
      </c>
      <c r="AF20" s="386">
        <f t="shared" si="17"/>
        <v>0.10974814939823163</v>
      </c>
      <c r="AG20" s="386">
        <f t="shared" si="18"/>
        <v>1.2044656296336571E-4</v>
      </c>
      <c r="AH20" s="386">
        <f t="shared" si="19"/>
        <v>1.0581999999999999E-2</v>
      </c>
      <c r="AI20" s="386">
        <f t="shared" si="20"/>
        <v>1.0702745636234232E-2</v>
      </c>
      <c r="AJ20" s="386">
        <f t="shared" si="21"/>
        <v>0.10974814939823165</v>
      </c>
      <c r="AK20" s="386">
        <f t="shared" si="22"/>
        <v>1.2044656296336572E-4</v>
      </c>
      <c r="AL20" s="386">
        <f t="shared" si="23"/>
        <v>0.10612653575380041</v>
      </c>
      <c r="AM20" s="386">
        <f t="shared" si="24"/>
        <v>0</v>
      </c>
      <c r="AN20" s="386">
        <f t="shared" si="25"/>
        <v>0.10624995132318062</v>
      </c>
      <c r="AO20" s="386">
        <f t="shared" si="49"/>
        <v>0.45274294900295237</v>
      </c>
      <c r="AP20" s="386">
        <f t="shared" si="26"/>
        <v>2.0497617787188995E-3</v>
      </c>
      <c r="AQ20" s="386">
        <f t="shared" si="27"/>
        <v>1.1757777777777777E-2</v>
      </c>
      <c r="AR20" s="386">
        <f t="shared" si="28"/>
        <v>1.3814108783164939E-2</v>
      </c>
      <c r="AS20" s="386">
        <f t="shared" si="29"/>
        <v>0</v>
      </c>
      <c r="AT20" s="386">
        <f t="shared" si="30"/>
        <v>0</v>
      </c>
      <c r="AU20" s="386">
        <f t="shared" si="31"/>
        <v>2.4641104600000002E-2</v>
      </c>
      <c r="AV20" s="386">
        <f t="shared" si="32"/>
        <v>3.6133968889009711E-4</v>
      </c>
      <c r="AW20" s="386">
        <f t="shared" si="33"/>
        <v>6.5920000000000006E-2</v>
      </c>
      <c r="AX20" s="386">
        <f t="shared" si="34"/>
        <v>3.6000000000000004E-2</v>
      </c>
      <c r="AY20" s="386">
        <f t="shared" si="35"/>
        <v>0.40226399999999995</v>
      </c>
      <c r="AZ20" s="386">
        <f t="shared" si="36"/>
        <v>0.30415082926829268</v>
      </c>
      <c r="BA20" s="386">
        <f t="shared" si="57"/>
        <v>0.43826399999999999</v>
      </c>
      <c r="BB20" s="386">
        <f t="shared" si="58"/>
        <v>0.67579125560124509</v>
      </c>
      <c r="BC20">
        <f t="shared" si="37"/>
        <v>5.28</v>
      </c>
      <c r="BD20" s="604">
        <f t="shared" si="51"/>
        <v>0.88653207834212056</v>
      </c>
      <c r="BE20" s="614">
        <f t="shared" si="38"/>
        <v>7.1057586608324765</v>
      </c>
      <c r="BF20" s="614">
        <f t="shared" si="39"/>
        <v>1.2728490514675666</v>
      </c>
      <c r="BG20" s="9"/>
      <c r="BH20" s="4">
        <f t="shared" si="52"/>
        <v>88.653207834212054</v>
      </c>
      <c r="BI20" s="386">
        <f t="shared" si="53"/>
        <v>2.8653316705433808E-3</v>
      </c>
      <c r="BJ20" s="386">
        <f t="shared" si="54"/>
        <v>0.16807342743927062</v>
      </c>
      <c r="BK20" s="386">
        <f t="shared" si="40"/>
        <v>0.12251308035918063</v>
      </c>
      <c r="BL20" s="386">
        <f t="shared" si="41"/>
        <v>2.1945673301164939E-2</v>
      </c>
      <c r="BM20" s="386">
        <f t="shared" si="55"/>
        <v>3.6133968889009711E-4</v>
      </c>
      <c r="BS20" s="18"/>
      <c r="BT20" s="19"/>
    </row>
    <row r="21" spans="1:83" x14ac:dyDescent="0.2">
      <c r="A21" s="25" t="s">
        <v>159</v>
      </c>
      <c r="B21" s="39">
        <f>ThetaCa</f>
        <v>20</v>
      </c>
      <c r="C21" s="483" t="s">
        <v>241</v>
      </c>
      <c r="D21" s="26" t="s">
        <v>160</v>
      </c>
      <c r="G21">
        <v>12</v>
      </c>
      <c r="H21" s="610">
        <f t="shared" si="0"/>
        <v>12</v>
      </c>
      <c r="I21" s="4" t="str">
        <f t="shared" si="1"/>
        <v>BUCK-BST</v>
      </c>
      <c r="J21">
        <f t="shared" si="43"/>
        <v>3</v>
      </c>
      <c r="K21" s="386">
        <f t="shared" si="44"/>
        <v>0.48</v>
      </c>
      <c r="L21" s="4">
        <f t="shared" si="2"/>
        <v>0.53333333333333333</v>
      </c>
      <c r="M21" s="4">
        <f t="shared" si="56"/>
        <v>0.50820539968237155</v>
      </c>
      <c r="N21" s="386">
        <f t="shared" si="3"/>
        <v>0.94450000000000001</v>
      </c>
      <c r="O21" s="386">
        <f t="shared" si="4"/>
        <v>5.5500000000000028E-2</v>
      </c>
      <c r="P21" s="4">
        <f t="shared" si="5"/>
        <v>0</v>
      </c>
      <c r="Q21" s="4">
        <f t="shared" si="6"/>
        <v>0.50820539968237155</v>
      </c>
      <c r="R21" s="386">
        <f t="shared" si="7"/>
        <v>3.4101300783560399E-3</v>
      </c>
      <c r="S21" s="386">
        <f t="shared" si="45"/>
        <v>0</v>
      </c>
      <c r="T21" s="386">
        <f t="shared" si="46"/>
        <v>3.4101300783560399E-3</v>
      </c>
      <c r="U21" s="4">
        <f t="shared" si="8"/>
        <v>0.11635545473908125</v>
      </c>
      <c r="V21" s="386">
        <f t="shared" si="9"/>
        <v>3.6554197988353639E-4</v>
      </c>
      <c r="W21" s="386">
        <f t="shared" si="47"/>
        <v>3.6554197988353639E-4</v>
      </c>
      <c r="X21" s="4">
        <f t="shared" si="10"/>
        <v>0</v>
      </c>
      <c r="Y21" s="386">
        <f t="shared" si="11"/>
        <v>0</v>
      </c>
      <c r="Z21" s="603">
        <f t="shared" si="48"/>
        <v>0</v>
      </c>
      <c r="AA21" s="386">
        <f t="shared" si="12"/>
        <v>0.49390139891231155</v>
      </c>
      <c r="AB21" s="386">
        <f t="shared" si="13"/>
        <v>2.4393859184753831E-3</v>
      </c>
      <c r="AC21" s="386">
        <f t="shared" si="14"/>
        <v>1.1574253416032914E-2</v>
      </c>
      <c r="AD21" s="386">
        <f t="shared" si="15"/>
        <v>0</v>
      </c>
      <c r="AE21" s="386">
        <f t="shared" si="16"/>
        <v>1.4021574669886959E-2</v>
      </c>
      <c r="AF21" s="386">
        <f t="shared" si="17"/>
        <v>0.11972525388897994</v>
      </c>
      <c r="AG21" s="386">
        <f t="shared" si="18"/>
        <v>1.4334136418780706E-4</v>
      </c>
      <c r="AH21" s="386">
        <f t="shared" si="19"/>
        <v>1.1543999999999999E-2</v>
      </c>
      <c r="AI21" s="386">
        <f t="shared" si="20"/>
        <v>1.1687730041946891E-2</v>
      </c>
      <c r="AJ21" s="386">
        <f t="shared" si="21"/>
        <v>0.11972525388897996</v>
      </c>
      <c r="AK21" s="386">
        <f t="shared" si="22"/>
        <v>1.4334136418780712E-4</v>
      </c>
      <c r="AL21" s="386">
        <f t="shared" si="23"/>
        <v>0.10612653575380041</v>
      </c>
      <c r="AM21" s="386">
        <f t="shared" si="24"/>
        <v>0</v>
      </c>
      <c r="AN21" s="386">
        <f t="shared" si="25"/>
        <v>0.10627341126116154</v>
      </c>
      <c r="AO21" s="386">
        <f t="shared" si="49"/>
        <v>0.49390139891231155</v>
      </c>
      <c r="AP21" s="386">
        <f t="shared" si="26"/>
        <v>2.4393859184753831E-3</v>
      </c>
      <c r="AQ21" s="386">
        <f t="shared" si="27"/>
        <v>1.2826666666666665E-2</v>
      </c>
      <c r="AR21" s="386">
        <f t="shared" si="28"/>
        <v>1.5274697109542863E-2</v>
      </c>
      <c r="AS21" s="386">
        <f t="shared" si="29"/>
        <v>0</v>
      </c>
      <c r="AT21" s="386">
        <f t="shared" si="30"/>
        <v>0</v>
      </c>
      <c r="AU21" s="386">
        <f t="shared" si="31"/>
        <v>2.4862934400000002E-2</v>
      </c>
      <c r="AV21" s="386">
        <f t="shared" si="32"/>
        <v>4.3002409256342127E-4</v>
      </c>
      <c r="AW21" s="386">
        <f t="shared" si="33"/>
        <v>6.5920000000000006E-2</v>
      </c>
      <c r="AX21" s="386">
        <f t="shared" si="34"/>
        <v>3.6000000000000004E-2</v>
      </c>
      <c r="AY21" s="386">
        <f t="shared" si="35"/>
        <v>0.40226399999999995</v>
      </c>
      <c r="AZ21" s="386">
        <f t="shared" si="36"/>
        <v>0.30415082926829268</v>
      </c>
      <c r="BA21" s="386">
        <f t="shared" si="57"/>
        <v>0.43826399999999999</v>
      </c>
      <c r="BB21" s="386">
        <f t="shared" si="58"/>
        <v>0.68051004363334122</v>
      </c>
      <c r="BC21">
        <f t="shared" si="37"/>
        <v>5.76</v>
      </c>
      <c r="BD21" s="604">
        <f t="shared" si="51"/>
        <v>0.89433910683734619</v>
      </c>
      <c r="BE21" s="614">
        <f t="shared" si="38"/>
        <v>7.1156109819793691</v>
      </c>
      <c r="BF21" s="614">
        <f t="shared" si="39"/>
        <v>1.3618089967694862</v>
      </c>
      <c r="BG21" s="9"/>
      <c r="BH21" s="4">
        <f t="shared" si="52"/>
        <v>89.433910683734624</v>
      </c>
      <c r="BI21" s="386">
        <f t="shared" si="53"/>
        <v>3.4101300783560399E-3</v>
      </c>
      <c r="BJ21" s="386">
        <f t="shared" si="54"/>
        <v>0.17212034748253824</v>
      </c>
      <c r="BK21" s="386">
        <f t="shared" si="40"/>
        <v>0.12268294796516153</v>
      </c>
      <c r="BL21" s="386">
        <f t="shared" si="41"/>
        <v>2.3479465461542864E-2</v>
      </c>
      <c r="BM21" s="386">
        <f t="shared" si="55"/>
        <v>4.3002409256342127E-4</v>
      </c>
      <c r="BS21" s="18"/>
      <c r="BT21" s="19"/>
    </row>
    <row r="22" spans="1:83" x14ac:dyDescent="0.2">
      <c r="A22" s="36" t="s">
        <v>61</v>
      </c>
      <c r="B22" s="39">
        <f>Cin*1000000</f>
        <v>120</v>
      </c>
      <c r="C22" s="485" t="s">
        <v>675</v>
      </c>
      <c r="D22" s="482" t="s">
        <v>693</v>
      </c>
      <c r="G22">
        <v>13</v>
      </c>
      <c r="H22" s="610">
        <f t="shared" si="0"/>
        <v>12</v>
      </c>
      <c r="I22" s="445" t="str">
        <f t="shared" si="1"/>
        <v>BUCK-BST</v>
      </c>
      <c r="J22">
        <f t="shared" si="43"/>
        <v>3</v>
      </c>
      <c r="K22" s="386">
        <f t="shared" si="44"/>
        <v>0.52</v>
      </c>
      <c r="L22" s="4">
        <f t="shared" si="2"/>
        <v>0.57777777777777772</v>
      </c>
      <c r="M22" s="4">
        <f t="shared" si="56"/>
        <v>0.55055584965590265</v>
      </c>
      <c r="N22" s="386">
        <f t="shared" si="3"/>
        <v>0.94450000000000001</v>
      </c>
      <c r="O22" s="386">
        <f t="shared" si="4"/>
        <v>5.5500000000000028E-2</v>
      </c>
      <c r="P22" s="4">
        <f t="shared" si="5"/>
        <v>0</v>
      </c>
      <c r="Q22" s="4">
        <f t="shared" si="6"/>
        <v>0.55055584965590265</v>
      </c>
      <c r="R22" s="386">
        <f t="shared" si="7"/>
        <v>4.0023561135562862E-3</v>
      </c>
      <c r="S22" s="386">
        <f t="shared" si="45"/>
        <v>0</v>
      </c>
      <c r="T22" s="386">
        <f t="shared" si="46"/>
        <v>4.0023561135562862E-3</v>
      </c>
      <c r="U22" s="4">
        <f t="shared" si="8"/>
        <v>0.1260517426340047</v>
      </c>
      <c r="V22" s="386">
        <f t="shared" si="9"/>
        <v>4.2900412916887267E-4</v>
      </c>
      <c r="W22" s="386">
        <f t="shared" si="47"/>
        <v>4.2900412916887267E-4</v>
      </c>
      <c r="X22" s="4">
        <f t="shared" si="10"/>
        <v>0</v>
      </c>
      <c r="Y22" s="386">
        <f t="shared" si="11"/>
        <v>0</v>
      </c>
      <c r="Z22" s="603">
        <f t="shared" si="48"/>
        <v>0</v>
      </c>
      <c r="AA22" s="386">
        <f t="shared" si="12"/>
        <v>0.53505984882167101</v>
      </c>
      <c r="AB22" s="386">
        <f t="shared" si="13"/>
        <v>2.8628904182106947E-3</v>
      </c>
      <c r="AC22" s="386">
        <f t="shared" si="14"/>
        <v>1.2538774534035657E-2</v>
      </c>
      <c r="AD22" s="386">
        <f t="shared" si="15"/>
        <v>0</v>
      </c>
      <c r="AE22" s="386">
        <f t="shared" si="16"/>
        <v>1.5411901391924904E-2</v>
      </c>
      <c r="AF22" s="386">
        <f t="shared" si="17"/>
        <v>0.12970235837972829</v>
      </c>
      <c r="AG22" s="386">
        <f t="shared" si="18"/>
        <v>1.6822701769263475E-4</v>
      </c>
      <c r="AH22" s="386">
        <f t="shared" si="19"/>
        <v>1.2506E-2</v>
      </c>
      <c r="AI22" s="386">
        <f t="shared" si="20"/>
        <v>1.2674721695198997E-2</v>
      </c>
      <c r="AJ22" s="386">
        <f t="shared" si="21"/>
        <v>0.12970235837972832</v>
      </c>
      <c r="AK22" s="386">
        <f t="shared" si="22"/>
        <v>1.6822701769263483E-4</v>
      </c>
      <c r="AL22" s="386">
        <f t="shared" si="23"/>
        <v>0.10612653575380041</v>
      </c>
      <c r="AM22" s="386">
        <f t="shared" si="24"/>
        <v>0</v>
      </c>
      <c r="AN22" s="386">
        <f t="shared" si="25"/>
        <v>0.10629891147642893</v>
      </c>
      <c r="AO22" s="386">
        <f t="shared" si="49"/>
        <v>0.53505984882167101</v>
      </c>
      <c r="AP22" s="386">
        <f t="shared" si="26"/>
        <v>2.8628904182106947E-3</v>
      </c>
      <c r="AQ22" s="386">
        <f t="shared" si="27"/>
        <v>1.3895555555555553E-2</v>
      </c>
      <c r="AR22" s="386">
        <f t="shared" si="28"/>
        <v>1.6769584173554949E-2</v>
      </c>
      <c r="AS22" s="386">
        <f t="shared" si="29"/>
        <v>0</v>
      </c>
      <c r="AT22" s="386">
        <f t="shared" si="30"/>
        <v>0</v>
      </c>
      <c r="AU22" s="386">
        <f t="shared" si="31"/>
        <v>2.5084749400000002E-2</v>
      </c>
      <c r="AV22" s="386">
        <f t="shared" si="32"/>
        <v>5.0468105307790436E-4</v>
      </c>
      <c r="AW22" s="386">
        <f t="shared" si="33"/>
        <v>6.5920000000000006E-2</v>
      </c>
      <c r="AX22" s="386">
        <f t="shared" si="34"/>
        <v>3.6000000000000004E-2</v>
      </c>
      <c r="AY22" s="386">
        <f t="shared" si="35"/>
        <v>0.40226399999999995</v>
      </c>
      <c r="AZ22" s="386">
        <f t="shared" si="36"/>
        <v>0.30415082926829268</v>
      </c>
      <c r="BA22" s="386">
        <f t="shared" si="57"/>
        <v>0.43826399999999999</v>
      </c>
      <c r="BB22" s="386">
        <f t="shared" si="58"/>
        <v>0.68535990943291081</v>
      </c>
      <c r="BC22">
        <f t="shared" si="37"/>
        <v>6.24</v>
      </c>
      <c r="BD22" s="604">
        <f t="shared" si="51"/>
        <v>0.90103620340375457</v>
      </c>
      <c r="BE22" s="614">
        <f t="shared" si="38"/>
        <v>7.1255810726648781</v>
      </c>
      <c r="BF22" s="614">
        <f t="shared" si="39"/>
        <v>1.4527579855821871</v>
      </c>
      <c r="BG22" s="9"/>
      <c r="BH22" s="4">
        <f t="shared" si="52"/>
        <v>90.103620340375457</v>
      </c>
      <c r="BI22" s="386">
        <f t="shared" si="53"/>
        <v>4.0023561135562862E-3</v>
      </c>
      <c r="BJ22" s="386">
        <f t="shared" si="54"/>
        <v>0.17623986813710779</v>
      </c>
      <c r="BK22" s="386">
        <f t="shared" si="40"/>
        <v>0.12285484608042893</v>
      </c>
      <c r="BL22" s="386">
        <f t="shared" si="41"/>
        <v>2.5047551475554951E-2</v>
      </c>
      <c r="BM22" s="386">
        <f t="shared" si="55"/>
        <v>5.0468105307790436E-4</v>
      </c>
      <c r="BS22" s="18"/>
      <c r="BT22" s="19"/>
    </row>
    <row r="23" spans="1:83" x14ac:dyDescent="0.2">
      <c r="A23" s="36" t="s">
        <v>90</v>
      </c>
      <c r="B23" s="39">
        <f>RCinEsr*1000</f>
        <v>32</v>
      </c>
      <c r="C23" s="484" t="s">
        <v>674</v>
      </c>
      <c r="D23" s="482" t="s">
        <v>689</v>
      </c>
      <c r="G23">
        <v>14</v>
      </c>
      <c r="H23" s="610">
        <f t="shared" si="0"/>
        <v>12</v>
      </c>
      <c r="I23" s="445" t="str">
        <f t="shared" si="1"/>
        <v>BUCK-BST</v>
      </c>
      <c r="J23">
        <f t="shared" si="43"/>
        <v>3</v>
      </c>
      <c r="K23" s="386">
        <f t="shared" si="44"/>
        <v>0.56000000000000005</v>
      </c>
      <c r="L23" s="4">
        <f t="shared" si="2"/>
        <v>0.62222222222222223</v>
      </c>
      <c r="M23" s="4">
        <f t="shared" si="56"/>
        <v>0.59290629962943364</v>
      </c>
      <c r="N23" s="386">
        <f t="shared" si="3"/>
        <v>0.94450000000000001</v>
      </c>
      <c r="O23" s="386">
        <f t="shared" si="4"/>
        <v>5.5500000000000028E-2</v>
      </c>
      <c r="P23" s="4">
        <f t="shared" si="5"/>
        <v>0</v>
      </c>
      <c r="Q23" s="4">
        <f t="shared" si="6"/>
        <v>0.59290629962943364</v>
      </c>
      <c r="R23" s="386">
        <f t="shared" si="7"/>
        <v>4.6420232482964896E-3</v>
      </c>
      <c r="S23" s="386">
        <f t="shared" si="45"/>
        <v>0</v>
      </c>
      <c r="T23" s="386">
        <f t="shared" si="46"/>
        <v>4.6420232482964896E-3</v>
      </c>
      <c r="U23" s="4">
        <f t="shared" si="8"/>
        <v>0.13574803052892814</v>
      </c>
      <c r="V23" s="386">
        <f t="shared" si="9"/>
        <v>4.9754325039703582E-4</v>
      </c>
      <c r="W23" s="386">
        <f t="shared" si="47"/>
        <v>4.9754325039703582E-4</v>
      </c>
      <c r="X23" s="4">
        <f t="shared" si="10"/>
        <v>0</v>
      </c>
      <c r="Y23" s="386">
        <f t="shared" si="11"/>
        <v>0</v>
      </c>
      <c r="Z23" s="603">
        <f t="shared" si="48"/>
        <v>0</v>
      </c>
      <c r="AA23" s="386">
        <f t="shared" si="12"/>
        <v>0.57621829873103037</v>
      </c>
      <c r="AB23" s="386">
        <f t="shared" si="13"/>
        <v>3.3202752779248296E-3</v>
      </c>
      <c r="AC23" s="386">
        <f t="shared" si="14"/>
        <v>1.3503295652038403E-2</v>
      </c>
      <c r="AD23" s="386">
        <f t="shared" si="15"/>
        <v>0</v>
      </c>
      <c r="AE23" s="386">
        <f t="shared" si="16"/>
        <v>1.6836540181929819E-2</v>
      </c>
      <c r="AF23" s="386">
        <f t="shared" si="17"/>
        <v>0.13967946287047664</v>
      </c>
      <c r="AG23" s="386">
        <f t="shared" si="18"/>
        <v>1.9510352347784863E-4</v>
      </c>
      <c r="AH23" s="386">
        <f t="shared" si="19"/>
        <v>1.3468000000000001E-2</v>
      </c>
      <c r="AI23" s="386">
        <f t="shared" si="20"/>
        <v>1.3663721998428776E-2</v>
      </c>
      <c r="AJ23" s="386">
        <f t="shared" si="21"/>
        <v>0.13967946287047667</v>
      </c>
      <c r="AK23" s="386">
        <f t="shared" si="22"/>
        <v>1.9510352347784868E-4</v>
      </c>
      <c r="AL23" s="386">
        <f t="shared" si="23"/>
        <v>0.10612653575380041</v>
      </c>
      <c r="AM23" s="386">
        <f t="shared" si="24"/>
        <v>0</v>
      </c>
      <c r="AN23" s="386">
        <f t="shared" si="25"/>
        <v>0.10632645203965843</v>
      </c>
      <c r="AO23" s="386">
        <f t="shared" si="49"/>
        <v>0.57621829873103037</v>
      </c>
      <c r="AP23" s="386">
        <f t="shared" si="26"/>
        <v>3.3202752779248296E-3</v>
      </c>
      <c r="AQ23" s="386">
        <f t="shared" si="27"/>
        <v>1.4964444444444443E-2</v>
      </c>
      <c r="AR23" s="386">
        <f t="shared" si="28"/>
        <v>1.8298815370564599E-2</v>
      </c>
      <c r="AS23" s="386">
        <f t="shared" si="29"/>
        <v>0</v>
      </c>
      <c r="AT23" s="386">
        <f t="shared" si="30"/>
        <v>0</v>
      </c>
      <c r="AU23" s="386">
        <f t="shared" si="31"/>
        <v>2.5306549600000002E-2</v>
      </c>
      <c r="AV23" s="386">
        <f t="shared" si="32"/>
        <v>5.853105704335459E-4</v>
      </c>
      <c r="AW23" s="386">
        <f t="shared" si="33"/>
        <v>6.5920000000000006E-2</v>
      </c>
      <c r="AX23" s="386">
        <f t="shared" si="34"/>
        <v>3.6000000000000004E-2</v>
      </c>
      <c r="AY23" s="386">
        <f t="shared" si="35"/>
        <v>0.40226399999999995</v>
      </c>
      <c r="AZ23" s="386">
        <f t="shared" si="36"/>
        <v>0.30415082926829268</v>
      </c>
      <c r="BA23" s="386">
        <f t="shared" si="57"/>
        <v>0.43826399999999999</v>
      </c>
      <c r="BB23" s="386">
        <f t="shared" si="58"/>
        <v>0.69034095625970859</v>
      </c>
      <c r="BC23">
        <f t="shared" si="37"/>
        <v>6.7200000000000006</v>
      </c>
      <c r="BD23" s="604">
        <f t="shared" si="51"/>
        <v>0.90684086463301539</v>
      </c>
      <c r="BE23" s="614">
        <f t="shared" si="38"/>
        <v>7.1356689369881892</v>
      </c>
      <c r="BF23" s="614">
        <f t="shared" si="39"/>
        <v>1.5456986508367467</v>
      </c>
      <c r="BG23" s="9"/>
      <c r="BH23" s="4">
        <f t="shared" si="52"/>
        <v>90.68408646330154</v>
      </c>
      <c r="BI23" s="386">
        <f t="shared" si="53"/>
        <v>4.6420232482964896E-3</v>
      </c>
      <c r="BJ23" s="386">
        <f t="shared" si="54"/>
        <v>0.18043207919058163</v>
      </c>
      <c r="BK23" s="386">
        <f t="shared" si="40"/>
        <v>0.12302877477565843</v>
      </c>
      <c r="BL23" s="386">
        <f t="shared" si="41"/>
        <v>2.6649976738564601E-2</v>
      </c>
      <c r="BM23" s="386">
        <f t="shared" si="55"/>
        <v>5.853105704335459E-4</v>
      </c>
      <c r="BS23" s="18"/>
      <c r="BT23" s="19"/>
    </row>
    <row r="24" spans="1:83" x14ac:dyDescent="0.2">
      <c r="A24" s="35" t="s">
        <v>27</v>
      </c>
      <c r="B24" s="39">
        <f>Cout*1000000</f>
        <v>220</v>
      </c>
      <c r="C24" s="483" t="s">
        <v>675</v>
      </c>
      <c r="D24" s="482" t="s">
        <v>692</v>
      </c>
      <c r="G24">
        <v>15</v>
      </c>
      <c r="H24" s="610">
        <f t="shared" si="0"/>
        <v>12</v>
      </c>
      <c r="I24" s="445" t="str">
        <f t="shared" si="1"/>
        <v>BUCK-BST</v>
      </c>
      <c r="J24">
        <f t="shared" si="43"/>
        <v>3</v>
      </c>
      <c r="K24" s="386">
        <f t="shared" si="44"/>
        <v>0.6</v>
      </c>
      <c r="L24" s="4">
        <f t="shared" si="2"/>
        <v>0.66666666666666652</v>
      </c>
      <c r="M24" s="4">
        <f t="shared" si="56"/>
        <v>0.63525674960296452</v>
      </c>
      <c r="N24" s="386">
        <f t="shared" si="3"/>
        <v>0.94450000000000001</v>
      </c>
      <c r="O24" s="386">
        <f t="shared" si="4"/>
        <v>5.5500000000000028E-2</v>
      </c>
      <c r="P24" s="4">
        <f t="shared" si="5"/>
        <v>0</v>
      </c>
      <c r="Q24" s="4">
        <f t="shared" si="6"/>
        <v>0.63525674960296452</v>
      </c>
      <c r="R24" s="386">
        <f t="shared" si="7"/>
        <v>5.3291460360848459E-3</v>
      </c>
      <c r="S24" s="386">
        <f t="shared" si="45"/>
        <v>0</v>
      </c>
      <c r="T24" s="386">
        <f t="shared" si="46"/>
        <v>5.3291460360848459E-3</v>
      </c>
      <c r="U24" s="4">
        <f t="shared" si="8"/>
        <v>0.14544431842385155</v>
      </c>
      <c r="V24" s="386">
        <f t="shared" si="9"/>
        <v>5.711593435680256E-4</v>
      </c>
      <c r="W24" s="386">
        <f t="shared" si="47"/>
        <v>5.711593435680256E-4</v>
      </c>
      <c r="X24" s="4">
        <f t="shared" si="10"/>
        <v>0</v>
      </c>
      <c r="Y24" s="386">
        <f t="shared" si="11"/>
        <v>0</v>
      </c>
      <c r="Z24" s="603">
        <f t="shared" si="48"/>
        <v>0</v>
      </c>
      <c r="AA24" s="386">
        <f t="shared" si="12"/>
        <v>0.61737674864038961</v>
      </c>
      <c r="AB24" s="386">
        <f t="shared" si="13"/>
        <v>3.8115404976177881E-3</v>
      </c>
      <c r="AC24" s="386">
        <f t="shared" si="14"/>
        <v>1.446781677004114E-2</v>
      </c>
      <c r="AD24" s="386">
        <f t="shared" si="15"/>
        <v>0</v>
      </c>
      <c r="AE24" s="386">
        <f t="shared" si="16"/>
        <v>1.8295535596224273E-2</v>
      </c>
      <c r="AF24" s="386">
        <f t="shared" si="17"/>
        <v>0.14965656736122493</v>
      </c>
      <c r="AG24" s="386">
        <f t="shared" si="18"/>
        <v>2.2397088154344855E-4</v>
      </c>
      <c r="AH24" s="386">
        <f t="shared" si="19"/>
        <v>1.4429999999999998E-2</v>
      </c>
      <c r="AI24" s="386">
        <f t="shared" si="20"/>
        <v>1.4654732359674936E-2</v>
      </c>
      <c r="AJ24" s="386">
        <f t="shared" si="21"/>
        <v>0.14965656736122496</v>
      </c>
      <c r="AK24" s="386">
        <f t="shared" si="22"/>
        <v>2.2397088154344863E-4</v>
      </c>
      <c r="AL24" s="386">
        <f t="shared" si="23"/>
        <v>0.10612653575380041</v>
      </c>
      <c r="AM24" s="386">
        <f t="shared" si="24"/>
        <v>0</v>
      </c>
      <c r="AN24" s="386">
        <f t="shared" si="25"/>
        <v>0.10635603302718195</v>
      </c>
      <c r="AO24" s="386">
        <f t="shared" si="49"/>
        <v>0.61737674864038961</v>
      </c>
      <c r="AP24" s="386">
        <f t="shared" si="26"/>
        <v>3.8115404976177881E-3</v>
      </c>
      <c r="AQ24" s="386">
        <f t="shared" si="27"/>
        <v>1.603333333333333E-2</v>
      </c>
      <c r="AR24" s="386">
        <f t="shared" si="28"/>
        <v>1.9862437735659242E-2</v>
      </c>
      <c r="AS24" s="386">
        <f t="shared" si="29"/>
        <v>0</v>
      </c>
      <c r="AT24" s="386">
        <f t="shared" si="30"/>
        <v>0</v>
      </c>
      <c r="AU24" s="386">
        <f t="shared" si="31"/>
        <v>2.5528335000000003E-2</v>
      </c>
      <c r="AV24" s="386">
        <f t="shared" si="32"/>
        <v>6.7191264463034573E-4</v>
      </c>
      <c r="AW24" s="386">
        <f t="shared" si="33"/>
        <v>6.5920000000000006E-2</v>
      </c>
      <c r="AX24" s="386">
        <f t="shared" si="34"/>
        <v>3.6000000000000004E-2</v>
      </c>
      <c r="AY24" s="386">
        <f t="shared" si="35"/>
        <v>0.40226399999999995</v>
      </c>
      <c r="AZ24" s="386">
        <f t="shared" si="36"/>
        <v>0.30415082926829268</v>
      </c>
      <c r="BA24" s="386">
        <f t="shared" si="57"/>
        <v>0.43826399999999999</v>
      </c>
      <c r="BB24" s="386">
        <f t="shared" si="58"/>
        <v>0.69545329174302351</v>
      </c>
      <c r="BC24">
        <f t="shared" si="37"/>
        <v>7.1999999999999993</v>
      </c>
      <c r="BD24" s="604">
        <f t="shared" si="51"/>
        <v>0.91191724324804502</v>
      </c>
      <c r="BE24" s="614">
        <f t="shared" si="38"/>
        <v>7.145874579376553</v>
      </c>
      <c r="BF24" s="614">
        <f t="shared" si="39"/>
        <v>1.6406337205682362</v>
      </c>
      <c r="BG24" s="9"/>
      <c r="BH24" s="4">
        <f t="shared" si="52"/>
        <v>91.191724324804497</v>
      </c>
      <c r="BI24" s="386">
        <f t="shared" si="53"/>
        <v>5.3291460360848459E-3</v>
      </c>
      <c r="BJ24" s="386">
        <f t="shared" si="54"/>
        <v>0.18469707371874042</v>
      </c>
      <c r="BK24" s="386">
        <f t="shared" si="40"/>
        <v>0.12320473412718196</v>
      </c>
      <c r="BL24" s="386">
        <f t="shared" si="41"/>
        <v>2.8286788285659243E-2</v>
      </c>
      <c r="BM24" s="386">
        <f t="shared" si="55"/>
        <v>6.7191264463034573E-4</v>
      </c>
      <c r="BS24" s="18"/>
      <c r="BT24" s="19"/>
    </row>
    <row r="25" spans="1:83" x14ac:dyDescent="0.2">
      <c r="A25" s="35" t="s">
        <v>89</v>
      </c>
      <c r="B25" s="40">
        <f>CoutEsr*1000</f>
        <v>27</v>
      </c>
      <c r="C25" s="484" t="s">
        <v>674</v>
      </c>
      <c r="D25" s="482" t="s">
        <v>691</v>
      </c>
      <c r="G25">
        <v>16</v>
      </c>
      <c r="H25" s="610">
        <f t="shared" si="0"/>
        <v>12</v>
      </c>
      <c r="I25" s="445" t="str">
        <f t="shared" si="1"/>
        <v>BUCK-BST</v>
      </c>
      <c r="J25">
        <f t="shared" si="43"/>
        <v>3</v>
      </c>
      <c r="K25" s="386">
        <f t="shared" si="44"/>
        <v>0.64</v>
      </c>
      <c r="L25" s="4">
        <f t="shared" si="2"/>
        <v>0.71111111111111103</v>
      </c>
      <c r="M25" s="4">
        <f t="shared" si="56"/>
        <v>0.67760719957649551</v>
      </c>
      <c r="N25" s="386">
        <f t="shared" si="3"/>
        <v>0.94450000000000001</v>
      </c>
      <c r="O25" s="386">
        <f t="shared" si="4"/>
        <v>5.5500000000000028E-2</v>
      </c>
      <c r="P25" s="4">
        <f t="shared" si="5"/>
        <v>0</v>
      </c>
      <c r="Q25" s="4">
        <f t="shared" si="6"/>
        <v>0.67760719957649551</v>
      </c>
      <c r="R25" s="386">
        <f t="shared" si="7"/>
        <v>6.0637401126135615E-3</v>
      </c>
      <c r="S25" s="386">
        <f t="shared" si="45"/>
        <v>0</v>
      </c>
      <c r="T25" s="386">
        <f t="shared" si="46"/>
        <v>6.0637401126135615E-3</v>
      </c>
      <c r="U25" s="4">
        <f t="shared" si="8"/>
        <v>0.15514060631877499</v>
      </c>
      <c r="V25" s="386">
        <f t="shared" si="9"/>
        <v>6.4985240868184241E-4</v>
      </c>
      <c r="W25" s="386">
        <f t="shared" si="47"/>
        <v>6.4985240868184241E-4</v>
      </c>
      <c r="X25" s="4">
        <f t="shared" si="10"/>
        <v>0</v>
      </c>
      <c r="Y25" s="386">
        <f t="shared" si="11"/>
        <v>0</v>
      </c>
      <c r="Z25" s="603">
        <f t="shared" si="48"/>
        <v>0</v>
      </c>
      <c r="AA25" s="386">
        <f t="shared" si="12"/>
        <v>0.65853519854974885</v>
      </c>
      <c r="AB25" s="386">
        <f t="shared" si="13"/>
        <v>4.3366860772895716E-3</v>
      </c>
      <c r="AC25" s="386">
        <f t="shared" si="14"/>
        <v>1.5432337888043886E-2</v>
      </c>
      <c r="AD25" s="386">
        <f t="shared" si="15"/>
        <v>0</v>
      </c>
      <c r="AE25" s="386">
        <f t="shared" si="16"/>
        <v>1.9788933832703567E-2</v>
      </c>
      <c r="AF25" s="386">
        <f t="shared" si="17"/>
        <v>0.15963367185197327</v>
      </c>
      <c r="AG25" s="386">
        <f t="shared" si="18"/>
        <v>2.5482909188943485E-4</v>
      </c>
      <c r="AH25" s="386">
        <f t="shared" si="19"/>
        <v>1.5391999999999999E-2</v>
      </c>
      <c r="AI25" s="386">
        <f t="shared" si="20"/>
        <v>1.5647754192583348E-2</v>
      </c>
      <c r="AJ25" s="386">
        <f t="shared" si="21"/>
        <v>0.1596336718519733</v>
      </c>
      <c r="AK25" s="386">
        <f t="shared" si="22"/>
        <v>2.5482909188943495E-4</v>
      </c>
      <c r="AL25" s="386">
        <f t="shared" si="23"/>
        <v>0.10612653575380041</v>
      </c>
      <c r="AM25" s="386">
        <f t="shared" si="24"/>
        <v>0</v>
      </c>
      <c r="AN25" s="386">
        <f t="shared" si="25"/>
        <v>0.10638765452098828</v>
      </c>
      <c r="AO25" s="386">
        <f t="shared" si="49"/>
        <v>0.65853519854974885</v>
      </c>
      <c r="AP25" s="386">
        <f t="shared" si="26"/>
        <v>4.3366860772895716E-3</v>
      </c>
      <c r="AQ25" s="386">
        <f t="shared" si="27"/>
        <v>1.710222222222222E-2</v>
      </c>
      <c r="AR25" s="386">
        <f t="shared" si="28"/>
        <v>2.1460499948222005E-2</v>
      </c>
      <c r="AS25" s="386">
        <f t="shared" si="29"/>
        <v>0</v>
      </c>
      <c r="AT25" s="386">
        <f t="shared" si="30"/>
        <v>0</v>
      </c>
      <c r="AU25" s="386">
        <f t="shared" si="31"/>
        <v>2.57501056E-2</v>
      </c>
      <c r="AV25" s="386">
        <f t="shared" si="32"/>
        <v>7.644872756683047E-4</v>
      </c>
      <c r="AW25" s="386">
        <f t="shared" si="33"/>
        <v>6.5920000000000006E-2</v>
      </c>
      <c r="AX25" s="386">
        <f t="shared" si="34"/>
        <v>3.6000000000000004E-2</v>
      </c>
      <c r="AY25" s="386">
        <f t="shared" si="35"/>
        <v>0.40226399999999995</v>
      </c>
      <c r="AZ25" s="386">
        <f t="shared" si="36"/>
        <v>0.30415082926829268</v>
      </c>
      <c r="BA25" s="386">
        <f t="shared" si="57"/>
        <v>0.43826399999999999</v>
      </c>
      <c r="BB25" s="386">
        <f t="shared" si="58"/>
        <v>0.70069702789146093</v>
      </c>
      <c r="BC25">
        <f t="shared" si="37"/>
        <v>7.68</v>
      </c>
      <c r="BD25" s="604">
        <f t="shared" si="51"/>
        <v>0.9163915572225676</v>
      </c>
      <c r="BE25" s="614">
        <f t="shared" si="38"/>
        <v>7.1561980045853204</v>
      </c>
      <c r="BF25" s="614">
        <f t="shared" si="39"/>
        <v>1.7375660181808763</v>
      </c>
      <c r="BG25" s="9"/>
      <c r="BH25" s="4">
        <f t="shared" si="52"/>
        <v>91.63915572225676</v>
      </c>
      <c r="BI25" s="386">
        <f t="shared" si="53"/>
        <v>6.0637401126135615E-3</v>
      </c>
      <c r="BJ25" s="386">
        <f t="shared" si="54"/>
        <v>0.18903494809449717</v>
      </c>
      <c r="BK25" s="386">
        <f t="shared" si="40"/>
        <v>0.12338272421698829</v>
      </c>
      <c r="BL25" s="386">
        <f t="shared" si="41"/>
        <v>2.9958034796222006E-2</v>
      </c>
      <c r="BM25" s="386">
        <f t="shared" si="55"/>
        <v>7.644872756683047E-4</v>
      </c>
      <c r="BQ25" t="s">
        <v>151</v>
      </c>
      <c r="BR25" t="s">
        <v>4</v>
      </c>
      <c r="BS25" t="s">
        <v>6</v>
      </c>
      <c r="BT25" t="s">
        <v>5</v>
      </c>
      <c r="BU25" t="s">
        <v>152</v>
      </c>
      <c r="BV25" t="s">
        <v>153</v>
      </c>
    </row>
    <row r="26" spans="1:83" x14ac:dyDescent="0.2">
      <c r="A26" s="24" t="s">
        <v>116</v>
      </c>
      <c r="B26" s="37" t="s">
        <v>115</v>
      </c>
      <c r="C26" s="24" t="s">
        <v>80</v>
      </c>
      <c r="D26" s="17" t="s">
        <v>111</v>
      </c>
      <c r="G26">
        <v>17</v>
      </c>
      <c r="H26" s="610">
        <f t="shared" si="0"/>
        <v>12</v>
      </c>
      <c r="I26" s="445" t="str">
        <f t="shared" si="1"/>
        <v>BUCK-BST</v>
      </c>
      <c r="J26">
        <f t="shared" si="43"/>
        <v>3</v>
      </c>
      <c r="K26" s="386">
        <f t="shared" si="44"/>
        <v>0.68</v>
      </c>
      <c r="L26" s="4">
        <f t="shared" si="2"/>
        <v>0.75555555555555554</v>
      </c>
      <c r="M26" s="4">
        <f t="shared" si="56"/>
        <v>0.7199576495500265</v>
      </c>
      <c r="N26" s="386">
        <f t="shared" si="3"/>
        <v>0.94450000000000001</v>
      </c>
      <c r="O26" s="386">
        <f t="shared" si="4"/>
        <v>5.5500000000000028E-2</v>
      </c>
      <c r="P26" s="4">
        <f t="shared" si="5"/>
        <v>0</v>
      </c>
      <c r="Q26" s="4">
        <f t="shared" si="6"/>
        <v>0.7199576495500265</v>
      </c>
      <c r="R26" s="386">
        <f t="shared" si="7"/>
        <v>6.8458221966488106E-3</v>
      </c>
      <c r="S26" s="386">
        <f t="shared" si="45"/>
        <v>0</v>
      </c>
      <c r="T26" s="386">
        <f t="shared" si="46"/>
        <v>6.8458221966488106E-3</v>
      </c>
      <c r="U26" s="4">
        <f t="shared" si="8"/>
        <v>0.16483689421369846</v>
      </c>
      <c r="V26" s="386">
        <f t="shared" si="9"/>
        <v>7.3362244573848645E-4</v>
      </c>
      <c r="W26" s="386">
        <f t="shared" si="47"/>
        <v>7.3362244573848645E-4</v>
      </c>
      <c r="X26" s="4">
        <f t="shared" si="10"/>
        <v>0</v>
      </c>
      <c r="Y26" s="386">
        <f t="shared" si="11"/>
        <v>0</v>
      </c>
      <c r="Z26" s="603">
        <f t="shared" si="48"/>
        <v>0</v>
      </c>
      <c r="AA26" s="386">
        <f t="shared" si="12"/>
        <v>0.6996936484591082</v>
      </c>
      <c r="AB26" s="386">
        <f t="shared" si="13"/>
        <v>4.895712016940181E-3</v>
      </c>
      <c r="AC26" s="386">
        <f t="shared" si="14"/>
        <v>1.6396859006046628E-2</v>
      </c>
      <c r="AD26" s="386">
        <f t="shared" si="15"/>
        <v>0</v>
      </c>
      <c r="AE26" s="386">
        <f t="shared" si="16"/>
        <v>2.1316782735407665E-2</v>
      </c>
      <c r="AF26" s="386">
        <f t="shared" si="17"/>
        <v>0.16961077634272159</v>
      </c>
      <c r="AG26" s="386">
        <f t="shared" si="18"/>
        <v>2.8767815451580725E-4</v>
      </c>
      <c r="AH26" s="386">
        <f t="shared" si="19"/>
        <v>1.6354E-2</v>
      </c>
      <c r="AI26" s="386">
        <f t="shared" si="20"/>
        <v>1.6642788916413749E-2</v>
      </c>
      <c r="AJ26" s="386">
        <f t="shared" si="21"/>
        <v>0.16961077634272165</v>
      </c>
      <c r="AK26" s="386">
        <f t="shared" si="22"/>
        <v>2.8767815451580746E-4</v>
      </c>
      <c r="AL26" s="386">
        <f t="shared" si="23"/>
        <v>0.10612653575380041</v>
      </c>
      <c r="AM26" s="386">
        <f t="shared" si="24"/>
        <v>0</v>
      </c>
      <c r="AN26" s="386">
        <f t="shared" si="25"/>
        <v>0.10642131660872366</v>
      </c>
      <c r="AO26" s="386">
        <f t="shared" si="49"/>
        <v>0.6996936484591082</v>
      </c>
      <c r="AP26" s="386">
        <f t="shared" si="26"/>
        <v>4.895712016940181E-3</v>
      </c>
      <c r="AQ26" s="386">
        <f t="shared" si="27"/>
        <v>1.817111111111111E-2</v>
      </c>
      <c r="AR26" s="386">
        <f t="shared" si="28"/>
        <v>2.3093052336700459E-2</v>
      </c>
      <c r="AS26" s="386">
        <f t="shared" si="29"/>
        <v>0</v>
      </c>
      <c r="AT26" s="386">
        <f t="shared" si="30"/>
        <v>0</v>
      </c>
      <c r="AU26" s="386">
        <f t="shared" si="31"/>
        <v>2.5971861400000001E-2</v>
      </c>
      <c r="AV26" s="386">
        <f t="shared" si="32"/>
        <v>8.6303446354742195E-4</v>
      </c>
      <c r="AW26" s="386">
        <f t="shared" si="33"/>
        <v>6.5920000000000006E-2</v>
      </c>
      <c r="AX26" s="386">
        <f t="shared" si="34"/>
        <v>3.6000000000000004E-2</v>
      </c>
      <c r="AY26" s="386">
        <f t="shared" si="35"/>
        <v>0.40226399999999995</v>
      </c>
      <c r="AZ26" s="386">
        <f t="shared" si="36"/>
        <v>0.30415082926829268</v>
      </c>
      <c r="BA26" s="386">
        <f t="shared" si="57"/>
        <v>0.43826399999999999</v>
      </c>
      <c r="BB26" s="386">
        <f t="shared" si="58"/>
        <v>0.70607228110318021</v>
      </c>
      <c r="BC26">
        <f t="shared" si="37"/>
        <v>8.16</v>
      </c>
      <c r="BD26" s="604">
        <f t="shared" si="51"/>
        <v>0.92036244926537802</v>
      </c>
      <c r="BE26" s="614">
        <f t="shared" si="38"/>
        <v>7.1666392176979716</v>
      </c>
      <c r="BF26" s="614">
        <f t="shared" si="39"/>
        <v>1.8364984627246268</v>
      </c>
      <c r="BG26" s="9"/>
      <c r="BH26" s="4">
        <f t="shared" si="52"/>
        <v>92.036244926537805</v>
      </c>
      <c r="BI26" s="386">
        <f t="shared" si="53"/>
        <v>6.8458221966488106E-3</v>
      </c>
      <c r="BJ26" s="386">
        <f t="shared" si="54"/>
        <v>0.19344580199724551</v>
      </c>
      <c r="BK26" s="386">
        <f t="shared" si="40"/>
        <v>0.12356274513272365</v>
      </c>
      <c r="BL26" s="386">
        <f t="shared" si="41"/>
        <v>3.166376659870046E-2</v>
      </c>
      <c r="BM26" s="386">
        <f t="shared" si="55"/>
        <v>8.6303446354742195E-4</v>
      </c>
      <c r="BQ26" t="s">
        <v>154</v>
      </c>
      <c r="BR26">
        <v>9.9989640000000009</v>
      </c>
      <c r="BS26">
        <v>0.1027</v>
      </c>
      <c r="BT26">
        <v>5.1211359999999999</v>
      </c>
      <c r="BU26">
        <v>61.870683235325004</v>
      </c>
      <c r="BV26">
        <v>324.12365701136014</v>
      </c>
    </row>
    <row r="27" spans="1:83" x14ac:dyDescent="0.2">
      <c r="A27" s="22" t="s">
        <v>65</v>
      </c>
      <c r="B27" s="5">
        <f>RdsonDRT</f>
        <v>1.5</v>
      </c>
      <c r="C27" s="486" t="s">
        <v>120</v>
      </c>
      <c r="D27" s="482" t="s">
        <v>718</v>
      </c>
      <c r="G27">
        <v>18</v>
      </c>
      <c r="H27" s="610">
        <f t="shared" si="0"/>
        <v>12</v>
      </c>
      <c r="I27" s="445" t="str">
        <f t="shared" si="1"/>
        <v>BUCK-BST</v>
      </c>
      <c r="J27">
        <f t="shared" si="43"/>
        <v>3</v>
      </c>
      <c r="K27" s="386">
        <f t="shared" si="44"/>
        <v>0.72</v>
      </c>
      <c r="L27" s="4">
        <f t="shared" si="2"/>
        <v>0.8</v>
      </c>
      <c r="M27" s="4">
        <f t="shared" si="56"/>
        <v>0.76230809952355738</v>
      </c>
      <c r="N27" s="386">
        <f t="shared" si="3"/>
        <v>0.94450000000000001</v>
      </c>
      <c r="O27" s="386">
        <f t="shared" si="4"/>
        <v>5.5500000000000028E-2</v>
      </c>
      <c r="P27" s="4">
        <f t="shared" si="5"/>
        <v>0</v>
      </c>
      <c r="Q27" s="4">
        <f t="shared" si="6"/>
        <v>0.76230809952355738</v>
      </c>
      <c r="R27" s="386">
        <f t="shared" si="7"/>
        <v>7.6754100909825866E-3</v>
      </c>
      <c r="S27" s="386">
        <f t="shared" si="45"/>
        <v>0</v>
      </c>
      <c r="T27" s="386">
        <f t="shared" si="46"/>
        <v>7.6754100909825866E-3</v>
      </c>
      <c r="U27" s="4">
        <f t="shared" si="8"/>
        <v>0.17453318210862187</v>
      </c>
      <c r="V27" s="386">
        <f t="shared" si="9"/>
        <v>8.2246945473795686E-4</v>
      </c>
      <c r="W27" s="386">
        <f t="shared" si="47"/>
        <v>8.2246945473795686E-4</v>
      </c>
      <c r="X27" s="4">
        <f t="shared" si="10"/>
        <v>0</v>
      </c>
      <c r="Y27" s="386">
        <f t="shared" si="11"/>
        <v>0</v>
      </c>
      <c r="Z27" s="603">
        <f t="shared" si="48"/>
        <v>0</v>
      </c>
      <c r="AA27" s="386">
        <f t="shared" si="12"/>
        <v>0.74085209836846744</v>
      </c>
      <c r="AB27" s="386">
        <f t="shared" si="13"/>
        <v>5.4886183165696132E-3</v>
      </c>
      <c r="AC27" s="386">
        <f t="shared" si="14"/>
        <v>1.7361380124049371E-2</v>
      </c>
      <c r="AD27" s="386">
        <f t="shared" si="15"/>
        <v>0</v>
      </c>
      <c r="AE27" s="386">
        <f t="shared" si="16"/>
        <v>2.2879131799290686E-2</v>
      </c>
      <c r="AF27" s="386">
        <f t="shared" si="17"/>
        <v>0.17958788083346991</v>
      </c>
      <c r="AG27" s="386">
        <f t="shared" si="18"/>
        <v>3.2251806942256589E-4</v>
      </c>
      <c r="AH27" s="386">
        <f t="shared" si="19"/>
        <v>1.7315999999999998E-2</v>
      </c>
      <c r="AI27" s="386">
        <f t="shared" si="20"/>
        <v>1.7639837956046508E-2</v>
      </c>
      <c r="AJ27" s="386">
        <f t="shared" si="21"/>
        <v>0.17958788083346997</v>
      </c>
      <c r="AK27" s="386">
        <f t="shared" si="22"/>
        <v>3.225180694225661E-4</v>
      </c>
      <c r="AL27" s="386">
        <f t="shared" si="23"/>
        <v>0.10612653575380041</v>
      </c>
      <c r="AM27" s="386">
        <f t="shared" si="24"/>
        <v>0</v>
      </c>
      <c r="AN27" s="386">
        <f t="shared" si="25"/>
        <v>0.10645701938369238</v>
      </c>
      <c r="AO27" s="386">
        <f t="shared" si="49"/>
        <v>0.74085209836846744</v>
      </c>
      <c r="AP27" s="386">
        <f t="shared" si="26"/>
        <v>5.4886183165696132E-3</v>
      </c>
      <c r="AQ27" s="386">
        <f t="shared" si="27"/>
        <v>1.924E-2</v>
      </c>
      <c r="AR27" s="386">
        <f t="shared" si="28"/>
        <v>2.4760146883573437E-2</v>
      </c>
      <c r="AS27" s="386">
        <f t="shared" si="29"/>
        <v>0</v>
      </c>
      <c r="AT27" s="386">
        <f t="shared" si="30"/>
        <v>0</v>
      </c>
      <c r="AU27" s="386">
        <f t="shared" si="31"/>
        <v>2.6193602400000002E-2</v>
      </c>
      <c r="AV27" s="386">
        <f t="shared" si="32"/>
        <v>9.6755420826769793E-4</v>
      </c>
      <c r="AW27" s="386">
        <f t="shared" si="33"/>
        <v>6.5920000000000006E-2</v>
      </c>
      <c r="AX27" s="386">
        <f t="shared" si="34"/>
        <v>3.6000000000000004E-2</v>
      </c>
      <c r="AY27" s="386">
        <f t="shared" si="35"/>
        <v>0.40226399999999995</v>
      </c>
      <c r="AZ27" s="386">
        <f t="shared" si="36"/>
        <v>0.30415082926829268</v>
      </c>
      <c r="BA27" s="386">
        <f t="shared" si="57"/>
        <v>0.43826399999999999</v>
      </c>
      <c r="BB27" s="386">
        <f t="shared" si="58"/>
        <v>0.71157917217659117</v>
      </c>
      <c r="BC27">
        <f t="shared" si="37"/>
        <v>8.64</v>
      </c>
      <c r="BD27" s="604">
        <f t="shared" si="51"/>
        <v>0.92390812727183802</v>
      </c>
      <c r="BE27" s="614">
        <f t="shared" si="38"/>
        <v>7.1771982241261583</v>
      </c>
      <c r="BF27" s="614">
        <f t="shared" si="39"/>
        <v>1.9374340691832592</v>
      </c>
      <c r="BG27" s="9"/>
      <c r="BH27" s="4">
        <f t="shared" si="52"/>
        <v>92.3908127271838</v>
      </c>
      <c r="BI27" s="386">
        <f t="shared" si="53"/>
        <v>7.6754100909825866E-3</v>
      </c>
      <c r="BJ27" s="386">
        <f t="shared" si="54"/>
        <v>0.19792973842260303</v>
      </c>
      <c r="BK27" s="386">
        <f t="shared" si="40"/>
        <v>0.12374479696769239</v>
      </c>
      <c r="BL27" s="386">
        <f t="shared" si="41"/>
        <v>3.3404035675573436E-2</v>
      </c>
      <c r="BM27" s="386">
        <f t="shared" si="55"/>
        <v>9.6755420826769793E-4</v>
      </c>
      <c r="BQ27" t="s">
        <v>155</v>
      </c>
      <c r="BR27">
        <v>9.9986669999999993</v>
      </c>
      <c r="BS27">
        <v>0.1166</v>
      </c>
      <c r="BT27">
        <v>5.1212980000000003</v>
      </c>
      <c r="BU27">
        <v>64.729420570558148</v>
      </c>
      <c r="BV27">
        <v>325.37886459483997</v>
      </c>
    </row>
    <row r="28" spans="1:83" x14ac:dyDescent="0.2">
      <c r="A28" s="22" t="s">
        <v>150</v>
      </c>
      <c r="B28" s="5">
        <f>RdsonDRT2</f>
        <v>1</v>
      </c>
      <c r="C28" s="486" t="s">
        <v>120</v>
      </c>
      <c r="D28" s="482" t="s">
        <v>717</v>
      </c>
      <c r="G28">
        <v>19</v>
      </c>
      <c r="H28" s="610">
        <f t="shared" si="0"/>
        <v>12</v>
      </c>
      <c r="I28" s="445" t="str">
        <f t="shared" si="1"/>
        <v>BUCK-BST</v>
      </c>
      <c r="J28">
        <f t="shared" si="43"/>
        <v>3</v>
      </c>
      <c r="K28" s="386">
        <f t="shared" si="44"/>
        <v>0.76</v>
      </c>
      <c r="L28" s="4">
        <f t="shared" si="2"/>
        <v>0.84444444444444444</v>
      </c>
      <c r="M28" s="4">
        <f t="shared" si="56"/>
        <v>0.80465854949708837</v>
      </c>
      <c r="N28" s="386">
        <f t="shared" si="3"/>
        <v>0.94450000000000001</v>
      </c>
      <c r="O28" s="386">
        <f t="shared" si="4"/>
        <v>5.5500000000000028E-2</v>
      </c>
      <c r="P28" s="4">
        <f t="shared" si="5"/>
        <v>0</v>
      </c>
      <c r="Q28" s="4">
        <f t="shared" si="6"/>
        <v>0.80465854949708837</v>
      </c>
      <c r="R28" s="386">
        <f t="shared" si="7"/>
        <v>8.5525226834465493E-3</v>
      </c>
      <c r="S28" s="386">
        <f t="shared" si="45"/>
        <v>0</v>
      </c>
      <c r="T28" s="386">
        <f t="shared" si="46"/>
        <v>8.5525226834465493E-3</v>
      </c>
      <c r="U28" s="4">
        <f t="shared" si="8"/>
        <v>0.18422947000354531</v>
      </c>
      <c r="V28" s="386">
        <f t="shared" si="9"/>
        <v>9.1639343568025451E-4</v>
      </c>
      <c r="W28" s="386">
        <f t="shared" si="47"/>
        <v>9.1639343568025451E-4</v>
      </c>
      <c r="X28" s="4">
        <f t="shared" si="10"/>
        <v>0</v>
      </c>
      <c r="Y28" s="386">
        <f t="shared" si="11"/>
        <v>0</v>
      </c>
      <c r="Z28" s="603">
        <f t="shared" si="48"/>
        <v>0</v>
      </c>
      <c r="AA28" s="386">
        <f t="shared" si="12"/>
        <v>0.78201054827782679</v>
      </c>
      <c r="AB28" s="386">
        <f t="shared" si="13"/>
        <v>6.1154049761778725E-3</v>
      </c>
      <c r="AC28" s="386">
        <f t="shared" si="14"/>
        <v>1.8325901242052117E-2</v>
      </c>
      <c r="AD28" s="386">
        <f t="shared" si="15"/>
        <v>0</v>
      </c>
      <c r="AE28" s="386">
        <f t="shared" si="16"/>
        <v>2.4476032175188997E-2</v>
      </c>
      <c r="AF28" s="386">
        <f t="shared" si="17"/>
        <v>0.18956498532421825</v>
      </c>
      <c r="AG28" s="386">
        <f t="shared" si="18"/>
        <v>3.5934883660971087E-4</v>
      </c>
      <c r="AH28" s="386">
        <f t="shared" si="19"/>
        <v>1.8277999999999999E-2</v>
      </c>
      <c r="AI28" s="386">
        <f t="shared" si="20"/>
        <v>1.8638902741989424E-2</v>
      </c>
      <c r="AJ28" s="386">
        <f t="shared" si="21"/>
        <v>0.18956498532421828</v>
      </c>
      <c r="AK28" s="386">
        <f t="shared" si="22"/>
        <v>3.5934883660971093E-4</v>
      </c>
      <c r="AL28" s="386">
        <f t="shared" si="23"/>
        <v>0.10612653575380041</v>
      </c>
      <c r="AM28" s="386">
        <f t="shared" si="24"/>
        <v>0</v>
      </c>
      <c r="AN28" s="386">
        <f t="shared" si="25"/>
        <v>0.10649476294485738</v>
      </c>
      <c r="AO28" s="386">
        <f t="shared" si="49"/>
        <v>0.78201054827782679</v>
      </c>
      <c r="AP28" s="386">
        <f t="shared" si="26"/>
        <v>6.1154049761778725E-3</v>
      </c>
      <c r="AQ28" s="386">
        <f t="shared" si="27"/>
        <v>2.0308888888888887E-2</v>
      </c>
      <c r="AR28" s="386">
        <f t="shared" si="28"/>
        <v>2.646183723051693E-2</v>
      </c>
      <c r="AS28" s="386">
        <f t="shared" si="29"/>
        <v>0</v>
      </c>
      <c r="AT28" s="386">
        <f t="shared" si="30"/>
        <v>0</v>
      </c>
      <c r="AU28" s="386">
        <f t="shared" si="31"/>
        <v>2.6415328600000003E-2</v>
      </c>
      <c r="AV28" s="386">
        <f t="shared" si="32"/>
        <v>1.0780465098291325E-3</v>
      </c>
      <c r="AW28" s="386">
        <f t="shared" si="33"/>
        <v>6.5920000000000006E-2</v>
      </c>
      <c r="AX28" s="386">
        <f t="shared" si="34"/>
        <v>3.6000000000000004E-2</v>
      </c>
      <c r="AY28" s="386">
        <f t="shared" si="35"/>
        <v>0.40226399999999995</v>
      </c>
      <c r="AZ28" s="386">
        <f t="shared" si="36"/>
        <v>0.30415082926829268</v>
      </c>
      <c r="BA28" s="386">
        <f t="shared" si="57"/>
        <v>0.43826399999999999</v>
      </c>
      <c r="BB28" s="386">
        <f t="shared" si="58"/>
        <v>0.71721782632150866</v>
      </c>
      <c r="BC28">
        <f t="shared" si="37"/>
        <v>9.120000000000001</v>
      </c>
      <c r="BD28" s="604">
        <f t="shared" si="51"/>
        <v>0.92709139525177087</v>
      </c>
      <c r="BE28" s="614">
        <f t="shared" si="38"/>
        <v>7.187875029609728</v>
      </c>
      <c r="BF28" s="614">
        <f t="shared" si="39"/>
        <v>2.0403759487739821</v>
      </c>
      <c r="BG28" s="9"/>
      <c r="BH28" s="4">
        <f t="shared" si="52"/>
        <v>92.709139525177093</v>
      </c>
      <c r="BI28" s="386">
        <f t="shared" si="53"/>
        <v>8.5525226834465493E-3</v>
      </c>
      <c r="BJ28" s="386">
        <f t="shared" si="54"/>
        <v>0.20248686369255275</v>
      </c>
      <c r="BK28" s="386">
        <f t="shared" si="40"/>
        <v>0.12392887982085737</v>
      </c>
      <c r="BL28" s="386">
        <f t="shared" si="41"/>
        <v>3.5178895668516931E-2</v>
      </c>
      <c r="BM28" s="386">
        <f t="shared" si="55"/>
        <v>1.0780465098291325E-3</v>
      </c>
      <c r="BQ28" t="s">
        <v>156</v>
      </c>
      <c r="BR28">
        <v>9.9987659999999998</v>
      </c>
      <c r="BS28">
        <v>0.14660000000000001</v>
      </c>
      <c r="BT28">
        <v>5.1213230000000003</v>
      </c>
      <c r="BU28">
        <v>69.885376918691776</v>
      </c>
      <c r="BV28">
        <v>323.52446193379996</v>
      </c>
    </row>
    <row r="29" spans="1:83" x14ac:dyDescent="0.2">
      <c r="A29" s="24" t="s">
        <v>117</v>
      </c>
      <c r="B29" s="15" t="s">
        <v>115</v>
      </c>
      <c r="C29" s="24" t="s">
        <v>80</v>
      </c>
      <c r="D29" s="17" t="s">
        <v>111</v>
      </c>
      <c r="G29">
        <v>20</v>
      </c>
      <c r="H29" s="610">
        <f t="shared" si="0"/>
        <v>12</v>
      </c>
      <c r="I29" s="445" t="str">
        <f t="shared" si="1"/>
        <v>BUCK-BST</v>
      </c>
      <c r="J29">
        <f t="shared" si="43"/>
        <v>3</v>
      </c>
      <c r="K29" s="386">
        <f t="shared" si="44"/>
        <v>0.8</v>
      </c>
      <c r="L29" s="4">
        <f t="shared" si="2"/>
        <v>0.88888888888888895</v>
      </c>
      <c r="M29" s="4">
        <f t="shared" si="56"/>
        <v>0.84700899947061936</v>
      </c>
      <c r="N29" s="386">
        <f t="shared" si="3"/>
        <v>0.94450000000000001</v>
      </c>
      <c r="O29" s="386">
        <f t="shared" si="4"/>
        <v>5.5500000000000028E-2</v>
      </c>
      <c r="P29" s="4">
        <f t="shared" si="5"/>
        <v>0</v>
      </c>
      <c r="Q29" s="4">
        <f t="shared" si="6"/>
        <v>0.84700899947061936</v>
      </c>
      <c r="R29" s="386">
        <f t="shared" si="7"/>
        <v>9.4771799479879161E-3</v>
      </c>
      <c r="S29" s="386">
        <f t="shared" si="45"/>
        <v>0</v>
      </c>
      <c r="T29" s="386">
        <f t="shared" si="46"/>
        <v>9.4771799479879161E-3</v>
      </c>
      <c r="U29" s="4">
        <f t="shared" si="8"/>
        <v>0.19392575789846878</v>
      </c>
      <c r="V29" s="386">
        <f t="shared" si="9"/>
        <v>1.0153943885653793E-3</v>
      </c>
      <c r="W29" s="386">
        <f t="shared" si="47"/>
        <v>1.0153943885653793E-3</v>
      </c>
      <c r="X29" s="4">
        <f t="shared" si="10"/>
        <v>0</v>
      </c>
      <c r="Y29" s="386">
        <f t="shared" si="11"/>
        <v>0</v>
      </c>
      <c r="Z29" s="603">
        <f t="shared" si="48"/>
        <v>0</v>
      </c>
      <c r="AA29" s="386">
        <f t="shared" si="12"/>
        <v>0.82316899818718603</v>
      </c>
      <c r="AB29" s="386">
        <f t="shared" si="13"/>
        <v>6.7760719957649556E-3</v>
      </c>
      <c r="AC29" s="386">
        <f t="shared" si="14"/>
        <v>1.9290422360054859E-2</v>
      </c>
      <c r="AD29" s="386">
        <f t="shared" si="15"/>
        <v>0</v>
      </c>
      <c r="AE29" s="386">
        <f t="shared" si="16"/>
        <v>2.6107536674988708E-2</v>
      </c>
      <c r="AF29" s="386">
        <f t="shared" si="17"/>
        <v>0.19954208981496657</v>
      </c>
      <c r="AG29" s="386">
        <f t="shared" si="18"/>
        <v>3.9817045607724188E-4</v>
      </c>
      <c r="AH29" s="386">
        <f t="shared" si="19"/>
        <v>1.924E-2</v>
      </c>
      <c r="AI29" s="386">
        <f t="shared" si="20"/>
        <v>1.9639984710384563E-2</v>
      </c>
      <c r="AJ29" s="386">
        <f t="shared" si="21"/>
        <v>0.19954208981496663</v>
      </c>
      <c r="AK29" s="386">
        <f t="shared" si="22"/>
        <v>3.981704560772421E-4</v>
      </c>
      <c r="AL29" s="386">
        <f t="shared" si="23"/>
        <v>0.10612653575380041</v>
      </c>
      <c r="AM29" s="386">
        <f t="shared" si="24"/>
        <v>0</v>
      </c>
      <c r="AN29" s="386">
        <f t="shared" si="25"/>
        <v>0.10653454739684104</v>
      </c>
      <c r="AO29" s="386">
        <f t="shared" si="49"/>
        <v>0.82316899818718603</v>
      </c>
      <c r="AP29" s="386">
        <f t="shared" si="26"/>
        <v>6.7760719957649556E-3</v>
      </c>
      <c r="AQ29" s="386">
        <f t="shared" si="27"/>
        <v>2.1377777777777777E-2</v>
      </c>
      <c r="AR29" s="386">
        <f t="shared" si="28"/>
        <v>2.8198178683770007E-2</v>
      </c>
      <c r="AS29" s="386">
        <f t="shared" si="29"/>
        <v>0</v>
      </c>
      <c r="AT29" s="386">
        <f t="shared" si="30"/>
        <v>0</v>
      </c>
      <c r="AU29" s="386">
        <f t="shared" si="31"/>
        <v>2.6637040000000001E-2</v>
      </c>
      <c r="AV29" s="386">
        <f t="shared" si="32"/>
        <v>1.194511368231726E-3</v>
      </c>
      <c r="AW29" s="386">
        <f t="shared" si="33"/>
        <v>6.5920000000000006E-2</v>
      </c>
      <c r="AX29" s="386">
        <f t="shared" si="34"/>
        <v>3.6000000000000004E-2</v>
      </c>
      <c r="AY29" s="386">
        <f t="shared" si="35"/>
        <v>0.40226399999999995</v>
      </c>
      <c r="AZ29" s="386">
        <f t="shared" si="36"/>
        <v>0.30415082926829268</v>
      </c>
      <c r="BA29" s="386">
        <f t="shared" si="57"/>
        <v>0.43826399999999999</v>
      </c>
      <c r="BB29" s="386">
        <f t="shared" si="58"/>
        <v>0.72298837317076925</v>
      </c>
      <c r="BC29">
        <f t="shared" si="37"/>
        <v>9.6000000000000014</v>
      </c>
      <c r="BD29" s="604">
        <f t="shared" si="51"/>
        <v>0.92996326770552207</v>
      </c>
      <c r="BE29" s="614">
        <f t="shared" si="38"/>
        <v>7.1986696402167807</v>
      </c>
      <c r="BF29" s="614">
        <f t="shared" si="39"/>
        <v>2.1453273092586604</v>
      </c>
      <c r="BG29" s="9"/>
      <c r="BH29" s="4">
        <f t="shared" si="52"/>
        <v>92.996326770552201</v>
      </c>
      <c r="BI29" s="386">
        <f t="shared" si="53"/>
        <v>9.4771799479879161E-3</v>
      </c>
      <c r="BJ29" s="386">
        <f t="shared" si="54"/>
        <v>0.20711728746598432</v>
      </c>
      <c r="BK29" s="386">
        <f t="shared" si="40"/>
        <v>0.12411499379684104</v>
      </c>
      <c r="BL29" s="386">
        <f t="shared" si="41"/>
        <v>3.6988401883770006E-2</v>
      </c>
      <c r="BM29" s="386">
        <f t="shared" si="55"/>
        <v>1.194511368231726E-3</v>
      </c>
      <c r="BQ29" t="s">
        <v>157</v>
      </c>
      <c r="BR29">
        <v>9.9987899999999996</v>
      </c>
      <c r="BS29">
        <v>0.1958</v>
      </c>
      <c r="BT29">
        <v>5.1217600000000001</v>
      </c>
      <c r="BU29">
        <v>75.662516566515876</v>
      </c>
      <c r="BV29">
        <v>322.57199766699983</v>
      </c>
    </row>
    <row r="30" spans="1:83" x14ac:dyDescent="0.2">
      <c r="A30" s="22" t="s">
        <v>64</v>
      </c>
      <c r="B30" s="27">
        <f>RdsonDRB</f>
        <v>1.5</v>
      </c>
      <c r="C30" s="486" t="s">
        <v>120</v>
      </c>
      <c r="D30" s="482" t="s">
        <v>716</v>
      </c>
      <c r="G30">
        <v>21</v>
      </c>
      <c r="H30" s="610">
        <f t="shared" si="0"/>
        <v>12</v>
      </c>
      <c r="I30" s="445" t="str">
        <f t="shared" si="1"/>
        <v>BUCK-BST</v>
      </c>
      <c r="J30">
        <f t="shared" si="43"/>
        <v>3</v>
      </c>
      <c r="K30" s="386">
        <f t="shared" si="44"/>
        <v>0.84</v>
      </c>
      <c r="L30" s="4">
        <f t="shared" si="2"/>
        <v>0.93333333333333324</v>
      </c>
      <c r="M30" s="4">
        <f t="shared" si="56"/>
        <v>0.88935944944415035</v>
      </c>
      <c r="N30" s="386">
        <f t="shared" si="3"/>
        <v>0.94450000000000001</v>
      </c>
      <c r="O30" s="386">
        <f t="shared" si="4"/>
        <v>5.5500000000000028E-2</v>
      </c>
      <c r="P30" s="4">
        <f t="shared" si="5"/>
        <v>0</v>
      </c>
      <c r="Q30" s="4">
        <f t="shared" si="6"/>
        <v>0.88935944944415035</v>
      </c>
      <c r="R30" s="386">
        <f t="shared" si="7"/>
        <v>1.0449402945807625E-2</v>
      </c>
      <c r="S30" s="386">
        <f t="shared" si="45"/>
        <v>0</v>
      </c>
      <c r="T30" s="386">
        <f t="shared" si="46"/>
        <v>1.0449402945807625E-2</v>
      </c>
      <c r="U30" s="4">
        <f t="shared" si="8"/>
        <v>0.20362204579339219</v>
      </c>
      <c r="V30" s="386">
        <f t="shared" si="9"/>
        <v>1.1194723133933302E-3</v>
      </c>
      <c r="W30" s="386">
        <f t="shared" si="47"/>
        <v>1.1194723133933302E-3</v>
      </c>
      <c r="X30" s="4">
        <f t="shared" si="10"/>
        <v>0</v>
      </c>
      <c r="Y30" s="386">
        <f t="shared" si="11"/>
        <v>0</v>
      </c>
      <c r="Z30" s="603">
        <f t="shared" si="48"/>
        <v>0</v>
      </c>
      <c r="AA30" s="386">
        <f t="shared" si="12"/>
        <v>0.86432744809654538</v>
      </c>
      <c r="AB30" s="386">
        <f t="shared" si="13"/>
        <v>7.470619375330864E-3</v>
      </c>
      <c r="AC30" s="386">
        <f t="shared" si="14"/>
        <v>2.0254943478057598E-2</v>
      </c>
      <c r="AD30" s="386">
        <f t="shared" si="15"/>
        <v>0</v>
      </c>
      <c r="AE30" s="386">
        <f t="shared" si="16"/>
        <v>2.7773699776993906E-2</v>
      </c>
      <c r="AF30" s="386">
        <f t="shared" si="17"/>
        <v>0.20951919430571492</v>
      </c>
      <c r="AG30" s="386">
        <f t="shared" si="18"/>
        <v>4.3898292782515924E-4</v>
      </c>
      <c r="AH30" s="386">
        <f t="shared" si="19"/>
        <v>2.0201999999999998E-2</v>
      </c>
      <c r="AI30" s="386">
        <f t="shared" si="20"/>
        <v>2.0643085303015108E-2</v>
      </c>
      <c r="AJ30" s="386">
        <f t="shared" si="21"/>
        <v>0.20951919430571497</v>
      </c>
      <c r="AK30" s="386">
        <f t="shared" si="22"/>
        <v>4.3898292782515945E-4</v>
      </c>
      <c r="AL30" s="386">
        <f t="shared" si="23"/>
        <v>0.10612653575380041</v>
      </c>
      <c r="AM30" s="386">
        <f t="shared" si="24"/>
        <v>0</v>
      </c>
      <c r="AN30" s="386">
        <f t="shared" si="25"/>
        <v>0.10657637284992579</v>
      </c>
      <c r="AO30" s="386">
        <f t="shared" si="49"/>
        <v>0.86432744809654538</v>
      </c>
      <c r="AP30" s="386">
        <f t="shared" si="26"/>
        <v>7.470619375330864E-3</v>
      </c>
      <c r="AQ30" s="386">
        <f t="shared" si="27"/>
        <v>2.2446666666666663E-2</v>
      </c>
      <c r="AR30" s="386">
        <f t="shared" si="28"/>
        <v>2.9969228219701952E-2</v>
      </c>
      <c r="AS30" s="386">
        <f t="shared" si="29"/>
        <v>0</v>
      </c>
      <c r="AT30" s="386">
        <f t="shared" si="30"/>
        <v>0</v>
      </c>
      <c r="AU30" s="386">
        <f t="shared" si="31"/>
        <v>2.6858736600000002E-2</v>
      </c>
      <c r="AV30" s="386">
        <f t="shared" si="32"/>
        <v>1.3169487834754779E-3</v>
      </c>
      <c r="AW30" s="386">
        <f t="shared" si="33"/>
        <v>6.5920000000000006E-2</v>
      </c>
      <c r="AX30" s="386">
        <f t="shared" si="34"/>
        <v>3.6000000000000004E-2</v>
      </c>
      <c r="AY30" s="386">
        <f t="shared" si="35"/>
        <v>0.40226399999999995</v>
      </c>
      <c r="AZ30" s="386">
        <f t="shared" si="36"/>
        <v>0.30415082926829268</v>
      </c>
      <c r="BA30" s="386">
        <f t="shared" si="57"/>
        <v>0.43826399999999999</v>
      </c>
      <c r="BB30" s="386">
        <f t="shared" si="58"/>
        <v>0.72889094679231303</v>
      </c>
      <c r="BC30">
        <f t="shared" si="37"/>
        <v>10.08</v>
      </c>
      <c r="BD30" s="604">
        <f t="shared" si="51"/>
        <v>0.93256561192259768</v>
      </c>
      <c r="BE30" s="614">
        <f t="shared" si="38"/>
        <v>7.2095820623436957</v>
      </c>
      <c r="BF30" s="614">
        <f t="shared" si="39"/>
        <v>2.2522914552667133</v>
      </c>
      <c r="BG30" s="9"/>
      <c r="BH30" s="4">
        <f t="shared" si="52"/>
        <v>93.256561192259767</v>
      </c>
      <c r="BI30" s="386">
        <f t="shared" si="53"/>
        <v>1.0449402945807625E-2</v>
      </c>
      <c r="BJ30" s="386">
        <f t="shared" si="54"/>
        <v>0.21182112274963671</v>
      </c>
      <c r="BK30" s="386">
        <f t="shared" si="40"/>
        <v>0.12430313900592579</v>
      </c>
      <c r="BL30" s="386">
        <f t="shared" si="41"/>
        <v>3.8832611297701949E-2</v>
      </c>
      <c r="BM30" s="386">
        <f t="shared" si="55"/>
        <v>1.3169487834754779E-3</v>
      </c>
      <c r="BR30">
        <v>9.9987659999999998</v>
      </c>
      <c r="BS30">
        <v>0.2681</v>
      </c>
      <c r="BT30">
        <v>5.1224080000000001</v>
      </c>
      <c r="BU30">
        <v>80.957553445887683</v>
      </c>
      <c r="BV30">
        <v>323.02506068319997</v>
      </c>
    </row>
    <row r="31" spans="1:83" x14ac:dyDescent="0.2">
      <c r="A31" s="22" t="s">
        <v>149</v>
      </c>
      <c r="B31" s="27">
        <v>1</v>
      </c>
      <c r="C31" s="486" t="s">
        <v>120</v>
      </c>
      <c r="D31" s="482" t="s">
        <v>715</v>
      </c>
      <c r="G31">
        <v>22</v>
      </c>
      <c r="H31" s="610">
        <f t="shared" si="0"/>
        <v>12</v>
      </c>
      <c r="I31" s="445" t="str">
        <f t="shared" si="1"/>
        <v>BUCK-BST</v>
      </c>
      <c r="J31">
        <f t="shared" si="43"/>
        <v>3</v>
      </c>
      <c r="K31" s="386">
        <f t="shared" si="44"/>
        <v>0.88</v>
      </c>
      <c r="L31" s="4">
        <f t="shared" si="2"/>
        <v>0.97777777777777775</v>
      </c>
      <c r="M31" s="4">
        <f t="shared" si="56"/>
        <v>0.93170989941768134</v>
      </c>
      <c r="N31" s="386">
        <f t="shared" si="3"/>
        <v>0.94450000000000001</v>
      </c>
      <c r="O31" s="386">
        <f t="shared" si="4"/>
        <v>5.5500000000000028E-2</v>
      </c>
      <c r="P31" s="4">
        <f t="shared" si="5"/>
        <v>0</v>
      </c>
      <c r="Q31" s="4">
        <f t="shared" si="6"/>
        <v>0.93170989941768134</v>
      </c>
      <c r="R31" s="386">
        <f t="shared" si="7"/>
        <v>1.1469213826560758E-2</v>
      </c>
      <c r="S31" s="386">
        <f t="shared" si="45"/>
        <v>0</v>
      </c>
      <c r="T31" s="386">
        <f t="shared" si="46"/>
        <v>1.1469213826560758E-2</v>
      </c>
      <c r="U31" s="4">
        <f t="shared" si="8"/>
        <v>0.21331833368831563</v>
      </c>
      <c r="V31" s="386">
        <f t="shared" si="9"/>
        <v>1.2286272101641085E-3</v>
      </c>
      <c r="W31" s="386">
        <f t="shared" si="47"/>
        <v>1.2286272101641085E-3</v>
      </c>
      <c r="X31" s="4">
        <f t="shared" si="10"/>
        <v>0</v>
      </c>
      <c r="Y31" s="386">
        <f t="shared" si="11"/>
        <v>0</v>
      </c>
      <c r="Z31" s="603">
        <f t="shared" si="48"/>
        <v>0</v>
      </c>
      <c r="AA31" s="386">
        <f t="shared" si="12"/>
        <v>0.90548589800590473</v>
      </c>
      <c r="AB31" s="386">
        <f t="shared" si="13"/>
        <v>8.1990471148755979E-3</v>
      </c>
      <c r="AC31" s="386">
        <f t="shared" si="14"/>
        <v>2.1219464596060344E-2</v>
      </c>
      <c r="AD31" s="386">
        <f t="shared" si="15"/>
        <v>0</v>
      </c>
      <c r="AE31" s="386">
        <f t="shared" si="16"/>
        <v>2.9474577631496416E-2</v>
      </c>
      <c r="AF31" s="386">
        <f t="shared" si="17"/>
        <v>0.21949629879646326</v>
      </c>
      <c r="AG31" s="386">
        <f t="shared" si="18"/>
        <v>4.8178625185346283E-4</v>
      </c>
      <c r="AH31" s="386">
        <f t="shared" si="19"/>
        <v>2.1163999999999999E-2</v>
      </c>
      <c r="AI31" s="386">
        <f t="shared" si="20"/>
        <v>2.1648205967312324E-2</v>
      </c>
      <c r="AJ31" s="386">
        <f t="shared" si="21"/>
        <v>0.21949629879646329</v>
      </c>
      <c r="AK31" s="386">
        <f t="shared" si="22"/>
        <v>4.8178625185346289E-4</v>
      </c>
      <c r="AL31" s="386">
        <f t="shared" si="23"/>
        <v>0.10612653575380041</v>
      </c>
      <c r="AM31" s="386">
        <f t="shared" si="24"/>
        <v>0</v>
      </c>
      <c r="AN31" s="386">
        <f t="shared" si="25"/>
        <v>0.10662023942005495</v>
      </c>
      <c r="AO31" s="386">
        <f t="shared" si="49"/>
        <v>0.90548589800590473</v>
      </c>
      <c r="AP31" s="386">
        <f t="shared" si="26"/>
        <v>8.1990471148755979E-3</v>
      </c>
      <c r="AQ31" s="386">
        <f t="shared" si="27"/>
        <v>2.3515555555555553E-2</v>
      </c>
      <c r="AR31" s="386">
        <f t="shared" si="28"/>
        <v>3.177504449058164E-2</v>
      </c>
      <c r="AS31" s="386">
        <f t="shared" si="29"/>
        <v>0</v>
      </c>
      <c r="AT31" s="386">
        <f t="shared" si="30"/>
        <v>0</v>
      </c>
      <c r="AU31" s="386">
        <f t="shared" si="31"/>
        <v>2.70804184E-2</v>
      </c>
      <c r="AV31" s="386">
        <f t="shared" si="32"/>
        <v>1.4453587555603884E-3</v>
      </c>
      <c r="AW31" s="386">
        <f t="shared" si="33"/>
        <v>6.5920000000000006E-2</v>
      </c>
      <c r="AX31" s="386">
        <f t="shared" si="34"/>
        <v>3.6000000000000004E-2</v>
      </c>
      <c r="AY31" s="386">
        <f t="shared" si="35"/>
        <v>0.40226399999999995</v>
      </c>
      <c r="AZ31" s="386">
        <f t="shared" si="36"/>
        <v>0.30415082926829268</v>
      </c>
      <c r="BA31" s="386">
        <f t="shared" si="57"/>
        <v>0.43826399999999999</v>
      </c>
      <c r="BB31" s="386">
        <f t="shared" si="58"/>
        <v>0.73492568570173056</v>
      </c>
      <c r="BC31">
        <f t="shared" si="37"/>
        <v>10.56</v>
      </c>
      <c r="BD31" s="604">
        <f t="shared" si="51"/>
        <v>0.93493311012819902</v>
      </c>
      <c r="BE31" s="614">
        <f t="shared" si="38"/>
        <v>7.2206123027151881</v>
      </c>
      <c r="BF31" s="614">
        <f t="shared" si="39"/>
        <v>2.3612717886297352</v>
      </c>
      <c r="BG31" s="9"/>
      <c r="BH31" s="4">
        <f t="shared" si="52"/>
        <v>93.493311012819902</v>
      </c>
      <c r="BI31" s="386">
        <f t="shared" si="53"/>
        <v>1.1469213826560758E-2</v>
      </c>
      <c r="BJ31" s="386">
        <f t="shared" si="54"/>
        <v>0.21659848590944533</v>
      </c>
      <c r="BK31" s="386">
        <f t="shared" si="40"/>
        <v>0.12449331556405496</v>
      </c>
      <c r="BL31" s="386">
        <f t="shared" si="41"/>
        <v>4.0711582562581644E-2</v>
      </c>
      <c r="BM31" s="386">
        <f t="shared" si="55"/>
        <v>1.4453587555603884E-3</v>
      </c>
      <c r="BR31">
        <v>9.998704</v>
      </c>
      <c r="BS31">
        <v>0.36549999999999999</v>
      </c>
      <c r="BT31">
        <v>5.123094</v>
      </c>
      <c r="BU31">
        <v>85.419022273213088</v>
      </c>
      <c r="BV31">
        <v>319.63300692320018</v>
      </c>
    </row>
    <row r="32" spans="1:83" x14ac:dyDescent="0.2">
      <c r="A32" s="24" t="s">
        <v>66</v>
      </c>
      <c r="B32" s="15" t="s">
        <v>115</v>
      </c>
      <c r="C32" s="24" t="s">
        <v>80</v>
      </c>
      <c r="D32" s="17" t="s">
        <v>111</v>
      </c>
      <c r="G32">
        <v>23</v>
      </c>
      <c r="H32" s="610">
        <f t="shared" si="0"/>
        <v>12</v>
      </c>
      <c r="I32" s="445" t="str">
        <f t="shared" si="1"/>
        <v>BUCK-BST</v>
      </c>
      <c r="J32">
        <f t="shared" si="43"/>
        <v>3</v>
      </c>
      <c r="K32" s="386">
        <f t="shared" si="44"/>
        <v>0.92</v>
      </c>
      <c r="L32" s="4">
        <f t="shared" si="2"/>
        <v>1.0222222222222221</v>
      </c>
      <c r="M32" s="4">
        <f t="shared" si="56"/>
        <v>0.97406034939121233</v>
      </c>
      <c r="N32" s="386">
        <f t="shared" si="3"/>
        <v>0.94450000000000001</v>
      </c>
      <c r="O32" s="386">
        <f t="shared" si="4"/>
        <v>5.5500000000000028E-2</v>
      </c>
      <c r="P32" s="4">
        <f t="shared" si="5"/>
        <v>0</v>
      </c>
      <c r="Q32" s="4">
        <f t="shared" si="6"/>
        <v>0.97406034939121233</v>
      </c>
      <c r="R32" s="386">
        <f t="shared" si="7"/>
        <v>1.2536635829619473E-2</v>
      </c>
      <c r="S32" s="386">
        <f t="shared" si="45"/>
        <v>0</v>
      </c>
      <c r="T32" s="386">
        <f t="shared" si="46"/>
        <v>1.2536635829619473E-2</v>
      </c>
      <c r="U32" s="4">
        <f t="shared" si="8"/>
        <v>0.22301462158323906</v>
      </c>
      <c r="V32" s="386">
        <f t="shared" si="9"/>
        <v>1.3428590788777135E-3</v>
      </c>
      <c r="W32" s="386">
        <f t="shared" si="47"/>
        <v>1.3428590788777135E-3</v>
      </c>
      <c r="X32" s="4">
        <f t="shared" si="10"/>
        <v>0</v>
      </c>
      <c r="Y32" s="386">
        <f t="shared" si="11"/>
        <v>0</v>
      </c>
      <c r="Z32" s="603">
        <f t="shared" si="48"/>
        <v>0</v>
      </c>
      <c r="AA32" s="386">
        <f t="shared" si="12"/>
        <v>0.94664434791526408</v>
      </c>
      <c r="AB32" s="386">
        <f t="shared" si="13"/>
        <v>8.9613552143991554E-3</v>
      </c>
      <c r="AC32" s="386">
        <f t="shared" si="14"/>
        <v>2.2183985714063086E-2</v>
      </c>
      <c r="AD32" s="386">
        <f t="shared" si="15"/>
        <v>0</v>
      </c>
      <c r="AE32" s="386">
        <f t="shared" si="16"/>
        <v>3.1210228066548447E-2</v>
      </c>
      <c r="AF32" s="386">
        <f t="shared" si="17"/>
        <v>0.22947340328721158</v>
      </c>
      <c r="AG32" s="386">
        <f t="shared" si="18"/>
        <v>5.2658042816215245E-4</v>
      </c>
      <c r="AH32" s="386">
        <f t="shared" si="19"/>
        <v>2.2126E-2</v>
      </c>
      <c r="AI32" s="386">
        <f t="shared" si="20"/>
        <v>2.2655348156362456E-2</v>
      </c>
      <c r="AJ32" s="386">
        <f t="shared" si="21"/>
        <v>0.22947340328721164</v>
      </c>
      <c r="AK32" s="386">
        <f t="shared" si="22"/>
        <v>5.2658042816215278E-4</v>
      </c>
      <c r="AL32" s="386">
        <f t="shared" si="23"/>
        <v>0.10612653575380041</v>
      </c>
      <c r="AM32" s="386">
        <f t="shared" si="24"/>
        <v>0</v>
      </c>
      <c r="AN32" s="386">
        <f t="shared" si="25"/>
        <v>0.1066661472288335</v>
      </c>
      <c r="AO32" s="386">
        <f t="shared" si="49"/>
        <v>0.94664434791526408</v>
      </c>
      <c r="AP32" s="386">
        <f t="shared" si="26"/>
        <v>8.9613552143991554E-3</v>
      </c>
      <c r="AQ32" s="386">
        <f t="shared" si="27"/>
        <v>2.458444444444444E-2</v>
      </c>
      <c r="AR32" s="386">
        <f t="shared" si="28"/>
        <v>3.3615687830550404E-2</v>
      </c>
      <c r="AS32" s="386">
        <f t="shared" si="29"/>
        <v>0</v>
      </c>
      <c r="AT32" s="386">
        <f t="shared" si="30"/>
        <v>0</v>
      </c>
      <c r="AU32" s="386">
        <f t="shared" si="31"/>
        <v>2.7302085400000002E-2</v>
      </c>
      <c r="AV32" s="386">
        <f t="shared" si="32"/>
        <v>1.5797412844864576E-3</v>
      </c>
      <c r="AW32" s="386">
        <f t="shared" si="33"/>
        <v>6.5920000000000006E-2</v>
      </c>
      <c r="AX32" s="386">
        <f t="shared" si="34"/>
        <v>3.6000000000000004E-2</v>
      </c>
      <c r="AY32" s="386">
        <f t="shared" si="35"/>
        <v>0.40226399999999995</v>
      </c>
      <c r="AZ32" s="386">
        <f t="shared" si="36"/>
        <v>0.30415082926829268</v>
      </c>
      <c r="BA32" s="386">
        <f t="shared" si="57"/>
        <v>0.43826399999999999</v>
      </c>
      <c r="BB32" s="386">
        <f t="shared" si="58"/>
        <v>0.74109273287527844</v>
      </c>
      <c r="BC32">
        <f t="shared" si="37"/>
        <v>11.040000000000001</v>
      </c>
      <c r="BD32" s="604">
        <f t="shared" si="51"/>
        <v>0.93709473733219584</v>
      </c>
      <c r="BE32" s="614">
        <f t="shared" si="38"/>
        <v>7.231760368384343</v>
      </c>
      <c r="BF32" s="614">
        <f t="shared" si="39"/>
        <v>2.4722718087279234</v>
      </c>
      <c r="BG32" s="9"/>
      <c r="BH32" s="4">
        <f t="shared" si="52"/>
        <v>93.709473733219582</v>
      </c>
      <c r="BI32" s="386">
        <f t="shared" si="53"/>
        <v>1.2536635829619473E-2</v>
      </c>
      <c r="BJ32" s="386">
        <f t="shared" si="54"/>
        <v>0.22144949668229483</v>
      </c>
      <c r="BK32" s="386">
        <f t="shared" si="40"/>
        <v>0.1246855235928335</v>
      </c>
      <c r="BL32" s="386">
        <f t="shared" si="41"/>
        <v>4.2625376012550405E-2</v>
      </c>
      <c r="BM32" s="386">
        <f t="shared" si="55"/>
        <v>1.5797412844864576E-3</v>
      </c>
      <c r="BR32">
        <v>9.9987290000000009</v>
      </c>
      <c r="BS32">
        <v>0.49059999999999998</v>
      </c>
      <c r="BT32">
        <v>5.1238169999999998</v>
      </c>
      <c r="BU32">
        <v>88.551850267052174</v>
      </c>
      <c r="BV32">
        <v>324.98153184230057</v>
      </c>
    </row>
    <row r="33" spans="1:74" x14ac:dyDescent="0.2">
      <c r="A33" s="22" t="s">
        <v>66</v>
      </c>
      <c r="B33" s="5">
        <f>Deadtime*1000000000</f>
        <v>50</v>
      </c>
      <c r="C33" s="482" t="s">
        <v>79</v>
      </c>
      <c r="D33" s="21" t="s">
        <v>102</v>
      </c>
      <c r="G33">
        <v>24</v>
      </c>
      <c r="H33" s="610">
        <f t="shared" si="0"/>
        <v>12</v>
      </c>
      <c r="I33" s="445" t="str">
        <f t="shared" si="1"/>
        <v>BUCK-BST</v>
      </c>
      <c r="J33">
        <f t="shared" si="43"/>
        <v>3</v>
      </c>
      <c r="K33" s="386">
        <f t="shared" si="44"/>
        <v>0.96</v>
      </c>
      <c r="L33" s="4">
        <f t="shared" si="2"/>
        <v>1.0666666666666667</v>
      </c>
      <c r="M33" s="4">
        <f t="shared" si="56"/>
        <v>1.0164107993647431</v>
      </c>
      <c r="N33" s="386">
        <f t="shared" si="3"/>
        <v>0.94450000000000001</v>
      </c>
      <c r="O33" s="386">
        <f t="shared" si="4"/>
        <v>5.5500000000000028E-2</v>
      </c>
      <c r="P33" s="4">
        <f t="shared" si="5"/>
        <v>0</v>
      </c>
      <c r="Q33" s="4">
        <f t="shared" si="6"/>
        <v>1.0164107993647431</v>
      </c>
      <c r="R33" s="386">
        <f t="shared" si="7"/>
        <v>1.3651693285398487E-2</v>
      </c>
      <c r="S33" s="386">
        <f t="shared" si="45"/>
        <v>0</v>
      </c>
      <c r="T33" s="386">
        <f t="shared" si="46"/>
        <v>1.3651693285398487E-2</v>
      </c>
      <c r="U33" s="4">
        <f t="shared" si="8"/>
        <v>0.2327109094781625</v>
      </c>
      <c r="V33" s="386">
        <f t="shared" si="9"/>
        <v>1.4621679195341456E-3</v>
      </c>
      <c r="W33" s="386">
        <f t="shared" si="47"/>
        <v>1.4621679195341456E-3</v>
      </c>
      <c r="X33" s="4">
        <f t="shared" si="10"/>
        <v>0</v>
      </c>
      <c r="Y33" s="386">
        <f t="shared" si="11"/>
        <v>0</v>
      </c>
      <c r="Z33" s="603">
        <f t="shared" si="48"/>
        <v>0</v>
      </c>
      <c r="AA33" s="386">
        <f t="shared" si="12"/>
        <v>0.9878027978246231</v>
      </c>
      <c r="AB33" s="386">
        <f t="shared" si="13"/>
        <v>9.7575436739015323E-3</v>
      </c>
      <c r="AC33" s="386">
        <f t="shared" si="14"/>
        <v>2.3148506832065829E-2</v>
      </c>
      <c r="AD33" s="386">
        <f t="shared" si="15"/>
        <v>0</v>
      </c>
      <c r="AE33" s="386">
        <f t="shared" si="16"/>
        <v>3.2980710593939228E-2</v>
      </c>
      <c r="AF33" s="386">
        <f t="shared" si="17"/>
        <v>0.23945050777795987</v>
      </c>
      <c r="AG33" s="386">
        <f t="shared" si="18"/>
        <v>5.7336545675122825E-4</v>
      </c>
      <c r="AH33" s="386">
        <f t="shared" si="19"/>
        <v>2.3087999999999997E-2</v>
      </c>
      <c r="AI33" s="386">
        <f t="shared" si="20"/>
        <v>2.3664513328913749E-2</v>
      </c>
      <c r="AJ33" s="386">
        <f t="shared" si="21"/>
        <v>0.23945050777795993</v>
      </c>
      <c r="AK33" s="386">
        <f t="shared" si="22"/>
        <v>5.7336545675122847E-4</v>
      </c>
      <c r="AL33" s="386">
        <f t="shared" si="23"/>
        <v>0.10612653575380041</v>
      </c>
      <c r="AM33" s="386">
        <f t="shared" si="24"/>
        <v>0</v>
      </c>
      <c r="AN33" s="386">
        <f t="shared" si="25"/>
        <v>0.10671409640352891</v>
      </c>
      <c r="AO33" s="386">
        <f t="shared" si="49"/>
        <v>0.9878027978246231</v>
      </c>
      <c r="AP33" s="386">
        <f t="shared" si="26"/>
        <v>9.7575436739015323E-3</v>
      </c>
      <c r="AQ33" s="386">
        <f t="shared" si="27"/>
        <v>2.565333333333333E-2</v>
      </c>
      <c r="AR33" s="386">
        <f t="shared" si="28"/>
        <v>3.54912202617996E-2</v>
      </c>
      <c r="AS33" s="386">
        <f t="shared" si="29"/>
        <v>0</v>
      </c>
      <c r="AT33" s="386">
        <f t="shared" si="30"/>
        <v>0</v>
      </c>
      <c r="AU33" s="386">
        <f t="shared" si="31"/>
        <v>2.7523737600000001E-2</v>
      </c>
      <c r="AV33" s="386">
        <f t="shared" si="32"/>
        <v>1.7200963702536851E-3</v>
      </c>
      <c r="AW33" s="386">
        <f t="shared" si="33"/>
        <v>6.5920000000000006E-2</v>
      </c>
      <c r="AX33" s="386">
        <f t="shared" si="34"/>
        <v>3.6000000000000004E-2</v>
      </c>
      <c r="AY33" s="386">
        <f t="shared" si="35"/>
        <v>0.40226399999999995</v>
      </c>
      <c r="AZ33" s="386">
        <f t="shared" si="36"/>
        <v>0.30415082926829268</v>
      </c>
      <c r="BA33" s="386">
        <f t="shared" si="57"/>
        <v>0.43826399999999999</v>
      </c>
      <c r="BB33" s="386">
        <f t="shared" si="58"/>
        <v>0.74739223576336777</v>
      </c>
      <c r="BC33">
        <f t="shared" si="37"/>
        <v>11.52</v>
      </c>
      <c r="BD33" s="604">
        <f t="shared" si="51"/>
        <v>0.93907488882727008</v>
      </c>
      <c r="BE33" s="614">
        <f t="shared" si="38"/>
        <v>7.2430262667326772</v>
      </c>
      <c r="BF33" s="614">
        <f t="shared" si="39"/>
        <v>2.5852951128483768</v>
      </c>
      <c r="BG33" s="9"/>
      <c r="BH33" s="4">
        <f t="shared" si="52"/>
        <v>93.907488882727009</v>
      </c>
      <c r="BI33" s="386">
        <f t="shared" si="53"/>
        <v>1.3651693285398487E-2</v>
      </c>
      <c r="BJ33" s="386">
        <f t="shared" si="54"/>
        <v>0.22637427818818151</v>
      </c>
      <c r="BK33" s="386">
        <f t="shared" si="40"/>
        <v>0.12487976321952891</v>
      </c>
      <c r="BL33" s="386">
        <f t="shared" si="41"/>
        <v>4.45740536697996E-2</v>
      </c>
      <c r="BM33" s="386">
        <f t="shared" si="55"/>
        <v>1.7200963702536851E-3</v>
      </c>
      <c r="BR33">
        <v>9.9986420000000003</v>
      </c>
      <c r="BS33">
        <v>0.64549999999999996</v>
      </c>
      <c r="BT33">
        <v>5.1237300000000001</v>
      </c>
      <c r="BU33">
        <v>90.41893857119905</v>
      </c>
      <c r="BV33">
        <v>350.45848473660021</v>
      </c>
    </row>
    <row r="34" spans="1:74" x14ac:dyDescent="0.2">
      <c r="A34" s="24" t="s">
        <v>56</v>
      </c>
      <c r="B34" s="15" t="s">
        <v>115</v>
      </c>
      <c r="C34" s="24" t="s">
        <v>80</v>
      </c>
      <c r="D34" s="17" t="s">
        <v>111</v>
      </c>
      <c r="G34">
        <v>25</v>
      </c>
      <c r="H34" s="610">
        <f t="shared" si="0"/>
        <v>12</v>
      </c>
      <c r="I34" s="4" t="str">
        <f t="shared" si="1"/>
        <v>BUCK-BST</v>
      </c>
      <c r="J34">
        <f t="shared" si="43"/>
        <v>3</v>
      </c>
      <c r="K34" s="386">
        <f t="shared" si="44"/>
        <v>1</v>
      </c>
      <c r="L34" s="4">
        <f t="shared" si="2"/>
        <v>1.1111111111111109</v>
      </c>
      <c r="M34" s="4">
        <f t="shared" si="56"/>
        <v>1.0587612493382743</v>
      </c>
      <c r="N34" s="386">
        <f t="shared" si="3"/>
        <v>0.94450000000000001</v>
      </c>
      <c r="O34" s="386">
        <f t="shared" si="4"/>
        <v>5.5500000000000028E-2</v>
      </c>
      <c r="P34" s="4">
        <f t="shared" si="5"/>
        <v>0</v>
      </c>
      <c r="Q34" s="4">
        <f t="shared" si="6"/>
        <v>1.0587612493382743</v>
      </c>
      <c r="R34" s="386">
        <f t="shared" si="7"/>
        <v>1.4814411616743317E-2</v>
      </c>
      <c r="S34" s="386">
        <f t="shared" si="45"/>
        <v>0</v>
      </c>
      <c r="T34" s="386">
        <f t="shared" si="46"/>
        <v>1.4814411616743317E-2</v>
      </c>
      <c r="U34" s="4">
        <f t="shared" si="8"/>
        <v>0.24240719737308594</v>
      </c>
      <c r="V34" s="386">
        <f t="shared" si="9"/>
        <v>1.5865537321334046E-3</v>
      </c>
      <c r="W34" s="386">
        <f t="shared" si="47"/>
        <v>1.5865537321334046E-3</v>
      </c>
      <c r="X34" s="4">
        <f t="shared" si="10"/>
        <v>0</v>
      </c>
      <c r="Y34" s="386">
        <f t="shared" si="11"/>
        <v>0</v>
      </c>
      <c r="Z34" s="603">
        <f t="shared" si="48"/>
        <v>0</v>
      </c>
      <c r="AA34" s="386">
        <f t="shared" si="12"/>
        <v>1.0289612477339827</v>
      </c>
      <c r="AB34" s="386">
        <f t="shared" si="13"/>
        <v>1.0587612493382746E-2</v>
      </c>
      <c r="AC34" s="386">
        <f t="shared" si="14"/>
        <v>2.4113027950068571E-2</v>
      </c>
      <c r="AD34" s="386">
        <f t="shared" si="15"/>
        <v>0</v>
      </c>
      <c r="AE34" s="386">
        <f t="shared" si="16"/>
        <v>3.4786086415376859E-2</v>
      </c>
      <c r="AF34" s="386">
        <f t="shared" si="17"/>
        <v>0.24942761226870824</v>
      </c>
      <c r="AG34" s="386">
        <f t="shared" si="18"/>
        <v>6.2214133762069051E-4</v>
      </c>
      <c r="AH34" s="386">
        <f t="shared" si="19"/>
        <v>2.4049999999999998E-2</v>
      </c>
      <c r="AI34" s="386">
        <f t="shared" si="20"/>
        <v>2.4675702949383489E-2</v>
      </c>
      <c r="AJ34" s="386">
        <f t="shared" si="21"/>
        <v>0.2494276122687083</v>
      </c>
      <c r="AK34" s="386">
        <f t="shared" si="22"/>
        <v>6.2214133762069084E-4</v>
      </c>
      <c r="AL34" s="386">
        <f t="shared" si="23"/>
        <v>0.10612653575380041</v>
      </c>
      <c r="AM34" s="386">
        <f t="shared" si="24"/>
        <v>0</v>
      </c>
      <c r="AN34" s="386">
        <f t="shared" si="25"/>
        <v>0.10676408707707209</v>
      </c>
      <c r="AO34" s="386">
        <f t="shared" si="49"/>
        <v>1.0289612477339827</v>
      </c>
      <c r="AP34" s="386">
        <f t="shared" si="26"/>
        <v>1.0587612493382746E-2</v>
      </c>
      <c r="AQ34" s="386">
        <f t="shared" si="27"/>
        <v>2.6722222222222217E-2</v>
      </c>
      <c r="AR34" s="386">
        <f t="shared" si="28"/>
        <v>3.7401705500954049E-2</v>
      </c>
      <c r="AS34" s="386">
        <f t="shared" si="29"/>
        <v>0</v>
      </c>
      <c r="AT34" s="386">
        <f t="shared" si="30"/>
        <v>0</v>
      </c>
      <c r="AU34" s="386">
        <f t="shared" si="31"/>
        <v>2.7745375000000003E-2</v>
      </c>
      <c r="AV34" s="386">
        <f t="shared" si="32"/>
        <v>1.8664240128620719E-3</v>
      </c>
      <c r="AW34" s="386">
        <f t="shared" si="33"/>
        <v>6.5920000000000006E-2</v>
      </c>
      <c r="AX34" s="386">
        <f t="shared" si="34"/>
        <v>3.6000000000000004E-2</v>
      </c>
      <c r="AY34" s="386">
        <f t="shared" si="35"/>
        <v>0.40226399999999995</v>
      </c>
      <c r="AZ34" s="386">
        <f t="shared" si="36"/>
        <v>0.30415082926829268</v>
      </c>
      <c r="BA34" s="386">
        <f t="shared" si="57"/>
        <v>0.43826399999999999</v>
      </c>
      <c r="BB34" s="386">
        <f t="shared" si="58"/>
        <v>0.75382434630452533</v>
      </c>
      <c r="BC34">
        <f t="shared" si="37"/>
        <v>12</v>
      </c>
      <c r="BD34" s="604">
        <f t="shared" si="51"/>
        <v>0.94089425055293707</v>
      </c>
      <c r="BE34" s="614">
        <f t="shared" si="38"/>
        <v>7.2544100054701808</v>
      </c>
      <c r="BF34" s="614">
        <f t="shared" si="39"/>
        <v>2.7003453965553352</v>
      </c>
      <c r="BG34" s="9"/>
      <c r="BH34" s="4">
        <f t="shared" si="52"/>
        <v>94.089425055293702</v>
      </c>
      <c r="BI34" s="386">
        <f t="shared" si="53"/>
        <v>1.4814411616743317E-2</v>
      </c>
      <c r="BJ34" s="386">
        <f t="shared" si="54"/>
        <v>0.23137295694278653</v>
      </c>
      <c r="BK34" s="386">
        <f t="shared" si="40"/>
        <v>0.12507603457707209</v>
      </c>
      <c r="BL34" s="386">
        <f t="shared" si="41"/>
        <v>4.6557679250954054E-2</v>
      </c>
      <c r="BM34" s="386">
        <f t="shared" si="55"/>
        <v>1.8664240128620719E-3</v>
      </c>
      <c r="BR34">
        <v>9.9986049999999995</v>
      </c>
      <c r="BS34">
        <v>0.83240000000000003</v>
      </c>
      <c r="BT34">
        <v>5.1231559999999998</v>
      </c>
      <c r="BU34">
        <v>91.678946361105133</v>
      </c>
      <c r="BV34">
        <v>387.05996035199956</v>
      </c>
    </row>
    <row r="35" spans="1:74" x14ac:dyDescent="0.2">
      <c r="A35" s="22" t="s">
        <v>158</v>
      </c>
      <c r="B35" s="5">
        <f>Iq*1000</f>
        <v>3</v>
      </c>
      <c r="C35" s="482" t="s">
        <v>68</v>
      </c>
      <c r="D35" s="21" t="s">
        <v>161</v>
      </c>
      <c r="G35">
        <v>26</v>
      </c>
      <c r="H35" s="610">
        <f t="shared" si="0"/>
        <v>12</v>
      </c>
      <c r="I35" s="4" t="str">
        <f t="shared" si="1"/>
        <v>BUCK-BST</v>
      </c>
      <c r="J35">
        <f t="shared" si="43"/>
        <v>3</v>
      </c>
      <c r="K35" s="386">
        <f t="shared" si="44"/>
        <v>1.04</v>
      </c>
      <c r="L35" s="4">
        <f t="shared" si="2"/>
        <v>1.1555555555555554</v>
      </c>
      <c r="M35" s="4">
        <f t="shared" si="56"/>
        <v>1.1011116993118053</v>
      </c>
      <c r="N35" s="386">
        <f t="shared" si="3"/>
        <v>0.94450000000000001</v>
      </c>
      <c r="O35" s="386">
        <f t="shared" si="4"/>
        <v>5.5500000000000028E-2</v>
      </c>
      <c r="P35" s="4">
        <f t="shared" si="5"/>
        <v>0</v>
      </c>
      <c r="Q35" s="4">
        <f t="shared" si="6"/>
        <v>1.1011116993118053</v>
      </c>
      <c r="R35" s="386">
        <f t="shared" si="7"/>
        <v>1.6024817340381359E-2</v>
      </c>
      <c r="S35" s="386">
        <f t="shared" si="45"/>
        <v>0</v>
      </c>
      <c r="T35" s="386">
        <f t="shared" si="46"/>
        <v>1.6024817340381359E-2</v>
      </c>
      <c r="U35" s="4">
        <f t="shared" si="8"/>
        <v>0.25210348526800941</v>
      </c>
      <c r="V35" s="386">
        <f t="shared" si="9"/>
        <v>1.7160165166754907E-3</v>
      </c>
      <c r="W35" s="386">
        <f t="shared" si="47"/>
        <v>1.7160165166754907E-3</v>
      </c>
      <c r="X35" s="4">
        <f t="shared" si="10"/>
        <v>0</v>
      </c>
      <c r="Y35" s="386">
        <f t="shared" si="11"/>
        <v>0</v>
      </c>
      <c r="Z35" s="603">
        <f t="shared" si="48"/>
        <v>0</v>
      </c>
      <c r="AA35" s="386">
        <f t="shared" si="12"/>
        <v>1.070119697643342</v>
      </c>
      <c r="AB35" s="386">
        <f t="shared" si="13"/>
        <v>1.1451561672842779E-2</v>
      </c>
      <c r="AC35" s="386">
        <f t="shared" si="14"/>
        <v>2.5077549068071314E-2</v>
      </c>
      <c r="AD35" s="386">
        <f t="shared" si="15"/>
        <v>0</v>
      </c>
      <c r="AE35" s="386">
        <f t="shared" si="16"/>
        <v>3.6626418428876609E-2</v>
      </c>
      <c r="AF35" s="386">
        <f t="shared" si="17"/>
        <v>0.25940471675945659</v>
      </c>
      <c r="AG35" s="386">
        <f t="shared" si="18"/>
        <v>6.7290807077053901E-4</v>
      </c>
      <c r="AH35" s="386">
        <f t="shared" si="19"/>
        <v>2.5012E-2</v>
      </c>
      <c r="AI35" s="386">
        <f t="shared" si="20"/>
        <v>2.5688918487865062E-2</v>
      </c>
      <c r="AJ35" s="386">
        <f t="shared" si="21"/>
        <v>0.25940471675945664</v>
      </c>
      <c r="AK35" s="386">
        <f t="shared" si="22"/>
        <v>6.7290807077053933E-4</v>
      </c>
      <c r="AL35" s="386">
        <f t="shared" si="23"/>
        <v>0.10612653575380041</v>
      </c>
      <c r="AM35" s="386">
        <f t="shared" si="24"/>
        <v>0</v>
      </c>
      <c r="AN35" s="386">
        <f t="shared" si="25"/>
        <v>0.10681611938805825</v>
      </c>
      <c r="AO35" s="386">
        <f t="shared" si="49"/>
        <v>1.070119697643342</v>
      </c>
      <c r="AP35" s="386">
        <f t="shared" si="26"/>
        <v>1.1451561672842779E-2</v>
      </c>
      <c r="AQ35" s="386">
        <f t="shared" si="27"/>
        <v>2.7791111111111107E-2</v>
      </c>
      <c r="AR35" s="386">
        <f t="shared" si="28"/>
        <v>3.9347208965662774E-2</v>
      </c>
      <c r="AS35" s="386">
        <f t="shared" si="29"/>
        <v>0</v>
      </c>
      <c r="AT35" s="386">
        <f t="shared" si="30"/>
        <v>0</v>
      </c>
      <c r="AU35" s="386">
        <f t="shared" si="31"/>
        <v>2.7966997600000001E-2</v>
      </c>
      <c r="AV35" s="386">
        <f t="shared" si="32"/>
        <v>2.0187242123116175E-3</v>
      </c>
      <c r="AW35" s="386">
        <f t="shared" si="33"/>
        <v>6.5920000000000006E-2</v>
      </c>
      <c r="AX35" s="386">
        <f t="shared" si="34"/>
        <v>3.6000000000000004E-2</v>
      </c>
      <c r="AY35" s="386">
        <f t="shared" si="35"/>
        <v>0.40226399999999995</v>
      </c>
      <c r="AZ35" s="386">
        <f t="shared" si="36"/>
        <v>0.30415082926829268</v>
      </c>
      <c r="BA35" s="386">
        <f t="shared" si="57"/>
        <v>0.43826399999999999</v>
      </c>
      <c r="BB35" s="386">
        <f t="shared" si="58"/>
        <v>0.76038922093983119</v>
      </c>
      <c r="BC35">
        <f t="shared" si="37"/>
        <v>12.48</v>
      </c>
      <c r="BD35" s="604">
        <f t="shared" si="51"/>
        <v>0.94257047823509088</v>
      </c>
      <c r="BE35" s="614">
        <f t="shared" si="38"/>
        <v>7.2659115926353781</v>
      </c>
      <c r="BF35" s="614">
        <f t="shared" si="39"/>
        <v>2.8174264540724407</v>
      </c>
      <c r="BG35" s="9"/>
      <c r="BH35" s="4">
        <f t="shared" si="52"/>
        <v>94.257047823509083</v>
      </c>
      <c r="BI35" s="386">
        <f t="shared" si="53"/>
        <v>1.6024817340381359E-2</v>
      </c>
      <c r="BJ35" s="386">
        <f t="shared" si="54"/>
        <v>0.2364456628704627</v>
      </c>
      <c r="BK35" s="386">
        <f t="shared" si="40"/>
        <v>0.12527433780405825</v>
      </c>
      <c r="BL35" s="386">
        <f t="shared" si="41"/>
        <v>4.8576318173662772E-2</v>
      </c>
      <c r="BM35" s="386">
        <f t="shared" si="55"/>
        <v>2.0187242123116175E-3</v>
      </c>
      <c r="BR35">
        <v>9.9986049999999995</v>
      </c>
      <c r="BS35">
        <v>1.0528999999999999</v>
      </c>
      <c r="BT35">
        <v>5.1218219999999999</v>
      </c>
      <c r="BU35">
        <v>92.889938966292178</v>
      </c>
      <c r="BV35">
        <v>412.77762981700039</v>
      </c>
    </row>
    <row r="36" spans="1:74" x14ac:dyDescent="0.2">
      <c r="A36" s="24" t="s">
        <v>766</v>
      </c>
      <c r="B36" s="15" t="s">
        <v>115</v>
      </c>
      <c r="C36" s="24" t="s">
        <v>80</v>
      </c>
      <c r="D36" s="17" t="s">
        <v>111</v>
      </c>
      <c r="G36">
        <v>27</v>
      </c>
      <c r="H36" s="610">
        <f t="shared" si="0"/>
        <v>12</v>
      </c>
      <c r="I36" s="4" t="str">
        <f t="shared" si="1"/>
        <v>BUCK-BST</v>
      </c>
      <c r="J36">
        <f t="shared" si="43"/>
        <v>3</v>
      </c>
      <c r="K36" s="386">
        <f t="shared" si="44"/>
        <v>1.08</v>
      </c>
      <c r="L36" s="4">
        <f t="shared" si="2"/>
        <v>1.2</v>
      </c>
      <c r="M36" s="4">
        <f t="shared" si="56"/>
        <v>1.1434621492853363</v>
      </c>
      <c r="N36" s="386">
        <f t="shared" si="3"/>
        <v>0.94450000000000001</v>
      </c>
      <c r="O36" s="386">
        <f t="shared" si="4"/>
        <v>5.5500000000000028E-2</v>
      </c>
      <c r="P36" s="4">
        <f t="shared" si="5"/>
        <v>0</v>
      </c>
      <c r="Q36" s="4">
        <f t="shared" si="6"/>
        <v>1.1434621492853363</v>
      </c>
      <c r="R36" s="386">
        <f t="shared" si="7"/>
        <v>1.7282938068436057E-2</v>
      </c>
      <c r="S36" s="386">
        <f t="shared" si="45"/>
        <v>0</v>
      </c>
      <c r="T36" s="386">
        <f t="shared" si="46"/>
        <v>1.7282938068436057E-2</v>
      </c>
      <c r="U36" s="4">
        <f t="shared" si="8"/>
        <v>0.26179977316293285</v>
      </c>
      <c r="V36" s="386">
        <f t="shared" si="9"/>
        <v>1.8505562731604035E-3</v>
      </c>
      <c r="W36" s="386">
        <f t="shared" si="47"/>
        <v>1.8505562731604035E-3</v>
      </c>
      <c r="X36" s="4">
        <f t="shared" si="10"/>
        <v>0</v>
      </c>
      <c r="Y36" s="386">
        <f t="shared" si="11"/>
        <v>0</v>
      </c>
      <c r="Z36" s="603">
        <f t="shared" si="48"/>
        <v>0</v>
      </c>
      <c r="AA36" s="386">
        <f t="shared" si="12"/>
        <v>1.1112781475527014</v>
      </c>
      <c r="AB36" s="386">
        <f t="shared" si="13"/>
        <v>1.2349391212281636E-2</v>
      </c>
      <c r="AC36" s="386">
        <f t="shared" si="14"/>
        <v>2.6042070186074056E-2</v>
      </c>
      <c r="AD36" s="386">
        <f t="shared" si="15"/>
        <v>0</v>
      </c>
      <c r="AE36" s="386">
        <f t="shared" si="16"/>
        <v>3.8501771235357168E-2</v>
      </c>
      <c r="AF36" s="386">
        <f t="shared" si="17"/>
        <v>0.26938182125020493</v>
      </c>
      <c r="AG36" s="386">
        <f t="shared" si="18"/>
        <v>7.2566565620077364E-4</v>
      </c>
      <c r="AH36" s="386">
        <f t="shared" si="19"/>
        <v>2.5974000000000001E-2</v>
      </c>
      <c r="AI36" s="386">
        <f t="shared" si="20"/>
        <v>2.670416142013507E-2</v>
      </c>
      <c r="AJ36" s="386">
        <f t="shared" si="21"/>
        <v>0.26938182125020499</v>
      </c>
      <c r="AK36" s="386">
        <f t="shared" si="22"/>
        <v>7.2566565620077396E-4</v>
      </c>
      <c r="AL36" s="386">
        <f t="shared" si="23"/>
        <v>0.10612653575380041</v>
      </c>
      <c r="AM36" s="386">
        <f t="shared" si="24"/>
        <v>0</v>
      </c>
      <c r="AN36" s="386">
        <f t="shared" si="25"/>
        <v>0.10687019348074786</v>
      </c>
      <c r="AO36" s="386">
        <f t="shared" si="49"/>
        <v>1.1112781475527014</v>
      </c>
      <c r="AP36" s="386">
        <f t="shared" si="26"/>
        <v>1.2349391212281636E-2</v>
      </c>
      <c r="AQ36" s="386">
        <f t="shared" si="27"/>
        <v>2.8859999999999997E-2</v>
      </c>
      <c r="AR36" s="386">
        <f t="shared" si="28"/>
        <v>4.1327797781398369E-2</v>
      </c>
      <c r="AS36" s="386">
        <f t="shared" si="29"/>
        <v>0</v>
      </c>
      <c r="AT36" s="386">
        <f t="shared" si="30"/>
        <v>0</v>
      </c>
      <c r="AU36" s="386">
        <f t="shared" si="31"/>
        <v>2.8188605400000004E-2</v>
      </c>
      <c r="AV36" s="386">
        <f t="shared" si="32"/>
        <v>2.1769969686023212E-3</v>
      </c>
      <c r="AW36" s="386">
        <f t="shared" si="33"/>
        <v>6.5920000000000006E-2</v>
      </c>
      <c r="AX36" s="386">
        <f t="shared" si="34"/>
        <v>3.6000000000000004E-2</v>
      </c>
      <c r="AY36" s="386">
        <f t="shared" si="35"/>
        <v>0.40226399999999995</v>
      </c>
      <c r="AZ36" s="386">
        <f t="shared" si="36"/>
        <v>0.30415082926829268</v>
      </c>
      <c r="BA36" s="386">
        <f t="shared" si="57"/>
        <v>0.43826399999999999</v>
      </c>
      <c r="BB36" s="386">
        <f t="shared" si="58"/>
        <v>0.76708702062783718</v>
      </c>
      <c r="BC36">
        <f t="shared" si="37"/>
        <v>12.96</v>
      </c>
      <c r="BD36" s="604">
        <f t="shared" si="51"/>
        <v>0.9441187325850614</v>
      </c>
      <c r="BE36" s="614">
        <f t="shared" si="38"/>
        <v>7.2775310365953754</v>
      </c>
      <c r="BF36" s="614">
        <f t="shared" si="39"/>
        <v>2.9365421786771058</v>
      </c>
      <c r="BG36" s="9"/>
      <c r="BH36" s="4">
        <f t="shared" si="52"/>
        <v>94.411873258506134</v>
      </c>
      <c r="BI36" s="386">
        <f t="shared" si="53"/>
        <v>1.7282938068436057E-2</v>
      </c>
      <c r="BJ36" s="386">
        <f t="shared" si="54"/>
        <v>0.24159252931763847</v>
      </c>
      <c r="BK36" s="386">
        <f t="shared" si="40"/>
        <v>0.12547467304474785</v>
      </c>
      <c r="BL36" s="386">
        <f t="shared" si="41"/>
        <v>5.0630037563398372E-2</v>
      </c>
      <c r="BM36" s="386">
        <f t="shared" si="55"/>
        <v>2.1769969686023212E-3</v>
      </c>
      <c r="BR36">
        <v>9.9986669999999993</v>
      </c>
      <c r="BS36">
        <v>1.3092999999999999</v>
      </c>
      <c r="BT36">
        <v>5.1195649999999997</v>
      </c>
      <c r="BU36">
        <v>93.690364214923264</v>
      </c>
      <c r="BV36">
        <v>451.42072788069993</v>
      </c>
    </row>
    <row r="37" spans="1:74" x14ac:dyDescent="0.2">
      <c r="A37" s="23" t="s">
        <v>75</v>
      </c>
      <c r="B37" s="5">
        <f>Rdson1*1000</f>
        <v>10</v>
      </c>
      <c r="C37" s="484" t="s">
        <v>674</v>
      </c>
      <c r="D37" s="482" t="s">
        <v>769</v>
      </c>
      <c r="G37">
        <v>28</v>
      </c>
      <c r="H37" s="610">
        <f t="shared" si="0"/>
        <v>12</v>
      </c>
      <c r="I37" s="4" t="str">
        <f t="shared" si="1"/>
        <v>BUCK-BST</v>
      </c>
      <c r="J37">
        <f t="shared" si="43"/>
        <v>3</v>
      </c>
      <c r="K37" s="386">
        <f t="shared" si="44"/>
        <v>1.1200000000000001</v>
      </c>
      <c r="L37" s="4">
        <f t="shared" si="2"/>
        <v>1.2444444444444445</v>
      </c>
      <c r="M37" s="4">
        <f t="shared" si="56"/>
        <v>1.1858125992588673</v>
      </c>
      <c r="N37" s="386">
        <f t="shared" si="3"/>
        <v>0.94450000000000001</v>
      </c>
      <c r="O37" s="386">
        <f t="shared" si="4"/>
        <v>5.5500000000000028E-2</v>
      </c>
      <c r="P37" s="4">
        <f t="shared" si="5"/>
        <v>0</v>
      </c>
      <c r="Q37" s="4">
        <f t="shared" si="6"/>
        <v>1.1858125992588673</v>
      </c>
      <c r="R37" s="386">
        <f t="shared" si="7"/>
        <v>1.8588802510004221E-2</v>
      </c>
      <c r="S37" s="386">
        <f t="shared" si="45"/>
        <v>0</v>
      </c>
      <c r="T37" s="386">
        <f t="shared" si="46"/>
        <v>1.8588802510004221E-2</v>
      </c>
      <c r="U37" s="4">
        <f t="shared" si="8"/>
        <v>0.27149606105785629</v>
      </c>
      <c r="V37" s="386">
        <f t="shared" si="9"/>
        <v>1.9901730015881433E-3</v>
      </c>
      <c r="W37" s="386">
        <f t="shared" si="47"/>
        <v>1.9901730015881433E-3</v>
      </c>
      <c r="X37" s="4">
        <f t="shared" si="10"/>
        <v>0</v>
      </c>
      <c r="Y37" s="386">
        <f t="shared" si="11"/>
        <v>0</v>
      </c>
      <c r="Z37" s="603">
        <f t="shared" si="48"/>
        <v>0</v>
      </c>
      <c r="AA37" s="386">
        <f t="shared" si="12"/>
        <v>1.1524365974620607</v>
      </c>
      <c r="AB37" s="386">
        <f t="shared" si="13"/>
        <v>1.3281101111699318E-2</v>
      </c>
      <c r="AC37" s="386">
        <f t="shared" si="14"/>
        <v>2.7006591304076805E-2</v>
      </c>
      <c r="AD37" s="386">
        <f t="shared" si="15"/>
        <v>0</v>
      </c>
      <c r="AE37" s="386">
        <f t="shared" si="16"/>
        <v>4.0412211145445964E-2</v>
      </c>
      <c r="AF37" s="386">
        <f t="shared" si="17"/>
        <v>0.27935892574095328</v>
      </c>
      <c r="AG37" s="386">
        <f t="shared" si="18"/>
        <v>7.804140939113945E-4</v>
      </c>
      <c r="AH37" s="386">
        <f t="shared" si="19"/>
        <v>2.6936000000000002E-2</v>
      </c>
      <c r="AI37" s="386">
        <f t="shared" si="20"/>
        <v>2.7721433227660474E-2</v>
      </c>
      <c r="AJ37" s="386">
        <f t="shared" si="21"/>
        <v>0.27935892574095333</v>
      </c>
      <c r="AK37" s="386">
        <f t="shared" si="22"/>
        <v>7.8041409391139472E-4</v>
      </c>
      <c r="AL37" s="386">
        <f t="shared" si="23"/>
        <v>0.10612653575380041</v>
      </c>
      <c r="AM37" s="386">
        <f t="shared" si="24"/>
        <v>0</v>
      </c>
      <c r="AN37" s="386">
        <f t="shared" si="25"/>
        <v>0.10692630950506767</v>
      </c>
      <c r="AO37" s="386">
        <f t="shared" si="49"/>
        <v>1.1524365974620607</v>
      </c>
      <c r="AP37" s="386">
        <f t="shared" si="26"/>
        <v>1.3281101111699318E-2</v>
      </c>
      <c r="AQ37" s="386">
        <f t="shared" si="27"/>
        <v>2.9928888888888887E-2</v>
      </c>
      <c r="AR37" s="386">
        <f t="shared" si="28"/>
        <v>4.3343540788466368E-2</v>
      </c>
      <c r="AS37" s="386">
        <f t="shared" si="29"/>
        <v>0</v>
      </c>
      <c r="AT37" s="386">
        <f t="shared" si="30"/>
        <v>0</v>
      </c>
      <c r="AU37" s="386">
        <f t="shared" si="31"/>
        <v>2.8410198400000003E-2</v>
      </c>
      <c r="AV37" s="386">
        <f t="shared" si="32"/>
        <v>2.3412422817341836E-3</v>
      </c>
      <c r="AW37" s="386">
        <f t="shared" si="33"/>
        <v>6.5920000000000006E-2</v>
      </c>
      <c r="AX37" s="386">
        <f t="shared" si="34"/>
        <v>3.6000000000000004E-2</v>
      </c>
      <c r="AY37" s="386">
        <f t="shared" si="35"/>
        <v>0.40226399999999995</v>
      </c>
      <c r="AZ37" s="386">
        <f t="shared" si="36"/>
        <v>0.30415082926829268</v>
      </c>
      <c r="BA37" s="386">
        <f t="shared" si="57"/>
        <v>0.43826399999999999</v>
      </c>
      <c r="BB37" s="386">
        <f t="shared" si="58"/>
        <v>0.77391791085996697</v>
      </c>
      <c r="BC37">
        <f t="shared" si="37"/>
        <v>13.440000000000001</v>
      </c>
      <c r="BD37" s="604">
        <f t="shared" si="51"/>
        <v>0.94555210493591879</v>
      </c>
      <c r="BE37" s="614">
        <f t="shared" si="38"/>
        <v>7.2892683460459242</v>
      </c>
      <c r="BF37" s="614">
        <f t="shared" si="39"/>
        <v>3.0576965631070494</v>
      </c>
      <c r="BG37" s="9"/>
      <c r="BH37" s="4">
        <f t="shared" si="52"/>
        <v>94.555210493591886</v>
      </c>
      <c r="BI37" s="386">
        <f t="shared" si="53"/>
        <v>1.8588802510004221E-2</v>
      </c>
      <c r="BJ37" s="386">
        <f t="shared" si="54"/>
        <v>0.24681369306664047</v>
      </c>
      <c r="BK37" s="386">
        <f t="shared" si="40"/>
        <v>0.12567704044906766</v>
      </c>
      <c r="BL37" s="386">
        <f t="shared" si="41"/>
        <v>5.2718906260466367E-2</v>
      </c>
      <c r="BM37" s="386">
        <f t="shared" si="55"/>
        <v>2.3412422817341836E-3</v>
      </c>
      <c r="BR37">
        <v>9.9985429999999997</v>
      </c>
      <c r="BS37">
        <v>1.6020000000000001</v>
      </c>
      <c r="BT37">
        <v>5.1182809999999996</v>
      </c>
      <c r="BU37">
        <v>93.864473327748414</v>
      </c>
      <c r="BV37">
        <v>535.96589716749952</v>
      </c>
    </row>
    <row r="38" spans="1:74" x14ac:dyDescent="0.2">
      <c r="A38" s="22" t="s">
        <v>83</v>
      </c>
      <c r="B38" s="5">
        <f>RdsonTopTc*1000000</f>
        <v>4000</v>
      </c>
      <c r="C38" s="482" t="s">
        <v>85</v>
      </c>
      <c r="D38" s="21" t="s">
        <v>113</v>
      </c>
      <c r="G38">
        <v>29</v>
      </c>
      <c r="H38" s="610">
        <f t="shared" si="0"/>
        <v>12</v>
      </c>
      <c r="I38" s="4" t="str">
        <f t="shared" si="1"/>
        <v>BUCK-BST</v>
      </c>
      <c r="J38">
        <f t="shared" si="43"/>
        <v>3</v>
      </c>
      <c r="K38" s="386">
        <f t="shared" si="44"/>
        <v>1.1599999999999999</v>
      </c>
      <c r="L38" s="4">
        <f t="shared" si="2"/>
        <v>1.2888888888888885</v>
      </c>
      <c r="M38" s="4">
        <f t="shared" si="56"/>
        <v>1.2281630492323981</v>
      </c>
      <c r="N38" s="386">
        <f t="shared" si="3"/>
        <v>0.94450000000000001</v>
      </c>
      <c r="O38" s="386">
        <f t="shared" si="4"/>
        <v>5.5500000000000028E-2</v>
      </c>
      <c r="P38" s="4">
        <f t="shared" si="5"/>
        <v>0</v>
      </c>
      <c r="Q38" s="4">
        <f t="shared" si="6"/>
        <v>1.2281630492323981</v>
      </c>
      <c r="R38" s="386">
        <f t="shared" si="7"/>
        <v>1.9942440472796707E-2</v>
      </c>
      <c r="S38" s="386">
        <f t="shared" si="45"/>
        <v>0</v>
      </c>
      <c r="T38" s="386">
        <f t="shared" si="46"/>
        <v>1.9942440472796707E-2</v>
      </c>
      <c r="U38" s="4">
        <f t="shared" si="8"/>
        <v>0.28119234895277967</v>
      </c>
      <c r="V38" s="386">
        <f t="shared" si="9"/>
        <v>2.1348667019587091E-3</v>
      </c>
      <c r="W38" s="386">
        <f t="shared" si="47"/>
        <v>2.1348667019587091E-3</v>
      </c>
      <c r="X38" s="4">
        <f t="shared" si="10"/>
        <v>0</v>
      </c>
      <c r="Y38" s="386">
        <f t="shared" si="11"/>
        <v>0</v>
      </c>
      <c r="Z38" s="603">
        <f t="shared" si="48"/>
        <v>0</v>
      </c>
      <c r="AA38" s="386">
        <f t="shared" si="12"/>
        <v>1.1935950473714199</v>
      </c>
      <c r="AB38" s="386">
        <f t="shared" si="13"/>
        <v>1.4246691371095821E-2</v>
      </c>
      <c r="AC38" s="386">
        <f t="shared" si="14"/>
        <v>2.7971112422079537E-2</v>
      </c>
      <c r="AD38" s="386">
        <f t="shared" si="15"/>
        <v>0</v>
      </c>
      <c r="AE38" s="386">
        <f t="shared" si="16"/>
        <v>4.2357806186495157E-2</v>
      </c>
      <c r="AF38" s="386">
        <f t="shared" si="17"/>
        <v>0.28933603023170151</v>
      </c>
      <c r="AG38" s="386">
        <f t="shared" si="18"/>
        <v>8.3715338390240096E-4</v>
      </c>
      <c r="AH38" s="386">
        <f t="shared" si="19"/>
        <v>2.7897999999999996E-2</v>
      </c>
      <c r="AI38" s="386">
        <f t="shared" si="20"/>
        <v>2.8740735397605792E-2</v>
      </c>
      <c r="AJ38" s="386">
        <f t="shared" si="21"/>
        <v>0.28933603023170162</v>
      </c>
      <c r="AK38" s="386">
        <f t="shared" si="22"/>
        <v>8.3715338390240161E-4</v>
      </c>
      <c r="AL38" s="386">
        <f t="shared" si="23"/>
        <v>0.10612653575380041</v>
      </c>
      <c r="AM38" s="386">
        <f t="shared" si="24"/>
        <v>0</v>
      </c>
      <c r="AN38" s="386">
        <f t="shared" si="25"/>
        <v>0.10698446761661175</v>
      </c>
      <c r="AO38" s="386">
        <f t="shared" si="49"/>
        <v>1.1935950473714199</v>
      </c>
      <c r="AP38" s="386">
        <f t="shared" si="26"/>
        <v>1.4246691371095821E-2</v>
      </c>
      <c r="AQ38" s="386">
        <f t="shared" si="27"/>
        <v>3.0997777777777766E-2</v>
      </c>
      <c r="AR38" s="386">
        <f t="shared" si="28"/>
        <v>4.5394508549226054E-2</v>
      </c>
      <c r="AS38" s="386">
        <f t="shared" si="29"/>
        <v>0</v>
      </c>
      <c r="AT38" s="386">
        <f t="shared" si="30"/>
        <v>0</v>
      </c>
      <c r="AU38" s="386">
        <f t="shared" si="31"/>
        <v>2.8631776599999999E-2</v>
      </c>
      <c r="AV38" s="386">
        <f t="shared" si="32"/>
        <v>2.5114601517072033E-3</v>
      </c>
      <c r="AW38" s="386">
        <f t="shared" si="33"/>
        <v>6.5920000000000006E-2</v>
      </c>
      <c r="AX38" s="386">
        <f t="shared" si="34"/>
        <v>3.6000000000000004E-2</v>
      </c>
      <c r="AY38" s="386">
        <f t="shared" si="35"/>
        <v>0.40226399999999995</v>
      </c>
      <c r="AZ38" s="386">
        <f t="shared" si="36"/>
        <v>0.30415082926829268</v>
      </c>
      <c r="BA38" s="386">
        <f t="shared" si="57"/>
        <v>0.43826399999999999</v>
      </c>
      <c r="BB38" s="386">
        <f t="shared" si="58"/>
        <v>0.78088206167640128</v>
      </c>
      <c r="BC38">
        <f t="shared" si="37"/>
        <v>13.919999999999998</v>
      </c>
      <c r="BD38" s="604">
        <f t="shared" si="51"/>
        <v>0.94688195861987934</v>
      </c>
      <c r="BE38" s="614">
        <f t="shared" si="38"/>
        <v>7.3011235300114814</v>
      </c>
      <c r="BF38" s="614">
        <f t="shared" si="39"/>
        <v>3.1808936999791113</v>
      </c>
      <c r="BG38" s="9"/>
      <c r="BH38" s="4">
        <f t="shared" si="52"/>
        <v>94.688195861987936</v>
      </c>
      <c r="BI38" s="386">
        <f t="shared" si="53"/>
        <v>1.9942440472796707E-2</v>
      </c>
      <c r="BJ38" s="386">
        <f t="shared" si="54"/>
        <v>0.25210929434993873</v>
      </c>
      <c r="BK38" s="386">
        <f t="shared" si="40"/>
        <v>0.12588144017261174</v>
      </c>
      <c r="BL38" s="386">
        <f t="shared" si="41"/>
        <v>5.4842994827226058E-2</v>
      </c>
      <c r="BM38" s="386">
        <f t="shared" si="55"/>
        <v>2.5114601517072033E-3</v>
      </c>
      <c r="BR38">
        <v>9.9985429999999997</v>
      </c>
      <c r="BS38">
        <v>1.9350000000000001</v>
      </c>
      <c r="BT38">
        <v>5.117146</v>
      </c>
      <c r="BU38">
        <v>94.224527198076927</v>
      </c>
      <c r="BV38">
        <v>606.92116405899924</v>
      </c>
    </row>
    <row r="39" spans="1:74" x14ac:dyDescent="0.2">
      <c r="A39" s="23" t="s">
        <v>74</v>
      </c>
      <c r="B39" s="5">
        <f>Qg_Q1*1000000000</f>
        <v>45.3</v>
      </c>
      <c r="C39" s="482" t="s">
        <v>69</v>
      </c>
      <c r="D39" s="21" t="s">
        <v>103</v>
      </c>
      <c r="G39">
        <v>30</v>
      </c>
      <c r="H39" s="610">
        <f t="shared" si="0"/>
        <v>12</v>
      </c>
      <c r="I39" s="4" t="str">
        <f t="shared" si="1"/>
        <v>BUCK-BST</v>
      </c>
      <c r="J39">
        <f t="shared" si="43"/>
        <v>3</v>
      </c>
      <c r="K39" s="386">
        <f t="shared" si="44"/>
        <v>1.2</v>
      </c>
      <c r="L39" s="4">
        <f t="shared" si="2"/>
        <v>1.333333333333333</v>
      </c>
      <c r="M39" s="4">
        <f t="shared" si="56"/>
        <v>1.270513499205929</v>
      </c>
      <c r="N39" s="386">
        <f t="shared" si="3"/>
        <v>0.94450000000000001</v>
      </c>
      <c r="O39" s="386">
        <f t="shared" si="4"/>
        <v>5.5500000000000028E-2</v>
      </c>
      <c r="P39" s="4">
        <f t="shared" si="5"/>
        <v>0</v>
      </c>
      <c r="Q39" s="4">
        <f t="shared" si="6"/>
        <v>1.270513499205929</v>
      </c>
      <c r="R39" s="386">
        <f t="shared" si="7"/>
        <v>2.1343882864842702E-2</v>
      </c>
      <c r="S39" s="386">
        <f t="shared" si="45"/>
        <v>0</v>
      </c>
      <c r="T39" s="386">
        <f t="shared" si="46"/>
        <v>2.1343882864842702E-2</v>
      </c>
      <c r="U39" s="4">
        <f t="shared" si="8"/>
        <v>0.29088863684770311</v>
      </c>
      <c r="V39" s="386">
        <f t="shared" si="9"/>
        <v>2.2846373742721024E-3</v>
      </c>
      <c r="W39" s="386">
        <f t="shared" si="47"/>
        <v>2.2846373742721024E-3</v>
      </c>
      <c r="X39" s="4">
        <f t="shared" si="10"/>
        <v>0</v>
      </c>
      <c r="Y39" s="386">
        <f t="shared" si="11"/>
        <v>0</v>
      </c>
      <c r="Z39" s="603">
        <f t="shared" si="48"/>
        <v>0</v>
      </c>
      <c r="AA39" s="386">
        <f t="shared" si="12"/>
        <v>1.2347534972807792</v>
      </c>
      <c r="AB39" s="386">
        <f t="shared" si="13"/>
        <v>1.5246161990471152E-2</v>
      </c>
      <c r="AC39" s="386">
        <f t="shared" si="14"/>
        <v>2.893563354008228E-2</v>
      </c>
      <c r="AD39" s="386">
        <f t="shared" si="15"/>
        <v>0</v>
      </c>
      <c r="AE39" s="386">
        <f t="shared" si="16"/>
        <v>4.4338626109809813E-2</v>
      </c>
      <c r="AF39" s="386">
        <f t="shared" si="17"/>
        <v>0.29931313472244986</v>
      </c>
      <c r="AG39" s="386">
        <f t="shared" si="18"/>
        <v>8.9588352617379419E-4</v>
      </c>
      <c r="AH39" s="386">
        <f t="shared" si="19"/>
        <v>2.8859999999999997E-2</v>
      </c>
      <c r="AI39" s="386">
        <f t="shared" si="20"/>
        <v>2.9762069422840369E-2</v>
      </c>
      <c r="AJ39" s="386">
        <f t="shared" si="21"/>
        <v>0.29931313472244991</v>
      </c>
      <c r="AK39" s="386">
        <f t="shared" si="22"/>
        <v>8.9588352617379452E-4</v>
      </c>
      <c r="AL39" s="386">
        <f t="shared" si="23"/>
        <v>0.10612653575380041</v>
      </c>
      <c r="AM39" s="386">
        <f t="shared" si="24"/>
        <v>0</v>
      </c>
      <c r="AN39" s="386">
        <f t="shared" si="25"/>
        <v>0.10704466797664257</v>
      </c>
      <c r="AO39" s="386">
        <f t="shared" si="49"/>
        <v>1.2347534972807792</v>
      </c>
      <c r="AP39" s="386">
        <f t="shared" si="26"/>
        <v>1.5246161990471152E-2</v>
      </c>
      <c r="AQ39" s="386">
        <f t="shared" si="27"/>
        <v>3.206666666666666E-2</v>
      </c>
      <c r="AR39" s="386">
        <f t="shared" si="28"/>
        <v>4.7480773355524405E-2</v>
      </c>
      <c r="AS39" s="386">
        <f t="shared" si="29"/>
        <v>0</v>
      </c>
      <c r="AT39" s="386">
        <f t="shared" si="30"/>
        <v>0</v>
      </c>
      <c r="AU39" s="386">
        <f t="shared" si="31"/>
        <v>2.8853340000000002E-2</v>
      </c>
      <c r="AV39" s="386">
        <f t="shared" si="32"/>
        <v>2.6876505785213829E-3</v>
      </c>
      <c r="AW39" s="386">
        <f t="shared" si="33"/>
        <v>6.5920000000000006E-2</v>
      </c>
      <c r="AX39" s="386">
        <f t="shared" si="34"/>
        <v>3.6000000000000004E-2</v>
      </c>
      <c r="AY39" s="386">
        <f t="shared" si="35"/>
        <v>0.40226399999999995</v>
      </c>
      <c r="AZ39" s="386">
        <f t="shared" si="36"/>
        <v>0.30415082926829268</v>
      </c>
      <c r="BA39" s="386">
        <f t="shared" si="57"/>
        <v>0.43826399999999999</v>
      </c>
      <c r="BB39" s="386">
        <f t="shared" si="58"/>
        <v>0.78797964768245332</v>
      </c>
      <c r="BC39">
        <f t="shared" si="37"/>
        <v>14.399999999999999</v>
      </c>
      <c r="BD39" s="604">
        <f t="shared" si="51"/>
        <v>0.94811820492512366</v>
      </c>
      <c r="BE39" s="614">
        <f t="shared" si="38"/>
        <v>7.3130965978452691</v>
      </c>
      <c r="BF39" s="614">
        <f t="shared" si="39"/>
        <v>3.3061377822204157</v>
      </c>
      <c r="BG39" s="9"/>
      <c r="BH39" s="4">
        <f t="shared" si="52"/>
        <v>94.811820492512368</v>
      </c>
      <c r="BI39" s="386">
        <f t="shared" si="53"/>
        <v>2.1343882864842702E-2</v>
      </c>
      <c r="BJ39" s="386">
        <f t="shared" si="54"/>
        <v>0.25747947686481715</v>
      </c>
      <c r="BK39" s="386">
        <f t="shared" si="40"/>
        <v>0.12608787237664257</v>
      </c>
      <c r="BL39" s="386">
        <f t="shared" si="41"/>
        <v>5.7002375555524405E-2</v>
      </c>
      <c r="BM39" s="386">
        <f t="shared" si="55"/>
        <v>2.6876505785213829E-3</v>
      </c>
      <c r="BR39">
        <v>9.9985060000000008</v>
      </c>
      <c r="BS39">
        <v>2.31</v>
      </c>
      <c r="BT39">
        <v>5.1166349999999996</v>
      </c>
      <c r="BU39">
        <v>94.492663502717292</v>
      </c>
      <c r="BV39">
        <v>688.87413060200208</v>
      </c>
    </row>
    <row r="40" spans="1:74" x14ac:dyDescent="0.2">
      <c r="A40" s="23" t="s">
        <v>130</v>
      </c>
      <c r="B40" s="5">
        <f>Qgd_Q1*1000000000</f>
        <v>13.3</v>
      </c>
      <c r="C40" s="482" t="s">
        <v>69</v>
      </c>
      <c r="D40" s="21" t="s">
        <v>131</v>
      </c>
      <c r="G40">
        <v>31</v>
      </c>
      <c r="H40" s="610">
        <f t="shared" si="0"/>
        <v>12</v>
      </c>
      <c r="I40" s="4" t="str">
        <f t="shared" si="1"/>
        <v>BUCK-BST</v>
      </c>
      <c r="J40">
        <f t="shared" si="43"/>
        <v>3</v>
      </c>
      <c r="K40" s="386">
        <f t="shared" si="44"/>
        <v>1.24</v>
      </c>
      <c r="L40" s="4">
        <f t="shared" si="2"/>
        <v>1.3777777777777775</v>
      </c>
      <c r="M40" s="4">
        <f t="shared" si="56"/>
        <v>1.31286394917946</v>
      </c>
      <c r="N40" s="386">
        <f t="shared" si="3"/>
        <v>0.94450000000000001</v>
      </c>
      <c r="O40" s="386">
        <f t="shared" si="4"/>
        <v>5.5500000000000028E-2</v>
      </c>
      <c r="P40" s="4">
        <f t="shared" si="5"/>
        <v>0</v>
      </c>
      <c r="Q40" s="4">
        <f t="shared" si="6"/>
        <v>1.31286394917946</v>
      </c>
      <c r="R40" s="386">
        <f t="shared" si="7"/>
        <v>2.2793161696257617E-2</v>
      </c>
      <c r="S40" s="386">
        <f t="shared" si="45"/>
        <v>0</v>
      </c>
      <c r="T40" s="386">
        <f t="shared" si="46"/>
        <v>2.2793161696257617E-2</v>
      </c>
      <c r="U40" s="4">
        <f t="shared" si="8"/>
        <v>0.30058492474262655</v>
      </c>
      <c r="V40" s="386">
        <f t="shared" si="9"/>
        <v>2.4394850185283229E-3</v>
      </c>
      <c r="W40" s="386">
        <f t="shared" si="47"/>
        <v>2.4394850185283229E-3</v>
      </c>
      <c r="X40" s="4">
        <f t="shared" si="10"/>
        <v>0</v>
      </c>
      <c r="Y40" s="386">
        <f t="shared" si="11"/>
        <v>0</v>
      </c>
      <c r="Z40" s="603">
        <f t="shared" si="48"/>
        <v>0</v>
      </c>
      <c r="AA40" s="386">
        <f t="shared" si="12"/>
        <v>1.2759119471901383</v>
      </c>
      <c r="AB40" s="386">
        <f t="shared" si="13"/>
        <v>1.6279512969825303E-2</v>
      </c>
      <c r="AC40" s="386">
        <f t="shared" si="14"/>
        <v>2.9900154658085029E-2</v>
      </c>
      <c r="AD40" s="386">
        <f t="shared" si="15"/>
        <v>0</v>
      </c>
      <c r="AE40" s="386">
        <f t="shared" si="16"/>
        <v>4.6354742398089496E-2</v>
      </c>
      <c r="AF40" s="386">
        <f t="shared" si="17"/>
        <v>0.3092902392131982</v>
      </c>
      <c r="AG40" s="386">
        <f t="shared" si="18"/>
        <v>9.5660452072557367E-4</v>
      </c>
      <c r="AH40" s="386">
        <f t="shared" si="19"/>
        <v>2.9821999999999998E-2</v>
      </c>
      <c r="AI40" s="386">
        <f t="shared" si="20"/>
        <v>3.0785436801945572E-2</v>
      </c>
      <c r="AJ40" s="386">
        <f t="shared" si="21"/>
        <v>0.30929023921319826</v>
      </c>
      <c r="AK40" s="386">
        <f t="shared" si="22"/>
        <v>9.5660452072557399E-4</v>
      </c>
      <c r="AL40" s="386">
        <f t="shared" si="23"/>
        <v>0.10612653575380041</v>
      </c>
      <c r="AM40" s="386">
        <f t="shared" si="24"/>
        <v>0</v>
      </c>
      <c r="AN40" s="386">
        <f t="shared" si="25"/>
        <v>0.1071069107520921</v>
      </c>
      <c r="AO40" s="386">
        <f t="shared" si="49"/>
        <v>1.2759119471901383</v>
      </c>
      <c r="AP40" s="386">
        <f t="shared" si="26"/>
        <v>1.6279512969825303E-2</v>
      </c>
      <c r="AQ40" s="386">
        <f t="shared" si="27"/>
        <v>3.313555555555555E-2</v>
      </c>
      <c r="AR40" s="386">
        <f t="shared" si="28"/>
        <v>4.9602409236344312E-2</v>
      </c>
      <c r="AS40" s="386">
        <f t="shared" si="29"/>
        <v>0</v>
      </c>
      <c r="AT40" s="386">
        <f t="shared" si="30"/>
        <v>0</v>
      </c>
      <c r="AU40" s="386">
        <f t="shared" si="31"/>
        <v>2.9074888600000001E-2</v>
      </c>
      <c r="AV40" s="386">
        <f t="shared" si="32"/>
        <v>2.8698135621767215E-3</v>
      </c>
      <c r="AW40" s="386">
        <f t="shared" si="33"/>
        <v>6.5920000000000006E-2</v>
      </c>
      <c r="AX40" s="386">
        <f t="shared" si="34"/>
        <v>3.6000000000000004E-2</v>
      </c>
      <c r="AY40" s="386">
        <f t="shared" si="35"/>
        <v>0.40226399999999995</v>
      </c>
      <c r="AZ40" s="386">
        <f t="shared" si="36"/>
        <v>0.30415082926829268</v>
      </c>
      <c r="BA40" s="386">
        <f t="shared" si="57"/>
        <v>0.43826399999999999</v>
      </c>
      <c r="BB40" s="386">
        <f t="shared" si="58"/>
        <v>0.79521084806543407</v>
      </c>
      <c r="BC40">
        <f t="shared" si="37"/>
        <v>14.879999999999999</v>
      </c>
      <c r="BD40" s="604">
        <f t="shared" si="51"/>
        <v>0.94926952780583651</v>
      </c>
      <c r="BE40" s="614">
        <f t="shared" si="38"/>
        <v>7.3251875592293425</v>
      </c>
      <c r="BF40" s="614">
        <f t="shared" si="39"/>
        <v>3.4334331035119701</v>
      </c>
      <c r="BG40" s="9"/>
      <c r="BH40" s="4">
        <f t="shared" si="52"/>
        <v>94.926952780583647</v>
      </c>
      <c r="BI40" s="386">
        <f t="shared" si="53"/>
        <v>2.2793161696257617E-2</v>
      </c>
      <c r="BJ40" s="386">
        <f t="shared" si="54"/>
        <v>0.26292438778847149</v>
      </c>
      <c r="BK40" s="386">
        <f t="shared" si="40"/>
        <v>0.12629633722809211</v>
      </c>
      <c r="BL40" s="386">
        <f t="shared" si="41"/>
        <v>5.9197122474344312E-2</v>
      </c>
      <c r="BM40" s="386">
        <f t="shared" si="55"/>
        <v>2.8698135621767215E-3</v>
      </c>
      <c r="BR40">
        <v>9.9984319999999993</v>
      </c>
      <c r="BS40">
        <v>2.7269999999999999</v>
      </c>
      <c r="BT40">
        <v>5.115812</v>
      </c>
      <c r="BU40">
        <v>94.558770424517263</v>
      </c>
      <c r="BV40">
        <v>802.77694931200062</v>
      </c>
    </row>
    <row r="41" spans="1:74" x14ac:dyDescent="0.2">
      <c r="A41" s="23" t="s">
        <v>148</v>
      </c>
      <c r="B41" s="5">
        <f>Qgs_Q1*1000000000</f>
        <v>5.3</v>
      </c>
      <c r="C41" s="482" t="s">
        <v>69</v>
      </c>
      <c r="D41" s="21"/>
      <c r="G41">
        <v>32</v>
      </c>
      <c r="H41" s="610">
        <f t="shared" ref="H41:H72" si="59">Vin</f>
        <v>12</v>
      </c>
      <c r="I41" s="4" t="str">
        <f t="shared" ref="I41:I72" si="60">IF(H41&gt;VIN_BB_to_buck, "BUCK", IF(H41&lt;VIN_boost_to_BB,"BOOST","BUCK-BST"))</f>
        <v>BUCK-BST</v>
      </c>
      <c r="J41">
        <f t="shared" si="43"/>
        <v>3</v>
      </c>
      <c r="K41" s="386">
        <f t="shared" si="44"/>
        <v>1.28</v>
      </c>
      <c r="L41" s="4">
        <f t="shared" ref="L41:L72" si="61">Vout*K41/(Vin*Efficiency)</f>
        <v>1.4222222222222221</v>
      </c>
      <c r="M41" s="4">
        <f t="shared" si="56"/>
        <v>1.355214399152991</v>
      </c>
      <c r="N41" s="386">
        <f t="shared" ref="N41:N72" si="62">CHOOSE(J41,(Vout+(Rdson2+Rs+Rdcr)*K41)/(Vin+(Rs+Rdson2-Rdson1)*K41), 1, IF(Vin&lt;Vout, D_max_buck_BB, Vout/Vin*(1-D_min_boost_exitBB_to_buck)))</f>
        <v>0.94450000000000001</v>
      </c>
      <c r="O41" s="386">
        <f t="shared" ref="O41:O72" si="63">CHOOSE(J41,0,(Vout+(Rdson3+Rdcr)*L41-Vin)/(Vout+(Rdson3-Rdson4-Rs)*L41), IF(Vin&gt;Vout,D_min_boost_exitBB_to_buck, (Vout-Vin*D_max_buck_BB)/Vout))</f>
        <v>5.5500000000000028E-2</v>
      </c>
      <c r="P41" s="4">
        <f t="shared" ref="P41:P72" si="64">MAX(0, CHOOSE(J41, (Vin-(Rdson1+Rdcr)*K41-Vout)*N41/(Fsw*Lf), (Vin-(Rdson4+Rdcr+Rs)*L41)*O41/(Fsw*Lf), IF(Vin&lt;Vout, (Vin-(Rdson4+Rdcr+Rs)*L41)*O41/(0.5*Fsw*Lf),(Vin-(Rdson1+Rdcr)*K41-Vout)*N41/(0.5*Fsw*Lf))))</f>
        <v>0</v>
      </c>
      <c r="Q41" s="4">
        <f t="shared" ref="Q41:Q72" si="65">CHOOSE(J41, SQRT(K41^2+(P41^2)/12), SQRT(L41^2+(P41^2)/12), SQRT(M41^2+(P41^2)/12))</f>
        <v>1.355214399152991</v>
      </c>
      <c r="R41" s="386">
        <f t="shared" si="7"/>
        <v>2.4290310081074989E-2</v>
      </c>
      <c r="S41" s="386">
        <f t="shared" si="45"/>
        <v>0</v>
      </c>
      <c r="T41" s="386">
        <f t="shared" si="46"/>
        <v>2.4290310081074989E-2</v>
      </c>
      <c r="U41" s="4">
        <f t="shared" ref="U41:U72" si="66">IF(Vin&gt;Vout, P41/SQRT(12), SQRT(O41/(1-O41))*SQRT(K41^2+(P41^2)/12))</f>
        <v>0.31028121263754999</v>
      </c>
      <c r="V41" s="386">
        <f t="shared" si="9"/>
        <v>2.5994096347273696E-3</v>
      </c>
      <c r="W41" s="386">
        <f t="shared" si="47"/>
        <v>2.5994096347273696E-3</v>
      </c>
      <c r="X41" s="4">
        <f t="shared" ref="X41:X72" si="67">IF(Vin&gt;Vout, SQRT(N41*(1-N41))*SQRT(K41^2+(P41^2)/12), P41/SQRT(12))</f>
        <v>0</v>
      </c>
      <c r="Y41" s="386">
        <f t="shared" si="11"/>
        <v>0</v>
      </c>
      <c r="Z41" s="603">
        <f t="shared" si="48"/>
        <v>0</v>
      </c>
      <c r="AA41" s="386">
        <f t="shared" ref="AA41:AA72" si="68">CHOOSE(J41, SQRT(N41)*SQRT(K41^2+(P41^2)/12), SQRT(L41^2+(P41^2)/12), SQRT(N41)*SQRT(M41^2+(P41^2)/12))</f>
        <v>1.3170703970994977</v>
      </c>
      <c r="AB41" s="386">
        <f t="shared" ref="AB41:AB72" si="69">Rdson1*AA41^2</f>
        <v>1.7346744309158287E-2</v>
      </c>
      <c r="AC41" s="386">
        <f t="shared" ref="AC41:AC72" si="70">CHOOSE(J41, (Vin*K41/2)*(Fsw)*(Tr_buck+Tf_buck), 0, (Vin*K41/2)*(Fsw/2)*(Tr_buck+Tf_buck))</f>
        <v>3.0864675776087772E-2</v>
      </c>
      <c r="AD41" s="386">
        <f t="shared" ref="AD41:AD72" si="71">CHOOSE(J41, IF(K41&gt;P41/2,0,ABS(K41-P41/2)*Vsd_Q1*Deadtime*Fsw),0, IF(K41&gt;P41/2,0,ABS(K41-P41/2)*Vsd_Q1*Deadtime*Fsw/2))</f>
        <v>0</v>
      </c>
      <c r="AE41" s="386">
        <f t="shared" ref="AE41:AE72" si="72">(AD41+AC41+AB41*(1+RdsonTopTc*Ta-RdsonTopTc*25))/(1-AB41*RdsonTopTc*ThetaJA_Q1)</f>
        <v>4.8406228273085217E-2</v>
      </c>
      <c r="AF41" s="386">
        <f t="shared" ref="AF41:AF72" si="73">CHOOSE(J41, SQRT((1-N41))*SQRT(K41^2+(P41^2)/12), 0, SQRT((1-N41))*SQRT(M41^2+(P41^2)/12))</f>
        <v>0.31926734370394655</v>
      </c>
      <c r="AG41" s="386">
        <f t="shared" ref="AG41:AG72" si="74">Rdson2*AF41^2</f>
        <v>1.0193163675577394E-3</v>
      </c>
      <c r="AH41" s="386">
        <f t="shared" ref="AH41:AH72" si="75">CHOOSE(J41, IF(K41&lt;P41/2,Deadtime*Fsw*IF(VfdSky_Q2&gt;0,0,Vsd_Q2)*(K41+P41/2),2*Deadtime*Fsw*IF(VfdSky_Q2&gt;0,0,Vsd_Q2)*K41),0, IF(K41&lt;P41/2,Deadtime*Fsw/2*IF(VfdSky_Q2&gt;0,0,Vsd_Q2)*(K41+P41/2),2*Deadtime*Fsw/2*IF(VfdSky_Q2&gt;0,0,Vsd_Q2)*K41))</f>
        <v>3.0783999999999999E-2</v>
      </c>
      <c r="AI41" s="386">
        <f t="shared" ref="AI41:AI72" si="76">(AH41+AG41*(1+RdsonBotTc*Ta-RdsonBotTc*25))/(1-AG41*RdsonBotTc*ThetaJA_Q2)</f>
        <v>3.1810839039222175E-2</v>
      </c>
      <c r="AJ41" s="386">
        <f t="shared" ref="AJ41:AJ72" si="77">CHOOSE(J41, 0, SQRT(O41)*SQRT(L41^2+(P41^2)/12), SQRT(O41)*SQRT(M41^2+(P41^2)/12))</f>
        <v>0.3192673437039466</v>
      </c>
      <c r="AK41" s="386">
        <f t="shared" ref="AK41:AK72" si="78">Rdson4*AJ41^2</f>
        <v>1.0193163675577398E-3</v>
      </c>
      <c r="AL41" s="386">
        <f t="shared" ref="AL41:AL72" si="79">CHOOSE(J41, 0, (Vout*L41/2)*(Fsw)*(Tr_boost+Tf_boost), (Vout*Iout/2)*(Fsw/2)*(Tr_boost+Tf_boost))</f>
        <v>0.10612653575380041</v>
      </c>
      <c r="AM41" s="386">
        <f t="shared" ref="AM41:AM72" si="80">IF(H41&gt;Vout, 0, IF(L41&gt;P41/2,0,ABS(L41-P41/2)*Vsd_Q4*Deadtime*Fsw))</f>
        <v>0</v>
      </c>
      <c r="AN41" s="386">
        <f t="shared" ref="AN41:AN72" si="81">(AM41+AL41+AK41*(1+RdsonTopTc*Ta-RdsonTopTc*25))/(1-AK41*RdsonTopTc*ThetaJA_Q4)</f>
        <v>0.10717119611556301</v>
      </c>
      <c r="AO41" s="386">
        <f t="shared" si="49"/>
        <v>1.3170703970994977</v>
      </c>
      <c r="AP41" s="386">
        <f t="shared" ref="AP41:AP72" si="82">Rdson3*AO41^2</f>
        <v>1.7346744309158287E-2</v>
      </c>
      <c r="AQ41" s="386">
        <f t="shared" ref="AQ41:AQ72" si="83">CHOOSE(J41, 0, IF(L41&lt;P41/2,Deadtime*Fsw*IF(VfdSky_Q3&gt;0,0,Vsd_Q3)*(L41+P41/2), 2*Deadtime*Fsw*IF(VfdSky_Q3&gt;0,0,Vsd_Q3)*L41), IF(L41&lt;P41/2,Deadtime*Fsw/2*IF(VfdSky_Q3&gt;0,0,Vsd_Q3)*(L41+P41/2), 2*Deadtime*Fsw/2*IF(VfdSky_Q3&gt;0,0,Vsd_Q3)*L41))</f>
        <v>3.420444444444444E-2</v>
      </c>
      <c r="AR41" s="386">
        <f t="shared" ref="AR41:AR72" si="84">(AQ41+AP41*(1+RdsonBotTc*Ta-RdsonBotTc*25))/(1-AP41*RdsonBotTc*ThetaJA_Q3)</f>
        <v>5.1759491965669216E-2</v>
      </c>
      <c r="AS41" s="386">
        <f t="shared" ref="AS41:AS72" si="85">CHOOSE(J41, Rdson3*Q41^2, Rdson1*Q41^2, 0)</f>
        <v>0</v>
      </c>
      <c r="AT41" s="386">
        <f t="shared" ref="AT41:AT72" si="86">CHOOSE(J41, 2*Deadtime*Fsw*IF(VfdSky_Q2&gt;0,VfdSky_Q2,0)*K41, 2*Deadtime*Fsw*IF(VfdSky_Q3&gt;0,VfdSky_Q3,0)*L41, 2*Deadtime*Fsw/2*IF(VfdSky_Q2&gt;0,VfdSky_Q2,0)*K41+2*Deadtime*Fsw/2*IF(VfdSky_Q3&gt;0,VfdSky_Q3,0)*L41)</f>
        <v>0</v>
      </c>
      <c r="AU41" s="386">
        <f t="shared" ref="AU41:AU72" si="87">CHOOSE(J41, IF(QrrSky_Q2&gt;0,QrrSky_Q2,Qrr_Q2*K41/Iout)*Fsw*(Vin-K41*Rdson1), IF(QrrSky_Q3&gt;0,QrrSky_Q3,Qrr_Q3)*Fsw*Vout,  IF(QrrSky_Q2&gt;0,QrrSky_Q2,Qrr_Q2*K41/Iout)*Fsw/2*(Vin-K41*Rdson1)+IF(QrrSky_Q3&gt;0,QrrSky_Q3,Qrr_Q3)*Fsw/2*Vout)</f>
        <v>2.9296422400000001E-2</v>
      </c>
      <c r="AV41" s="386">
        <f t="shared" ref="AV41:AV72" si="88">CHOOSE(J41, Rs*AF41^2, Rs*AJ41^2, Rs*(AF41^2+AJ41^2))</f>
        <v>3.0579491026732188E-3</v>
      </c>
      <c r="AW41" s="386">
        <f t="shared" si="33"/>
        <v>6.5920000000000006E-2</v>
      </c>
      <c r="AX41" s="386">
        <f t="shared" ref="AX41:AX72" si="89">IF(Vout&gt;8, Iq*Vout, Iq*Vin)</f>
        <v>3.6000000000000004E-2</v>
      </c>
      <c r="AY41" s="386">
        <f t="shared" ref="AY41:AY72" si="90">CHOOSE(J41, (Qg_Q1+Qg_Q2)*Fsw, (Qg_Q3+Qg_Q4)*Fsw, (Qg_Q1+Qg_Q2+Qg_Q3+Qg_Q4)*Fsw/2)*IF(Vout&gt;8, Vout, Vin)</f>
        <v>0.40226399999999995</v>
      </c>
      <c r="AZ41" s="386">
        <f t="shared" si="36"/>
        <v>0.30415082926829268</v>
      </c>
      <c r="BA41" s="386">
        <f t="shared" si="57"/>
        <v>0.43826399999999999</v>
      </c>
      <c r="BB41" s="386">
        <f t="shared" si="58"/>
        <v>0.8025758466120152</v>
      </c>
      <c r="BC41">
        <f t="shared" ref="BC41:BC72" si="91">Vout*K41</f>
        <v>15.36</v>
      </c>
      <c r="BD41" s="604">
        <f t="shared" si="51"/>
        <v>0.95034356811508791</v>
      </c>
      <c r="BE41" s="614">
        <f t="shared" ref="BE41:BE72" si="92">IF(Vin&gt;Vout,ThetaJA_Q1*BK41,ThetaJA_Q4*BK41)</f>
        <v>7.3373964241746554</v>
      </c>
      <c r="BF41" s="614">
        <f t="shared" ref="BF41:BF72" si="93">IF(Vin&gt;Vout, ThetaJA_Q2*BL41, ThetaJA_Q3*BL41)</f>
        <v>3.5627840587448145</v>
      </c>
      <c r="BG41" s="9"/>
      <c r="BH41" s="4">
        <f t="shared" si="52"/>
        <v>95.034356811508786</v>
      </c>
      <c r="BI41" s="386">
        <f t="shared" si="53"/>
        <v>2.4290310081074989E-2</v>
      </c>
      <c r="BJ41" s="386">
        <f t="shared" si="54"/>
        <v>0.26844417779353963</v>
      </c>
      <c r="BK41" s="386">
        <f t="shared" ref="BK41:BK72" si="94">IF(Vin&gt;Vout, AE41+AU41*0.66, AN41+AU41*0.66)</f>
        <v>0.12650683489956302</v>
      </c>
      <c r="BL41" s="386">
        <f t="shared" ref="BL41:BL72" si="95">IF(Vin&gt;Vout, AI41+AU41*0.33, AR41+AU41*0.33)</f>
        <v>6.1427311357669219E-2</v>
      </c>
      <c r="BM41" s="386">
        <f t="shared" si="55"/>
        <v>3.0579491026732188E-3</v>
      </c>
      <c r="BR41">
        <v>9.9985180000000007</v>
      </c>
      <c r="BS41">
        <v>3.1859999999999999</v>
      </c>
      <c r="BT41">
        <v>5.1148889999999998</v>
      </c>
      <c r="BU41">
        <v>94.58411932633652</v>
      </c>
      <c r="BV41">
        <v>933.10990806000302</v>
      </c>
    </row>
    <row r="42" spans="1:74" x14ac:dyDescent="0.2">
      <c r="A42" s="23" t="s">
        <v>94</v>
      </c>
      <c r="B42" s="5">
        <f>Rgate1</f>
        <v>0.8</v>
      </c>
      <c r="C42" s="486" t="s">
        <v>120</v>
      </c>
      <c r="D42" s="21" t="s">
        <v>104</v>
      </c>
      <c r="G42">
        <v>33</v>
      </c>
      <c r="H42" s="610">
        <f t="shared" si="59"/>
        <v>12</v>
      </c>
      <c r="I42" s="4" t="str">
        <f t="shared" si="60"/>
        <v>BUCK-BST</v>
      </c>
      <c r="J42">
        <f t="shared" si="43"/>
        <v>3</v>
      </c>
      <c r="K42" s="386">
        <f t="shared" ref="K42:K73" si="96">Iout*G42/100</f>
        <v>1.32</v>
      </c>
      <c r="L42" s="4">
        <f t="shared" si="61"/>
        <v>1.4666666666666666</v>
      </c>
      <c r="M42" s="4">
        <f t="shared" si="56"/>
        <v>1.397564849126522</v>
      </c>
      <c r="N42" s="386">
        <f t="shared" si="62"/>
        <v>0.94450000000000001</v>
      </c>
      <c r="O42" s="386">
        <f t="shared" si="63"/>
        <v>5.5500000000000028E-2</v>
      </c>
      <c r="P42" s="4">
        <f t="shared" si="64"/>
        <v>0</v>
      </c>
      <c r="Q42" s="4">
        <f t="shared" si="65"/>
        <v>1.397564849126522</v>
      </c>
      <c r="R42" s="386">
        <f t="shared" si="7"/>
        <v>2.5835362239142443E-2</v>
      </c>
      <c r="S42" s="386">
        <f t="shared" si="45"/>
        <v>0</v>
      </c>
      <c r="T42" s="386">
        <f t="shared" si="46"/>
        <v>2.5835362239142443E-2</v>
      </c>
      <c r="U42" s="4">
        <f t="shared" si="66"/>
        <v>0.31997750053247348</v>
      </c>
      <c r="V42" s="386">
        <f t="shared" si="9"/>
        <v>2.7644112228692448E-3</v>
      </c>
      <c r="W42" s="386">
        <f t="shared" si="47"/>
        <v>2.7644112228692448E-3</v>
      </c>
      <c r="X42" s="4">
        <f t="shared" si="67"/>
        <v>0</v>
      </c>
      <c r="Y42" s="386">
        <f t="shared" si="11"/>
        <v>0</v>
      </c>
      <c r="Z42" s="603">
        <f t="shared" si="48"/>
        <v>0</v>
      </c>
      <c r="AA42" s="386">
        <f t="shared" si="68"/>
        <v>1.358228847008857</v>
      </c>
      <c r="AB42" s="386">
        <f t="shared" si="69"/>
        <v>1.8447856008470091E-2</v>
      </c>
      <c r="AC42" s="386">
        <f t="shared" si="70"/>
        <v>3.1829196894090514E-2</v>
      </c>
      <c r="AD42" s="386">
        <f t="shared" si="71"/>
        <v>0</v>
      </c>
      <c r="AE42" s="386">
        <f t="shared" si="72"/>
        <v>5.0493158703473089E-2</v>
      </c>
      <c r="AF42" s="386">
        <f t="shared" si="73"/>
        <v>0.32924444819469489</v>
      </c>
      <c r="AG42" s="386">
        <f t="shared" si="74"/>
        <v>1.0840190666702913E-3</v>
      </c>
      <c r="AH42" s="386">
        <f t="shared" si="75"/>
        <v>3.1745999999999996E-2</v>
      </c>
      <c r="AI42" s="386">
        <f t="shared" si="76"/>
        <v>3.2838277644697655E-2</v>
      </c>
      <c r="AJ42" s="386">
        <f t="shared" si="77"/>
        <v>0.32924444819469495</v>
      </c>
      <c r="AK42" s="386">
        <f t="shared" si="78"/>
        <v>1.0840190666702916E-3</v>
      </c>
      <c r="AL42" s="386">
        <f t="shared" si="79"/>
        <v>0.10612653575380041</v>
      </c>
      <c r="AM42" s="386">
        <f t="shared" si="80"/>
        <v>0</v>
      </c>
      <c r="AN42" s="386">
        <f t="shared" si="81"/>
        <v>0.10723752424532981</v>
      </c>
      <c r="AO42" s="386">
        <f t="shared" si="49"/>
        <v>1.358228847008857</v>
      </c>
      <c r="AP42" s="386">
        <f t="shared" si="82"/>
        <v>1.8447856008470091E-2</v>
      </c>
      <c r="AQ42" s="386">
        <f t="shared" si="83"/>
        <v>3.527333333333333E-2</v>
      </c>
      <c r="AR42" s="386">
        <f t="shared" si="84"/>
        <v>5.395209907056539E-2</v>
      </c>
      <c r="AS42" s="386">
        <f t="shared" si="85"/>
        <v>0</v>
      </c>
      <c r="AT42" s="386">
        <f t="shared" si="86"/>
        <v>0</v>
      </c>
      <c r="AU42" s="386">
        <f t="shared" si="87"/>
        <v>2.9517941400000001E-2</v>
      </c>
      <c r="AV42" s="386">
        <f t="shared" si="88"/>
        <v>3.2520572000108742E-3</v>
      </c>
      <c r="AW42" s="386">
        <f t="shared" si="33"/>
        <v>6.5920000000000006E-2</v>
      </c>
      <c r="AX42" s="386">
        <f t="shared" si="89"/>
        <v>3.6000000000000004E-2</v>
      </c>
      <c r="AY42" s="386">
        <f t="shared" si="90"/>
        <v>0.40226399999999995</v>
      </c>
      <c r="AZ42" s="386">
        <f t="shared" si="36"/>
        <v>0.30415082926829268</v>
      </c>
      <c r="BA42" s="386">
        <f t="shared" si="57"/>
        <v>0.43826399999999999</v>
      </c>
      <c r="BB42" s="386">
        <f t="shared" si="58"/>
        <v>0.81007483172608852</v>
      </c>
      <c r="BC42">
        <f t="shared" si="91"/>
        <v>15.84</v>
      </c>
      <c r="BD42" s="604">
        <f t="shared" si="51"/>
        <v>0.95134707561899234</v>
      </c>
      <c r="BE42" s="614">
        <f t="shared" si="92"/>
        <v>7.3497232030211288</v>
      </c>
      <c r="BF42" s="614">
        <f t="shared" si="93"/>
        <v>3.6941951444887926</v>
      </c>
      <c r="BG42" s="9"/>
      <c r="BH42" s="4">
        <f t="shared" si="52"/>
        <v>95.134707561899233</v>
      </c>
      <c r="BI42" s="386">
        <f t="shared" si="53"/>
        <v>2.5835362239142443E-2</v>
      </c>
      <c r="BJ42" s="386">
        <f t="shared" si="54"/>
        <v>0.27403900106406598</v>
      </c>
      <c r="BK42" s="386">
        <f t="shared" si="94"/>
        <v>0.12671936556932981</v>
      </c>
      <c r="BL42" s="386">
        <f t="shared" si="95"/>
        <v>6.3693019732565387E-2</v>
      </c>
      <c r="BM42" s="386">
        <f t="shared" si="55"/>
        <v>3.2520572000108742E-3</v>
      </c>
      <c r="BR42">
        <v>9.9984190000000002</v>
      </c>
      <c r="BS42">
        <v>3.6920000000000002</v>
      </c>
      <c r="BT42">
        <v>5.1137540000000001</v>
      </c>
      <c r="BU42">
        <v>94.441363374789603</v>
      </c>
      <c r="BV42">
        <v>1111.2391205219994</v>
      </c>
    </row>
    <row r="43" spans="1:74" x14ac:dyDescent="0.2">
      <c r="A43" s="23" t="s">
        <v>73</v>
      </c>
      <c r="B43" s="5">
        <f>Gfs_Q1</f>
        <v>44</v>
      </c>
      <c r="C43" s="482" t="s">
        <v>70</v>
      </c>
      <c r="D43" s="21" t="s">
        <v>105</v>
      </c>
      <c r="G43">
        <v>34</v>
      </c>
      <c r="H43" s="610">
        <f t="shared" si="59"/>
        <v>12</v>
      </c>
      <c r="I43" s="4" t="str">
        <f t="shared" si="60"/>
        <v>BUCK-BST</v>
      </c>
      <c r="J43">
        <f t="shared" si="43"/>
        <v>3</v>
      </c>
      <c r="K43" s="386">
        <f t="shared" si="96"/>
        <v>1.36</v>
      </c>
      <c r="L43" s="4">
        <f t="shared" si="61"/>
        <v>1.5111111111111111</v>
      </c>
      <c r="M43" s="4">
        <f t="shared" si="56"/>
        <v>1.439915299100053</v>
      </c>
      <c r="N43" s="386">
        <f t="shared" si="62"/>
        <v>0.94450000000000001</v>
      </c>
      <c r="O43" s="386">
        <f t="shared" si="63"/>
        <v>5.5500000000000028E-2</v>
      </c>
      <c r="P43" s="4">
        <f t="shared" si="64"/>
        <v>0</v>
      </c>
      <c r="Q43" s="4">
        <f t="shared" si="65"/>
        <v>1.439915299100053</v>
      </c>
      <c r="R43" s="386">
        <f t="shared" si="7"/>
        <v>2.7428353498081971E-2</v>
      </c>
      <c r="S43" s="386">
        <f t="shared" si="45"/>
        <v>0</v>
      </c>
      <c r="T43" s="386">
        <f t="shared" si="46"/>
        <v>2.7428353498081971E-2</v>
      </c>
      <c r="U43" s="4">
        <f t="shared" si="66"/>
        <v>0.32967378842739692</v>
      </c>
      <c r="V43" s="386">
        <f t="shared" si="9"/>
        <v>2.9344897829539458E-3</v>
      </c>
      <c r="W43" s="386">
        <f t="shared" si="47"/>
        <v>2.9344897829539458E-3</v>
      </c>
      <c r="X43" s="4">
        <f t="shared" si="67"/>
        <v>0</v>
      </c>
      <c r="Y43" s="386">
        <f t="shared" si="11"/>
        <v>0</v>
      </c>
      <c r="Z43" s="603">
        <f t="shared" si="48"/>
        <v>0</v>
      </c>
      <c r="AA43" s="386">
        <f t="shared" si="68"/>
        <v>1.3993872969182164</v>
      </c>
      <c r="AB43" s="386">
        <f t="shared" si="69"/>
        <v>1.9582848067760724E-2</v>
      </c>
      <c r="AC43" s="386">
        <f t="shared" si="70"/>
        <v>3.2793718012093256E-2</v>
      </c>
      <c r="AD43" s="386">
        <f t="shared" si="71"/>
        <v>0</v>
      </c>
      <c r="AE43" s="386">
        <f t="shared" si="72"/>
        <v>5.2615610412946524E-2</v>
      </c>
      <c r="AF43" s="386">
        <f t="shared" si="73"/>
        <v>0.33922155268544318</v>
      </c>
      <c r="AG43" s="386">
        <f t="shared" si="74"/>
        <v>1.150712618063229E-3</v>
      </c>
      <c r="AH43" s="386">
        <f t="shared" si="75"/>
        <v>3.2708000000000001E-2</v>
      </c>
      <c r="AI43" s="386">
        <f t="shared" si="76"/>
        <v>3.3867754134133635E-2</v>
      </c>
      <c r="AJ43" s="386">
        <f t="shared" si="77"/>
        <v>0.33922155268544329</v>
      </c>
      <c r="AK43" s="386">
        <f t="shared" si="78"/>
        <v>1.1507126180632299E-3</v>
      </c>
      <c r="AL43" s="386">
        <f t="shared" si="79"/>
        <v>0.10612653575380041</v>
      </c>
      <c r="AM43" s="386">
        <f t="shared" si="80"/>
        <v>0</v>
      </c>
      <c r="AN43" s="386">
        <f t="shared" si="81"/>
        <v>0.10730589532534011</v>
      </c>
      <c r="AO43" s="386">
        <f t="shared" si="49"/>
        <v>1.3993872969182164</v>
      </c>
      <c r="AP43" s="386">
        <f t="shared" si="82"/>
        <v>1.9582848067760724E-2</v>
      </c>
      <c r="AQ43" s="386">
        <f t="shared" si="83"/>
        <v>3.634222222222222E-2</v>
      </c>
      <c r="AR43" s="386">
        <f t="shared" si="84"/>
        <v>5.6180309839483779E-2</v>
      </c>
      <c r="AS43" s="386">
        <f t="shared" si="85"/>
        <v>0</v>
      </c>
      <c r="AT43" s="386">
        <f t="shared" si="86"/>
        <v>0</v>
      </c>
      <c r="AU43" s="386">
        <f t="shared" si="87"/>
        <v>2.9739445600000001E-2</v>
      </c>
      <c r="AV43" s="386">
        <f t="shared" si="88"/>
        <v>3.4521378541896878E-3</v>
      </c>
      <c r="AW43" s="386">
        <f t="shared" si="33"/>
        <v>6.5920000000000006E-2</v>
      </c>
      <c r="AX43" s="386">
        <f t="shared" si="89"/>
        <v>3.6000000000000004E-2</v>
      </c>
      <c r="AY43" s="386">
        <f t="shared" si="90"/>
        <v>0.40226399999999995</v>
      </c>
      <c r="AZ43" s="386">
        <f t="shared" si="36"/>
        <v>0.30415082926829268</v>
      </c>
      <c r="BA43" s="386">
        <f t="shared" si="57"/>
        <v>0.43826399999999999</v>
      </c>
      <c r="BB43" s="386">
        <f t="shared" si="58"/>
        <v>0.81770799644712977</v>
      </c>
      <c r="BC43">
        <f t="shared" si="91"/>
        <v>16.32</v>
      </c>
      <c r="BD43" s="604">
        <f t="shared" si="51"/>
        <v>0.95228603517946209</v>
      </c>
      <c r="BE43" s="614">
        <f t="shared" si="92"/>
        <v>7.3621679064377279</v>
      </c>
      <c r="BF43" s="614">
        <f t="shared" si="93"/>
        <v>3.8276709594740588</v>
      </c>
      <c r="BG43" s="9"/>
      <c r="BH43" s="4">
        <f t="shared" si="52"/>
        <v>95.228603517946212</v>
      </c>
      <c r="BI43" s="386">
        <f t="shared" si="53"/>
        <v>2.7428353498081971E-2</v>
      </c>
      <c r="BJ43" s="386">
        <f t="shared" si="54"/>
        <v>0.27970901531190406</v>
      </c>
      <c r="BK43" s="386">
        <f t="shared" si="94"/>
        <v>0.12693392942134013</v>
      </c>
      <c r="BL43" s="386">
        <f t="shared" si="95"/>
        <v>6.5994326887483773E-2</v>
      </c>
      <c r="BM43" s="386">
        <f t="shared" si="55"/>
        <v>3.4521378541896878E-3</v>
      </c>
      <c r="BR43">
        <v>9.998246</v>
      </c>
      <c r="BS43">
        <v>4.2430000000000003</v>
      </c>
      <c r="BT43">
        <v>5.1120590000000004</v>
      </c>
      <c r="BU43">
        <v>94.267178615859891</v>
      </c>
      <c r="BV43">
        <v>1319.0970775599953</v>
      </c>
    </row>
    <row r="44" spans="1:74" x14ac:dyDescent="0.2">
      <c r="A44" s="23" t="s">
        <v>96</v>
      </c>
      <c r="B44" s="5">
        <f>Vth_Q1</f>
        <v>1.8</v>
      </c>
      <c r="C44" s="482" t="s">
        <v>0</v>
      </c>
      <c r="D44" s="21" t="s">
        <v>106</v>
      </c>
      <c r="G44">
        <v>35</v>
      </c>
      <c r="H44" s="610">
        <f t="shared" si="59"/>
        <v>12</v>
      </c>
      <c r="I44" s="4" t="str">
        <f t="shared" si="60"/>
        <v>BUCK-BST</v>
      </c>
      <c r="J44">
        <f t="shared" si="43"/>
        <v>3</v>
      </c>
      <c r="K44" s="386">
        <f t="shared" si="96"/>
        <v>1.4</v>
      </c>
      <c r="L44" s="4">
        <f t="shared" si="61"/>
        <v>1.5555555555555551</v>
      </c>
      <c r="M44" s="4">
        <f t="shared" si="56"/>
        <v>1.4822657490735838</v>
      </c>
      <c r="N44" s="386">
        <f t="shared" si="62"/>
        <v>0.94450000000000001</v>
      </c>
      <c r="O44" s="386">
        <f t="shared" si="63"/>
        <v>5.5500000000000028E-2</v>
      </c>
      <c r="P44" s="4">
        <f t="shared" si="64"/>
        <v>0</v>
      </c>
      <c r="Q44" s="4">
        <f t="shared" si="65"/>
        <v>1.4822657490735838</v>
      </c>
      <c r="R44" s="386">
        <f t="shared" si="7"/>
        <v>2.9069320295314713E-2</v>
      </c>
      <c r="S44" s="386">
        <f t="shared" si="45"/>
        <v>0</v>
      </c>
      <c r="T44" s="386">
        <f t="shared" si="46"/>
        <v>2.9069320295314713E-2</v>
      </c>
      <c r="U44" s="4">
        <f t="shared" si="66"/>
        <v>0.3393700763223203</v>
      </c>
      <c r="V44" s="386">
        <f t="shared" si="9"/>
        <v>3.1096453149814726E-3</v>
      </c>
      <c r="W44" s="386">
        <f t="shared" si="47"/>
        <v>3.1096453149814726E-3</v>
      </c>
      <c r="X44" s="4">
        <f t="shared" si="67"/>
        <v>0</v>
      </c>
      <c r="Y44" s="386">
        <f t="shared" si="11"/>
        <v>0</v>
      </c>
      <c r="Z44" s="603">
        <f t="shared" si="48"/>
        <v>0</v>
      </c>
      <c r="AA44" s="386">
        <f t="shared" si="68"/>
        <v>1.4405457468275755</v>
      </c>
      <c r="AB44" s="386">
        <f t="shared" si="69"/>
        <v>2.0751720487030174E-2</v>
      </c>
      <c r="AC44" s="386">
        <f t="shared" si="70"/>
        <v>3.3758239130095992E-2</v>
      </c>
      <c r="AD44" s="386">
        <f t="shared" si="71"/>
        <v>0</v>
      </c>
      <c r="AE44" s="386">
        <f t="shared" si="72"/>
        <v>5.4773661888528509E-2</v>
      </c>
      <c r="AF44" s="386">
        <f t="shared" si="73"/>
        <v>0.34919865717619147</v>
      </c>
      <c r="AG44" s="386">
        <f t="shared" si="74"/>
        <v>1.219397021736553E-3</v>
      </c>
      <c r="AH44" s="386">
        <f t="shared" si="75"/>
        <v>3.3669999999999999E-2</v>
      </c>
      <c r="AI44" s="386">
        <f t="shared" si="76"/>
        <v>3.4899270029033286E-2</v>
      </c>
      <c r="AJ44" s="386">
        <f t="shared" si="77"/>
        <v>0.34919865717619158</v>
      </c>
      <c r="AK44" s="386">
        <f t="shared" si="78"/>
        <v>1.2193970217365538E-3</v>
      </c>
      <c r="AL44" s="386">
        <f t="shared" si="79"/>
        <v>0.10612653575380041</v>
      </c>
      <c r="AM44" s="386">
        <f t="shared" si="80"/>
        <v>0</v>
      </c>
      <c r="AN44" s="386">
        <f t="shared" si="81"/>
        <v>0.10737630954521592</v>
      </c>
      <c r="AO44" s="386">
        <f t="shared" si="49"/>
        <v>1.4405457468275755</v>
      </c>
      <c r="AP44" s="386">
        <f t="shared" si="82"/>
        <v>2.0751720487030174E-2</v>
      </c>
      <c r="AQ44" s="386">
        <f t="shared" si="83"/>
        <v>3.7411111111111096E-2</v>
      </c>
      <c r="AR44" s="386">
        <f t="shared" si="84"/>
        <v>5.8444205330783025E-2</v>
      </c>
      <c r="AS44" s="386">
        <f t="shared" si="85"/>
        <v>0</v>
      </c>
      <c r="AT44" s="386">
        <f t="shared" si="86"/>
        <v>0</v>
      </c>
      <c r="AU44" s="386">
        <f t="shared" si="87"/>
        <v>2.9960935000000001E-2</v>
      </c>
      <c r="AV44" s="386">
        <f t="shared" si="88"/>
        <v>3.65819106520966E-3</v>
      </c>
      <c r="AW44" s="386">
        <f t="shared" si="33"/>
        <v>6.5920000000000006E-2</v>
      </c>
      <c r="AX44" s="386">
        <f t="shared" si="89"/>
        <v>3.6000000000000004E-2</v>
      </c>
      <c r="AY44" s="386">
        <f t="shared" si="90"/>
        <v>0.40226399999999995</v>
      </c>
      <c r="AZ44" s="386">
        <f t="shared" si="36"/>
        <v>0.30415082926829268</v>
      </c>
      <c r="BA44" s="386">
        <f t="shared" si="57"/>
        <v>0.43826399999999999</v>
      </c>
      <c r="BB44" s="386">
        <f t="shared" si="58"/>
        <v>0.82547553846906663</v>
      </c>
      <c r="BC44">
        <f t="shared" si="91"/>
        <v>16.799999999999997</v>
      </c>
      <c r="BD44" s="604">
        <f t="shared" si="51"/>
        <v>0.95316577208555886</v>
      </c>
      <c r="BE44" s="614">
        <f t="shared" si="92"/>
        <v>7.3747305454225236</v>
      </c>
      <c r="BF44" s="614">
        <f t="shared" si="93"/>
        <v>3.9632162050854154</v>
      </c>
      <c r="BG44" s="9"/>
      <c r="BH44" s="4">
        <f t="shared" si="52"/>
        <v>95.316577208555884</v>
      </c>
      <c r="BI44" s="386">
        <f t="shared" si="53"/>
        <v>2.9069320295314713E-2</v>
      </c>
      <c r="BJ44" s="386">
        <f t="shared" si="54"/>
        <v>0.28545438179356075</v>
      </c>
      <c r="BK44" s="386">
        <f t="shared" si="94"/>
        <v>0.12715052664521592</v>
      </c>
      <c r="BL44" s="386">
        <f t="shared" si="95"/>
        <v>6.8331313880783021E-2</v>
      </c>
      <c r="BM44" s="386">
        <f t="shared" si="55"/>
        <v>3.65819106520966E-3</v>
      </c>
      <c r="BR44">
        <v>9.9981469999999995</v>
      </c>
      <c r="BS44">
        <v>4.8490000000000002</v>
      </c>
      <c r="BT44">
        <v>5.1107740000000002</v>
      </c>
      <c r="BU44">
        <v>93.953815994681278</v>
      </c>
      <c r="BV44">
        <v>1594.7983209009985</v>
      </c>
    </row>
    <row r="45" spans="1:74" x14ac:dyDescent="0.2">
      <c r="A45" s="28" t="s">
        <v>147</v>
      </c>
      <c r="B45" s="489">
        <f>Vsp_Q1</f>
        <v>1.8909090909090909</v>
      </c>
      <c r="C45" s="487" t="s">
        <v>0</v>
      </c>
      <c r="G45">
        <v>36</v>
      </c>
      <c r="H45" s="610">
        <f t="shared" si="59"/>
        <v>12</v>
      </c>
      <c r="I45" s="4" t="str">
        <f t="shared" si="60"/>
        <v>BUCK-BST</v>
      </c>
      <c r="J45">
        <f t="shared" si="43"/>
        <v>3</v>
      </c>
      <c r="K45" s="386">
        <f t="shared" si="96"/>
        <v>1.44</v>
      </c>
      <c r="L45" s="4">
        <f t="shared" si="61"/>
        <v>1.6</v>
      </c>
      <c r="M45" s="4">
        <f t="shared" si="56"/>
        <v>1.5246161990471148</v>
      </c>
      <c r="N45" s="386">
        <f t="shared" si="62"/>
        <v>0.94450000000000001</v>
      </c>
      <c r="O45" s="386">
        <f t="shared" si="63"/>
        <v>5.5500000000000028E-2</v>
      </c>
      <c r="P45" s="4">
        <f t="shared" si="64"/>
        <v>0</v>
      </c>
      <c r="Q45" s="4">
        <f t="shared" si="65"/>
        <v>1.5246161990471148</v>
      </c>
      <c r="R45" s="386">
        <f t="shared" si="7"/>
        <v>3.0758300180150557E-2</v>
      </c>
      <c r="S45" s="386">
        <f t="shared" si="45"/>
        <v>0</v>
      </c>
      <c r="T45" s="386">
        <f t="shared" si="46"/>
        <v>3.0758300180150557E-2</v>
      </c>
      <c r="U45" s="4">
        <f t="shared" si="66"/>
        <v>0.34906636421724374</v>
      </c>
      <c r="V45" s="386">
        <f t="shared" si="9"/>
        <v>3.2898778189518274E-3</v>
      </c>
      <c r="W45" s="386">
        <f t="shared" si="47"/>
        <v>3.2898778189518274E-3</v>
      </c>
      <c r="X45" s="4">
        <f t="shared" si="67"/>
        <v>0</v>
      </c>
      <c r="Y45" s="386">
        <f t="shared" si="11"/>
        <v>0</v>
      </c>
      <c r="Z45" s="603">
        <f t="shared" si="48"/>
        <v>0</v>
      </c>
      <c r="AA45" s="386">
        <f t="shared" si="68"/>
        <v>1.4817041967369349</v>
      </c>
      <c r="AB45" s="386">
        <f t="shared" si="69"/>
        <v>2.1954473266278453E-2</v>
      </c>
      <c r="AC45" s="386">
        <f t="shared" si="70"/>
        <v>3.4722760248098741E-2</v>
      </c>
      <c r="AD45" s="386">
        <f t="shared" si="71"/>
        <v>0</v>
      </c>
      <c r="AE45" s="386">
        <f t="shared" si="72"/>
        <v>5.6967393389106079E-2</v>
      </c>
      <c r="AF45" s="386">
        <f t="shared" si="73"/>
        <v>0.35917576166693982</v>
      </c>
      <c r="AG45" s="386">
        <f t="shared" si="74"/>
        <v>1.2900722776902635E-3</v>
      </c>
      <c r="AH45" s="386">
        <f t="shared" si="75"/>
        <v>3.4631999999999996E-2</v>
      </c>
      <c r="AI45" s="386">
        <f t="shared" si="76"/>
        <v>3.5932826856648795E-2</v>
      </c>
      <c r="AJ45" s="386">
        <f t="shared" si="77"/>
        <v>0.35917576166693993</v>
      </c>
      <c r="AK45" s="386">
        <f t="shared" si="78"/>
        <v>1.2900722776902644E-3</v>
      </c>
      <c r="AL45" s="386">
        <f t="shared" si="79"/>
        <v>0.10612653575380041</v>
      </c>
      <c r="AM45" s="386">
        <f t="shared" si="80"/>
        <v>0</v>
      </c>
      <c r="AN45" s="386">
        <f t="shared" si="81"/>
        <v>0.10744876710025493</v>
      </c>
      <c r="AO45" s="386">
        <f t="shared" si="49"/>
        <v>1.4817041967369349</v>
      </c>
      <c r="AP45" s="386">
        <f t="shared" si="82"/>
        <v>2.1954473266278453E-2</v>
      </c>
      <c r="AQ45" s="386">
        <f t="shared" si="83"/>
        <v>3.848E-2</v>
      </c>
      <c r="AR45" s="386">
        <f t="shared" si="84"/>
        <v>6.074386838147583E-2</v>
      </c>
      <c r="AS45" s="386">
        <f t="shared" si="85"/>
        <v>0</v>
      </c>
      <c r="AT45" s="386">
        <f t="shared" si="86"/>
        <v>0</v>
      </c>
      <c r="AU45" s="386">
        <f t="shared" si="87"/>
        <v>3.0182409600000001E-2</v>
      </c>
      <c r="AV45" s="386">
        <f t="shared" si="88"/>
        <v>3.8702168330707917E-3</v>
      </c>
      <c r="AW45" s="386">
        <f t="shared" si="33"/>
        <v>6.5920000000000006E-2</v>
      </c>
      <c r="AX45" s="386">
        <f t="shared" si="89"/>
        <v>3.6000000000000004E-2</v>
      </c>
      <c r="AY45" s="386">
        <f t="shared" si="90"/>
        <v>0.40226399999999995</v>
      </c>
      <c r="AZ45" s="386">
        <f t="shared" si="36"/>
        <v>0.30415082926829268</v>
      </c>
      <c r="BA45" s="386">
        <f t="shared" si="57"/>
        <v>0.43826399999999999</v>
      </c>
      <c r="BB45" s="386">
        <f t="shared" si="58"/>
        <v>0.83337766015965875</v>
      </c>
      <c r="BC45">
        <f t="shared" si="91"/>
        <v>17.28</v>
      </c>
      <c r="BD45" s="604">
        <f t="shared" si="51"/>
        <v>0.953991040445611</v>
      </c>
      <c r="BE45" s="614">
        <f t="shared" si="92"/>
        <v>7.3874111313027857</v>
      </c>
      <c r="BF45" s="614">
        <f t="shared" si="93"/>
        <v>4.1008356858695985</v>
      </c>
      <c r="BG45" s="9"/>
      <c r="BH45" s="4">
        <f t="shared" si="52"/>
        <v>95.399104044561099</v>
      </c>
      <c r="BI45" s="386">
        <f t="shared" si="53"/>
        <v>3.0758300180150557E-2</v>
      </c>
      <c r="BJ45" s="386">
        <f t="shared" si="54"/>
        <v>0.29127526532748566</v>
      </c>
      <c r="BK45" s="386">
        <f t="shared" si="94"/>
        <v>0.12736915743625493</v>
      </c>
      <c r="BL45" s="386">
        <f t="shared" si="95"/>
        <v>7.0704063549475837E-2</v>
      </c>
      <c r="BM45" s="386">
        <f t="shared" si="55"/>
        <v>3.8702168330707917E-3</v>
      </c>
      <c r="BR45">
        <v>9.9979859999999992</v>
      </c>
      <c r="BS45">
        <v>5.4960000000000004</v>
      </c>
      <c r="BT45">
        <v>5.1097890000000001</v>
      </c>
      <c r="BU45">
        <v>93.599771362833366</v>
      </c>
      <c r="BV45">
        <v>1920.3056923499939</v>
      </c>
    </row>
    <row r="46" spans="1:74" x14ac:dyDescent="0.2">
      <c r="A46" s="77" t="s">
        <v>239</v>
      </c>
      <c r="B46" s="5">
        <f>Vsd_Q1</f>
        <v>1.3</v>
      </c>
      <c r="C46" s="487" t="s">
        <v>0</v>
      </c>
      <c r="G46">
        <v>37</v>
      </c>
      <c r="H46" s="610">
        <f t="shared" si="59"/>
        <v>12</v>
      </c>
      <c r="I46" s="4" t="str">
        <f t="shared" si="60"/>
        <v>BUCK-BST</v>
      </c>
      <c r="J46">
        <f t="shared" si="43"/>
        <v>3</v>
      </c>
      <c r="K46" s="386">
        <f t="shared" si="96"/>
        <v>1.48</v>
      </c>
      <c r="L46" s="4">
        <f t="shared" si="61"/>
        <v>1.6444444444444442</v>
      </c>
      <c r="M46" s="4">
        <f t="shared" si="56"/>
        <v>1.5669666490206458</v>
      </c>
      <c r="N46" s="386">
        <f t="shared" si="62"/>
        <v>0.94450000000000001</v>
      </c>
      <c r="O46" s="386">
        <f t="shared" si="63"/>
        <v>5.5500000000000028E-2</v>
      </c>
      <c r="P46" s="4">
        <f t="shared" si="64"/>
        <v>0</v>
      </c>
      <c r="Q46" s="4">
        <f t="shared" si="65"/>
        <v>1.5669666490206458</v>
      </c>
      <c r="R46" s="386">
        <f t="shared" si="7"/>
        <v>3.2495331815942538E-2</v>
      </c>
      <c r="S46" s="386">
        <f t="shared" si="45"/>
        <v>0</v>
      </c>
      <c r="T46" s="386">
        <f t="shared" si="46"/>
        <v>3.2495331815942538E-2</v>
      </c>
      <c r="U46" s="4">
        <f t="shared" si="66"/>
        <v>0.35876265211216718</v>
      </c>
      <c r="V46" s="386">
        <f t="shared" si="9"/>
        <v>3.475187294865009E-3</v>
      </c>
      <c r="W46" s="386">
        <f t="shared" si="47"/>
        <v>3.475187294865009E-3</v>
      </c>
      <c r="X46" s="4">
        <f t="shared" si="67"/>
        <v>0</v>
      </c>
      <c r="Y46" s="386">
        <f t="shared" si="11"/>
        <v>0</v>
      </c>
      <c r="Z46" s="603">
        <f t="shared" si="48"/>
        <v>0</v>
      </c>
      <c r="AA46" s="386">
        <f t="shared" si="68"/>
        <v>1.5228626466462942</v>
      </c>
      <c r="AB46" s="386">
        <f t="shared" si="69"/>
        <v>2.3191106405505559E-2</v>
      </c>
      <c r="AC46" s="386">
        <f t="shared" si="70"/>
        <v>3.5687281366101477E-2</v>
      </c>
      <c r="AD46" s="386">
        <f t="shared" si="71"/>
        <v>0</v>
      </c>
      <c r="AE46" s="386">
        <f t="shared" si="72"/>
        <v>5.9196886954188219E-2</v>
      </c>
      <c r="AF46" s="386">
        <f t="shared" si="73"/>
        <v>0.36915286615768816</v>
      </c>
      <c r="AG46" s="386">
        <f t="shared" si="74"/>
        <v>1.3627383859243602E-3</v>
      </c>
      <c r="AH46" s="386">
        <f t="shared" si="75"/>
        <v>3.5594000000000001E-2</v>
      </c>
      <c r="AI46" s="386">
        <f t="shared" si="76"/>
        <v>3.6968426149988937E-2</v>
      </c>
      <c r="AJ46" s="386">
        <f t="shared" si="77"/>
        <v>0.36915286615768822</v>
      </c>
      <c r="AK46" s="386">
        <f t="shared" si="78"/>
        <v>1.3627383859243609E-3</v>
      </c>
      <c r="AL46" s="386">
        <f t="shared" si="79"/>
        <v>0.10612653575380041</v>
      </c>
      <c r="AM46" s="386">
        <f t="shared" si="80"/>
        <v>0</v>
      </c>
      <c r="AN46" s="386">
        <f t="shared" si="81"/>
        <v>0.10752326819143189</v>
      </c>
      <c r="AO46" s="386">
        <f t="shared" si="49"/>
        <v>1.5228626466462942</v>
      </c>
      <c r="AP46" s="386">
        <f t="shared" si="82"/>
        <v>2.3191106405505559E-2</v>
      </c>
      <c r="AQ46" s="386">
        <f t="shared" si="83"/>
        <v>3.9548888888888876E-2</v>
      </c>
      <c r="AR46" s="386">
        <f t="shared" si="84"/>
        <v>6.3079383616199816E-2</v>
      </c>
      <c r="AS46" s="386">
        <f t="shared" si="85"/>
        <v>0</v>
      </c>
      <c r="AT46" s="386">
        <f t="shared" si="86"/>
        <v>0</v>
      </c>
      <c r="AU46" s="386">
        <f t="shared" si="87"/>
        <v>3.0403869400000002E-2</v>
      </c>
      <c r="AV46" s="386">
        <f t="shared" si="88"/>
        <v>4.0882151577730811E-3</v>
      </c>
      <c r="AW46" s="386">
        <f t="shared" si="33"/>
        <v>6.5920000000000006E-2</v>
      </c>
      <c r="AX46" s="386">
        <f t="shared" si="89"/>
        <v>3.6000000000000004E-2</v>
      </c>
      <c r="AY46" s="386">
        <f t="shared" si="90"/>
        <v>0.40226399999999995</v>
      </c>
      <c r="AZ46" s="386">
        <f t="shared" si="36"/>
        <v>0.30415082926829268</v>
      </c>
      <c r="BA46" s="386">
        <f t="shared" si="57"/>
        <v>0.43826399999999999</v>
      </c>
      <c r="BB46" s="386">
        <f t="shared" si="58"/>
        <v>0.84141456858038943</v>
      </c>
      <c r="BC46">
        <f t="shared" si="91"/>
        <v>17.759999999999998</v>
      </c>
      <c r="BD46" s="604">
        <f t="shared" si="51"/>
        <v>0.95476609773529686</v>
      </c>
      <c r="BE46" s="614">
        <f t="shared" si="92"/>
        <v>7.4002096757350504</v>
      </c>
      <c r="BF46" s="614">
        <f t="shared" si="93"/>
        <v>4.2405343100555895</v>
      </c>
      <c r="BG46" s="9"/>
      <c r="BH46" s="4">
        <f t="shared" si="52"/>
        <v>95.476609773529688</v>
      </c>
      <c r="BI46" s="386">
        <f t="shared" si="53"/>
        <v>3.2495331815942538E-2</v>
      </c>
      <c r="BJ46" s="386">
        <f t="shared" si="54"/>
        <v>0.29717183431180888</v>
      </c>
      <c r="BK46" s="386">
        <f t="shared" si="94"/>
        <v>0.1275898219954319</v>
      </c>
      <c r="BL46" s="386">
        <f t="shared" si="95"/>
        <v>7.3112660518199812E-2</v>
      </c>
      <c r="BM46" s="386">
        <f t="shared" si="55"/>
        <v>4.0882151577730811E-3</v>
      </c>
      <c r="BR46">
        <v>9.9978999999999996</v>
      </c>
      <c r="BS46">
        <v>6.1950000000000003</v>
      </c>
      <c r="BT46">
        <v>5.109191</v>
      </c>
      <c r="BU46">
        <v>93.156651672159526</v>
      </c>
      <c r="BV46">
        <v>2325.1351758999972</v>
      </c>
    </row>
    <row r="47" spans="1:74" ht="15.75" x14ac:dyDescent="0.3">
      <c r="A47" s="488" t="s">
        <v>680</v>
      </c>
      <c r="B47" s="5">
        <f>ThetaJA_Q1</f>
        <v>58</v>
      </c>
      <c r="C47" s="483" t="s">
        <v>241</v>
      </c>
      <c r="D47" s="21" t="s">
        <v>107</v>
      </c>
      <c r="G47">
        <v>38</v>
      </c>
      <c r="H47" s="610">
        <f t="shared" si="59"/>
        <v>12</v>
      </c>
      <c r="I47" s="4" t="str">
        <f t="shared" si="60"/>
        <v>BUCK-BST</v>
      </c>
      <c r="J47">
        <f t="shared" si="43"/>
        <v>3</v>
      </c>
      <c r="K47" s="386">
        <f t="shared" si="96"/>
        <v>1.52</v>
      </c>
      <c r="L47" s="4">
        <f t="shared" si="61"/>
        <v>1.6888888888888889</v>
      </c>
      <c r="M47" s="4">
        <f t="shared" si="56"/>
        <v>1.6093170989941767</v>
      </c>
      <c r="N47" s="386">
        <f t="shared" si="62"/>
        <v>0.94450000000000001</v>
      </c>
      <c r="O47" s="386">
        <f t="shared" si="63"/>
        <v>5.5500000000000028E-2</v>
      </c>
      <c r="P47" s="4">
        <f t="shared" si="64"/>
        <v>0</v>
      </c>
      <c r="Q47" s="4">
        <f t="shared" si="65"/>
        <v>1.6093170989941767</v>
      </c>
      <c r="R47" s="386">
        <f t="shared" si="7"/>
        <v>3.4280454982306606E-2</v>
      </c>
      <c r="S47" s="386">
        <f t="shared" si="45"/>
        <v>0</v>
      </c>
      <c r="T47" s="386">
        <f t="shared" si="46"/>
        <v>3.4280454982306606E-2</v>
      </c>
      <c r="U47" s="4">
        <f t="shared" si="66"/>
        <v>0.36845894000709062</v>
      </c>
      <c r="V47" s="386">
        <f t="shared" si="9"/>
        <v>3.665573742721018E-3</v>
      </c>
      <c r="W47" s="386">
        <f t="shared" si="47"/>
        <v>3.665573742721018E-3</v>
      </c>
      <c r="X47" s="4">
        <f t="shared" si="67"/>
        <v>0</v>
      </c>
      <c r="Y47" s="386">
        <f t="shared" si="11"/>
        <v>0</v>
      </c>
      <c r="Z47" s="603">
        <f t="shared" si="48"/>
        <v>0</v>
      </c>
      <c r="AA47" s="386">
        <f t="shared" si="68"/>
        <v>1.5640210965556536</v>
      </c>
      <c r="AB47" s="386">
        <f t="shared" si="69"/>
        <v>2.446161990471149E-2</v>
      </c>
      <c r="AC47" s="386">
        <f t="shared" si="70"/>
        <v>3.6651802484104233E-2</v>
      </c>
      <c r="AD47" s="386">
        <f t="shared" si="71"/>
        <v>0</v>
      </c>
      <c r="AE47" s="386">
        <f t="shared" si="72"/>
        <v>6.1462226412889912E-2</v>
      </c>
      <c r="AF47" s="386">
        <f t="shared" si="73"/>
        <v>0.37912997064843651</v>
      </c>
      <c r="AG47" s="386">
        <f t="shared" si="74"/>
        <v>1.4373953464388435E-3</v>
      </c>
      <c r="AH47" s="386">
        <f t="shared" si="75"/>
        <v>3.6555999999999998E-2</v>
      </c>
      <c r="AI47" s="386">
        <f t="shared" si="76"/>
        <v>3.8006069447826529E-2</v>
      </c>
      <c r="AJ47" s="386">
        <f t="shared" si="77"/>
        <v>0.37912997064843657</v>
      </c>
      <c r="AK47" s="386">
        <f t="shared" si="78"/>
        <v>1.4373953464388437E-3</v>
      </c>
      <c r="AL47" s="386">
        <f t="shared" si="79"/>
        <v>0.10612653575380041</v>
      </c>
      <c r="AM47" s="386">
        <f t="shared" si="80"/>
        <v>0</v>
      </c>
      <c r="AN47" s="386">
        <f t="shared" si="81"/>
        <v>0.10759981302539998</v>
      </c>
      <c r="AO47" s="386">
        <f t="shared" si="49"/>
        <v>1.5640210965556536</v>
      </c>
      <c r="AP47" s="386">
        <f t="shared" si="82"/>
        <v>2.446161990471149E-2</v>
      </c>
      <c r="AQ47" s="386">
        <f t="shared" si="83"/>
        <v>4.0617777777777773E-2</v>
      </c>
      <c r="AR47" s="386">
        <f t="shared" si="84"/>
        <v>6.5450837456415778E-2</v>
      </c>
      <c r="AS47" s="386">
        <f t="shared" si="85"/>
        <v>0</v>
      </c>
      <c r="AT47" s="386">
        <f t="shared" si="86"/>
        <v>0</v>
      </c>
      <c r="AU47" s="386">
        <f t="shared" si="87"/>
        <v>3.0625314399999999E-2</v>
      </c>
      <c r="AV47" s="386">
        <f t="shared" si="88"/>
        <v>4.31218603931653E-3</v>
      </c>
      <c r="AW47" s="386">
        <f t="shared" si="33"/>
        <v>6.5920000000000006E-2</v>
      </c>
      <c r="AX47" s="386">
        <f t="shared" si="89"/>
        <v>3.6000000000000004E-2</v>
      </c>
      <c r="AY47" s="386">
        <f t="shared" si="90"/>
        <v>0.40226399999999995</v>
      </c>
      <c r="AZ47" s="386">
        <f t="shared" si="36"/>
        <v>0.30415082926829268</v>
      </c>
      <c r="BA47" s="386">
        <f t="shared" si="57"/>
        <v>0.43826399999999999</v>
      </c>
      <c r="BB47" s="386">
        <f t="shared" si="58"/>
        <v>0.84958647550687627</v>
      </c>
      <c r="BC47">
        <f t="shared" si="91"/>
        <v>18.240000000000002</v>
      </c>
      <c r="BD47" s="604">
        <f t="shared" si="51"/>
        <v>0.95549476796697785</v>
      </c>
      <c r="BE47" s="614">
        <f t="shared" si="92"/>
        <v>7.4131261907051993</v>
      </c>
      <c r="BF47" s="614">
        <f t="shared" si="93"/>
        <v>4.3823170900881152</v>
      </c>
      <c r="BG47" s="9"/>
      <c r="BH47" s="4">
        <f t="shared" si="52"/>
        <v>95.549476796697789</v>
      </c>
      <c r="BI47" s="386">
        <f t="shared" si="53"/>
        <v>3.4280454982306606E-2</v>
      </c>
      <c r="BJ47" s="386">
        <f t="shared" si="54"/>
        <v>0.3031442607425322</v>
      </c>
      <c r="BK47" s="386">
        <f t="shared" si="94"/>
        <v>0.12781252052939998</v>
      </c>
      <c r="BL47" s="386">
        <f t="shared" si="95"/>
        <v>7.555719120841578E-2</v>
      </c>
      <c r="BM47" s="386">
        <f t="shared" si="55"/>
        <v>4.31218603931653E-3</v>
      </c>
      <c r="BR47">
        <v>9.9976269999999996</v>
      </c>
      <c r="BS47">
        <v>6.9470000000000001</v>
      </c>
      <c r="BT47">
        <v>5.1086669999999996</v>
      </c>
      <c r="BU47">
        <v>92.656807634751772</v>
      </c>
      <c r="BV47">
        <v>2812.6290012010018</v>
      </c>
    </row>
    <row r="48" spans="1:74" x14ac:dyDescent="0.2">
      <c r="A48" s="24" t="s">
        <v>767</v>
      </c>
      <c r="B48" s="15" t="s">
        <v>115</v>
      </c>
      <c r="C48" s="24" t="s">
        <v>80</v>
      </c>
      <c r="D48" s="17" t="s">
        <v>111</v>
      </c>
      <c r="G48">
        <v>39</v>
      </c>
      <c r="H48" s="610">
        <f t="shared" si="59"/>
        <v>12</v>
      </c>
      <c r="I48" s="4" t="str">
        <f t="shared" si="60"/>
        <v>BUCK-BST</v>
      </c>
      <c r="J48">
        <f t="shared" si="43"/>
        <v>3</v>
      </c>
      <c r="K48" s="386">
        <f t="shared" si="96"/>
        <v>1.56</v>
      </c>
      <c r="L48" s="4">
        <f t="shared" si="61"/>
        <v>1.7333333333333332</v>
      </c>
      <c r="M48" s="4">
        <f t="shared" si="56"/>
        <v>1.6516675489677077</v>
      </c>
      <c r="N48" s="386">
        <f t="shared" si="62"/>
        <v>0.94450000000000001</v>
      </c>
      <c r="O48" s="386">
        <f t="shared" si="63"/>
        <v>5.5500000000000028E-2</v>
      </c>
      <c r="P48" s="4">
        <f t="shared" si="64"/>
        <v>0</v>
      </c>
      <c r="Q48" s="4">
        <f t="shared" si="65"/>
        <v>1.6516675489677077</v>
      </c>
      <c r="R48" s="386">
        <f t="shared" si="7"/>
        <v>3.6113710577406685E-2</v>
      </c>
      <c r="S48" s="386">
        <f t="shared" si="45"/>
        <v>0</v>
      </c>
      <c r="T48" s="386">
        <f t="shared" si="46"/>
        <v>3.6113710577406685E-2</v>
      </c>
      <c r="U48" s="4">
        <f t="shared" si="66"/>
        <v>0.37815522790201406</v>
      </c>
      <c r="V48" s="386">
        <f t="shared" si="9"/>
        <v>3.8610371625198529E-3</v>
      </c>
      <c r="W48" s="386">
        <f t="shared" si="47"/>
        <v>3.8610371625198529E-3</v>
      </c>
      <c r="X48" s="4">
        <f t="shared" si="67"/>
        <v>0</v>
      </c>
      <c r="Y48" s="386">
        <f t="shared" si="11"/>
        <v>0</v>
      </c>
      <c r="Z48" s="603">
        <f t="shared" si="48"/>
        <v>0</v>
      </c>
      <c r="AA48" s="386">
        <f t="shared" si="68"/>
        <v>1.6051795464650127</v>
      </c>
      <c r="AB48" s="386">
        <f t="shared" si="69"/>
        <v>2.5766013763896242E-2</v>
      </c>
      <c r="AC48" s="386">
        <f t="shared" si="70"/>
        <v>3.7616323602106969E-2</v>
      </c>
      <c r="AD48" s="386">
        <f t="shared" si="71"/>
        <v>0</v>
      </c>
      <c r="AE48" s="386">
        <f t="shared" si="72"/>
        <v>6.3763497393143298E-2</v>
      </c>
      <c r="AF48" s="386">
        <f t="shared" si="73"/>
        <v>0.3891070751391848</v>
      </c>
      <c r="AG48" s="386">
        <f t="shared" si="74"/>
        <v>1.514043159233712E-3</v>
      </c>
      <c r="AH48" s="386">
        <f t="shared" si="75"/>
        <v>3.7517999999999996E-2</v>
      </c>
      <c r="AI48" s="386">
        <f t="shared" si="76"/>
        <v>3.9045758294706127E-2</v>
      </c>
      <c r="AJ48" s="386">
        <f t="shared" si="77"/>
        <v>0.38910707513918491</v>
      </c>
      <c r="AK48" s="386">
        <f t="shared" si="78"/>
        <v>1.5140431592337129E-3</v>
      </c>
      <c r="AL48" s="386">
        <f t="shared" si="79"/>
        <v>0.10612653575380041</v>
      </c>
      <c r="AM48" s="386">
        <f t="shared" si="80"/>
        <v>0</v>
      </c>
      <c r="AN48" s="386">
        <f t="shared" si="81"/>
        <v>0.10767840181449227</v>
      </c>
      <c r="AO48" s="386">
        <f t="shared" si="49"/>
        <v>1.6051795464650127</v>
      </c>
      <c r="AP48" s="386">
        <f t="shared" si="82"/>
        <v>2.5766013763896242E-2</v>
      </c>
      <c r="AQ48" s="386">
        <f t="shared" si="83"/>
        <v>4.1686666666666664E-2</v>
      </c>
      <c r="AR48" s="386">
        <f t="shared" si="84"/>
        <v>6.7858318129834241E-2</v>
      </c>
      <c r="AS48" s="386">
        <f t="shared" si="85"/>
        <v>0</v>
      </c>
      <c r="AT48" s="386">
        <f t="shared" si="86"/>
        <v>0</v>
      </c>
      <c r="AU48" s="386">
        <f t="shared" si="87"/>
        <v>3.0846744600000003E-2</v>
      </c>
      <c r="AV48" s="386">
        <f t="shared" si="88"/>
        <v>4.5421294777011362E-3</v>
      </c>
      <c r="AW48" s="386">
        <f t="shared" si="33"/>
        <v>6.5920000000000006E-2</v>
      </c>
      <c r="AX48" s="386">
        <f t="shared" si="89"/>
        <v>3.6000000000000004E-2</v>
      </c>
      <c r="AY48" s="386">
        <f t="shared" si="90"/>
        <v>0.40226399999999995</v>
      </c>
      <c r="AZ48" s="386">
        <f t="shared" si="36"/>
        <v>0.30415082926829268</v>
      </c>
      <c r="BA48" s="386">
        <f t="shared" si="57"/>
        <v>0.43826399999999999</v>
      </c>
      <c r="BB48" s="386">
        <f t="shared" si="58"/>
        <v>0.85789359744980365</v>
      </c>
      <c r="BC48">
        <f t="shared" si="91"/>
        <v>18.72</v>
      </c>
      <c r="BD48" s="604">
        <f t="shared" si="51"/>
        <v>0.95618049545628592</v>
      </c>
      <c r="BE48" s="614">
        <f t="shared" si="92"/>
        <v>7.4261606885285527</v>
      </c>
      <c r="BF48" s="614">
        <f t="shared" si="93"/>
        <v>4.5261891431743857</v>
      </c>
      <c r="BG48" s="9"/>
      <c r="BH48" s="4">
        <f t="shared" si="52"/>
        <v>95.618049545628594</v>
      </c>
      <c r="BI48" s="386">
        <f t="shared" si="53"/>
        <v>3.6113710577406685E-2</v>
      </c>
      <c r="BJ48" s="386">
        <f t="shared" si="54"/>
        <v>0.30919272023217592</v>
      </c>
      <c r="BK48" s="386">
        <f t="shared" si="94"/>
        <v>0.12803725325049228</v>
      </c>
      <c r="BL48" s="386">
        <f t="shared" si="95"/>
        <v>7.803774384783424E-2</v>
      </c>
      <c r="BM48" s="386">
        <f t="shared" si="55"/>
        <v>4.5421294777011362E-3</v>
      </c>
      <c r="BR48">
        <v>9.9975280000000009</v>
      </c>
      <c r="BS48">
        <v>7.7530000000000001</v>
      </c>
      <c r="BT48">
        <v>5.10853</v>
      </c>
      <c r="BU48">
        <v>92.034336419785248</v>
      </c>
      <c r="BV48">
        <v>3427.976173640001</v>
      </c>
    </row>
    <row r="49" spans="1:74" x14ac:dyDescent="0.2">
      <c r="A49" s="23" t="s">
        <v>72</v>
      </c>
      <c r="B49" s="5">
        <f>Rdson2*1000</f>
        <v>10</v>
      </c>
      <c r="C49" s="484" t="s">
        <v>674</v>
      </c>
      <c r="D49" s="482" t="s">
        <v>768</v>
      </c>
      <c r="G49">
        <v>40</v>
      </c>
      <c r="H49" s="610">
        <f t="shared" si="59"/>
        <v>12</v>
      </c>
      <c r="I49" s="4" t="str">
        <f t="shared" si="60"/>
        <v>BUCK-BST</v>
      </c>
      <c r="J49">
        <f t="shared" si="43"/>
        <v>3</v>
      </c>
      <c r="K49" s="386">
        <f t="shared" si="96"/>
        <v>1.6</v>
      </c>
      <c r="L49" s="4">
        <f t="shared" si="61"/>
        <v>1.7777777777777779</v>
      </c>
      <c r="M49" s="4">
        <f t="shared" si="56"/>
        <v>1.6940179989412387</v>
      </c>
      <c r="N49" s="386">
        <f t="shared" si="62"/>
        <v>0.94450000000000001</v>
      </c>
      <c r="O49" s="386">
        <f t="shared" si="63"/>
        <v>5.5500000000000028E-2</v>
      </c>
      <c r="P49" s="4">
        <f t="shared" si="64"/>
        <v>0</v>
      </c>
      <c r="Q49" s="4">
        <f t="shared" si="65"/>
        <v>1.6940179989412387</v>
      </c>
      <c r="R49" s="386">
        <f t="shared" si="7"/>
        <v>3.7995140620305519E-2</v>
      </c>
      <c r="S49" s="386">
        <f t="shared" si="45"/>
        <v>0</v>
      </c>
      <c r="T49" s="386">
        <f t="shared" si="46"/>
        <v>3.7995140620305519E-2</v>
      </c>
      <c r="U49" s="4">
        <f t="shared" si="66"/>
        <v>0.38785151579693755</v>
      </c>
      <c r="V49" s="386">
        <f t="shared" si="9"/>
        <v>4.0615775542615171E-3</v>
      </c>
      <c r="W49" s="386">
        <f t="shared" si="47"/>
        <v>4.0615775542615171E-3</v>
      </c>
      <c r="X49" s="4">
        <f t="shared" si="67"/>
        <v>0</v>
      </c>
      <c r="Y49" s="386">
        <f t="shared" si="11"/>
        <v>0</v>
      </c>
      <c r="Z49" s="603">
        <f t="shared" si="48"/>
        <v>0</v>
      </c>
      <c r="AA49" s="386">
        <f t="shared" si="68"/>
        <v>1.6463379963743721</v>
      </c>
      <c r="AB49" s="386">
        <f t="shared" si="69"/>
        <v>2.7104287983059822E-2</v>
      </c>
      <c r="AC49" s="386">
        <f t="shared" si="70"/>
        <v>3.8580844720109718E-2</v>
      </c>
      <c r="AD49" s="386">
        <f t="shared" si="71"/>
        <v>0</v>
      </c>
      <c r="AE49" s="386">
        <f t="shared" si="72"/>
        <v>6.6100787331138944E-2</v>
      </c>
      <c r="AF49" s="386">
        <f t="shared" si="73"/>
        <v>0.39908417962993314</v>
      </c>
      <c r="AG49" s="386">
        <f t="shared" si="74"/>
        <v>1.5926818243089675E-3</v>
      </c>
      <c r="AH49" s="386">
        <f t="shared" si="75"/>
        <v>3.848E-2</v>
      </c>
      <c r="AI49" s="386">
        <f t="shared" si="76"/>
        <v>4.0087494240951607E-2</v>
      </c>
      <c r="AJ49" s="386">
        <f t="shared" si="77"/>
        <v>0.39908417962993326</v>
      </c>
      <c r="AK49" s="386">
        <f t="shared" si="78"/>
        <v>1.5926818243089684E-3</v>
      </c>
      <c r="AL49" s="386">
        <f t="shared" si="79"/>
        <v>0.10612653575380041</v>
      </c>
      <c r="AM49" s="386">
        <f t="shared" si="80"/>
        <v>0</v>
      </c>
      <c r="AN49" s="386">
        <f t="shared" si="81"/>
        <v>0.10775903477672318</v>
      </c>
      <c r="AO49" s="386">
        <f t="shared" si="49"/>
        <v>1.6463379963743721</v>
      </c>
      <c r="AP49" s="386">
        <f t="shared" si="82"/>
        <v>2.7104287983059822E-2</v>
      </c>
      <c r="AQ49" s="386">
        <f t="shared" si="83"/>
        <v>4.2755555555555554E-2</v>
      </c>
      <c r="AR49" s="386">
        <f t="shared" si="84"/>
        <v>7.0301915680073393E-2</v>
      </c>
      <c r="AS49" s="386">
        <f t="shared" si="85"/>
        <v>0</v>
      </c>
      <c r="AT49" s="386">
        <f t="shared" si="86"/>
        <v>0</v>
      </c>
      <c r="AU49" s="386">
        <f t="shared" si="87"/>
        <v>3.1068160000000004E-2</v>
      </c>
      <c r="AV49" s="386">
        <f t="shared" si="88"/>
        <v>4.7780454729269041E-3</v>
      </c>
      <c r="AW49" s="386">
        <f t="shared" si="33"/>
        <v>6.5920000000000006E-2</v>
      </c>
      <c r="AX49" s="386">
        <f t="shared" si="89"/>
        <v>3.6000000000000004E-2</v>
      </c>
      <c r="AY49" s="386">
        <f t="shared" si="90"/>
        <v>0.40226399999999995</v>
      </c>
      <c r="AZ49" s="386">
        <f t="shared" si="36"/>
        <v>0.30415082926829268</v>
      </c>
      <c r="BA49" s="386">
        <f t="shared" si="57"/>
        <v>0.43826399999999999</v>
      </c>
      <c r="BB49" s="386">
        <f t="shared" si="58"/>
        <v>0.86633615567638111</v>
      </c>
      <c r="BC49">
        <f t="shared" si="91"/>
        <v>19.200000000000003</v>
      </c>
      <c r="BD49" s="604">
        <f t="shared" si="51"/>
        <v>0.95682639077929965</v>
      </c>
      <c r="BE49" s="614">
        <f t="shared" si="92"/>
        <v>7.4393131818499452</v>
      </c>
      <c r="BF49" s="614">
        <f t="shared" si="93"/>
        <v>4.6721556918442566</v>
      </c>
      <c r="BG49" s="9"/>
      <c r="BH49" s="4">
        <f t="shared" si="52"/>
        <v>95.682639077929963</v>
      </c>
      <c r="BI49" s="386">
        <f t="shared" si="53"/>
        <v>3.7995140620305519E-2</v>
      </c>
      <c r="BJ49" s="386">
        <f t="shared" si="54"/>
        <v>0.31531739202888714</v>
      </c>
      <c r="BK49" s="386">
        <f t="shared" si="94"/>
        <v>0.12826402037672319</v>
      </c>
      <c r="BL49" s="386">
        <f t="shared" si="95"/>
        <v>8.0554408480073392E-2</v>
      </c>
      <c r="BM49" s="386">
        <f t="shared" si="55"/>
        <v>4.7780454729269041E-3</v>
      </c>
      <c r="BR49">
        <v>9.9970090000000003</v>
      </c>
      <c r="BS49">
        <v>8.6120000000000001</v>
      </c>
      <c r="BT49">
        <v>5.1085419999999999</v>
      </c>
      <c r="BU49">
        <v>91.346378256658895</v>
      </c>
      <c r="BV49">
        <v>4167.8065612820019</v>
      </c>
    </row>
    <row r="50" spans="1:74" x14ac:dyDescent="0.2">
      <c r="A50" s="23" t="s">
        <v>84</v>
      </c>
      <c r="B50" s="5">
        <f>RdsonBotTc*1000000</f>
        <v>4000</v>
      </c>
      <c r="C50" s="482" t="s">
        <v>85</v>
      </c>
      <c r="D50" s="21" t="s">
        <v>108</v>
      </c>
      <c r="G50">
        <v>41</v>
      </c>
      <c r="H50" s="610">
        <f t="shared" si="59"/>
        <v>12</v>
      </c>
      <c r="I50" s="4" t="str">
        <f t="shared" si="60"/>
        <v>BUCK-BST</v>
      </c>
      <c r="J50">
        <f t="shared" si="43"/>
        <v>3</v>
      </c>
      <c r="K50" s="386">
        <f t="shared" si="96"/>
        <v>1.64</v>
      </c>
      <c r="L50" s="4">
        <f t="shared" si="61"/>
        <v>1.822222222222222</v>
      </c>
      <c r="M50" s="4">
        <f t="shared" si="56"/>
        <v>1.7363684489147697</v>
      </c>
      <c r="N50" s="386">
        <f t="shared" si="62"/>
        <v>0.94450000000000001</v>
      </c>
      <c r="O50" s="386">
        <f t="shared" si="63"/>
        <v>5.5500000000000028E-2</v>
      </c>
      <c r="P50" s="4">
        <f t="shared" si="64"/>
        <v>0</v>
      </c>
      <c r="Q50" s="4">
        <f t="shared" si="65"/>
        <v>1.7363684489147697</v>
      </c>
      <c r="R50" s="386">
        <f t="shared" si="7"/>
        <v>3.9924788253381374E-2</v>
      </c>
      <c r="S50" s="386">
        <f t="shared" si="45"/>
        <v>0</v>
      </c>
      <c r="T50" s="386">
        <f t="shared" si="46"/>
        <v>3.9924788253381374E-2</v>
      </c>
      <c r="U50" s="4">
        <f t="shared" si="66"/>
        <v>0.39754780369186093</v>
      </c>
      <c r="V50" s="386">
        <f t="shared" si="9"/>
        <v>4.2671949179460041E-3</v>
      </c>
      <c r="W50" s="386">
        <f t="shared" si="47"/>
        <v>4.2671949179460041E-3</v>
      </c>
      <c r="X50" s="4">
        <f t="shared" si="67"/>
        <v>0</v>
      </c>
      <c r="Y50" s="386">
        <f t="shared" si="11"/>
        <v>0</v>
      </c>
      <c r="Z50" s="603">
        <f t="shared" si="48"/>
        <v>0</v>
      </c>
      <c r="AA50" s="386">
        <f t="shared" si="68"/>
        <v>1.6874964462837314</v>
      </c>
      <c r="AB50" s="386">
        <f t="shared" si="69"/>
        <v>2.8476442562202223E-2</v>
      </c>
      <c r="AC50" s="386">
        <f t="shared" si="70"/>
        <v>3.9545365838112453E-2</v>
      </c>
      <c r="AD50" s="386">
        <f t="shared" si="71"/>
        <v>0</v>
      </c>
      <c r="AE50" s="386">
        <f t="shared" si="72"/>
        <v>6.8474185480998304E-2</v>
      </c>
      <c r="AF50" s="386">
        <f t="shared" si="73"/>
        <v>0.40906128412068149</v>
      </c>
      <c r="AG50" s="386">
        <f t="shared" si="74"/>
        <v>1.673311341664609E-3</v>
      </c>
      <c r="AH50" s="386">
        <f t="shared" si="75"/>
        <v>3.9441999999999998E-2</v>
      </c>
      <c r="AI50" s="386">
        <f t="shared" si="76"/>
        <v>4.1131278842673841E-2</v>
      </c>
      <c r="AJ50" s="386">
        <f t="shared" si="77"/>
        <v>0.4090612841206816</v>
      </c>
      <c r="AK50" s="386">
        <f t="shared" si="78"/>
        <v>1.67331134166461E-3</v>
      </c>
      <c r="AL50" s="386">
        <f t="shared" si="79"/>
        <v>0.10612653575380041</v>
      </c>
      <c r="AM50" s="386">
        <f t="shared" si="80"/>
        <v>0</v>
      </c>
      <c r="AN50" s="386">
        <f t="shared" si="81"/>
        <v>0.10784171213578997</v>
      </c>
      <c r="AO50" s="386">
        <f t="shared" si="49"/>
        <v>1.6874964462837314</v>
      </c>
      <c r="AP50" s="386">
        <f t="shared" si="82"/>
        <v>2.8476442562202223E-2</v>
      </c>
      <c r="AQ50" s="386">
        <f t="shared" si="83"/>
        <v>4.3824444444444437E-2</v>
      </c>
      <c r="AR50" s="386">
        <f t="shared" si="84"/>
        <v>7.2781721976549529E-2</v>
      </c>
      <c r="AS50" s="386">
        <f t="shared" si="85"/>
        <v>0</v>
      </c>
      <c r="AT50" s="386">
        <f t="shared" si="86"/>
        <v>0</v>
      </c>
      <c r="AU50" s="386">
        <f t="shared" si="87"/>
        <v>3.1289560600000002E-2</v>
      </c>
      <c r="AV50" s="386">
        <f t="shared" si="88"/>
        <v>5.0199340249938284E-3</v>
      </c>
      <c r="AW50" s="386">
        <f t="shared" si="33"/>
        <v>6.5920000000000006E-2</v>
      </c>
      <c r="AX50" s="386">
        <f t="shared" si="89"/>
        <v>3.6000000000000004E-2</v>
      </c>
      <c r="AY50" s="386">
        <f t="shared" si="90"/>
        <v>0.40226399999999995</v>
      </c>
      <c r="AZ50" s="386">
        <f t="shared" si="36"/>
        <v>0.30415082926829268</v>
      </c>
      <c r="BA50" s="386">
        <f t="shared" si="57"/>
        <v>0.43826399999999999</v>
      </c>
      <c r="BB50" s="386">
        <f t="shared" si="58"/>
        <v>0.8749143762323327</v>
      </c>
      <c r="BC50">
        <f t="shared" si="91"/>
        <v>19.68</v>
      </c>
      <c r="BD50" s="604">
        <f t="shared" si="51"/>
        <v>0.95743527021236352</v>
      </c>
      <c r="BE50" s="614">
        <f t="shared" si="92"/>
        <v>7.4525836836438186</v>
      </c>
      <c r="BF50" s="614">
        <f t="shared" si="93"/>
        <v>4.8202220645238727</v>
      </c>
      <c r="BG50" s="9"/>
      <c r="BH50" s="4">
        <f t="shared" si="52"/>
        <v>95.743527021236346</v>
      </c>
      <c r="BI50" s="386">
        <f t="shared" si="53"/>
        <v>3.9924788253381374E-2</v>
      </c>
      <c r="BJ50" s="386">
        <f t="shared" si="54"/>
        <v>0.32151845903601162</v>
      </c>
      <c r="BK50" s="386">
        <f t="shared" si="94"/>
        <v>0.12849282213178997</v>
      </c>
      <c r="BL50" s="386">
        <f t="shared" si="95"/>
        <v>8.3107276974549532E-2</v>
      </c>
      <c r="BM50" s="386">
        <f t="shared" si="55"/>
        <v>5.0199340249938284E-3</v>
      </c>
      <c r="BR50">
        <v>9.9969590000000004</v>
      </c>
      <c r="BS50">
        <v>9.5229999999999997</v>
      </c>
      <c r="BT50">
        <v>5.1087540000000002</v>
      </c>
      <c r="BU50">
        <v>90.547826191651922</v>
      </c>
      <c r="BV50">
        <v>5078.5816240809982</v>
      </c>
    </row>
    <row r="51" spans="1:74" x14ac:dyDescent="0.2">
      <c r="A51" s="23" t="s">
        <v>71</v>
      </c>
      <c r="B51" s="5">
        <f>Qg_Q2*1000000000</f>
        <v>45.3</v>
      </c>
      <c r="C51" s="482" t="s">
        <v>69</v>
      </c>
      <c r="D51" s="21" t="s">
        <v>103</v>
      </c>
      <c r="G51">
        <v>42</v>
      </c>
      <c r="H51" s="610">
        <f t="shared" si="59"/>
        <v>12</v>
      </c>
      <c r="I51" s="4" t="str">
        <f t="shared" si="60"/>
        <v>BUCK-BST</v>
      </c>
      <c r="J51">
        <f t="shared" si="43"/>
        <v>3</v>
      </c>
      <c r="K51" s="386">
        <f t="shared" si="96"/>
        <v>1.68</v>
      </c>
      <c r="L51" s="4">
        <f t="shared" si="61"/>
        <v>1.8666666666666665</v>
      </c>
      <c r="M51" s="4">
        <f t="shared" si="56"/>
        <v>1.7787188988883007</v>
      </c>
      <c r="N51" s="386">
        <f t="shared" si="62"/>
        <v>0.94450000000000001</v>
      </c>
      <c r="O51" s="386">
        <f t="shared" si="63"/>
        <v>5.5500000000000028E-2</v>
      </c>
      <c r="P51" s="4">
        <f t="shared" si="64"/>
        <v>0</v>
      </c>
      <c r="Q51" s="4">
        <f t="shared" si="65"/>
        <v>1.7787188988883007</v>
      </c>
      <c r="R51" s="386">
        <f t="shared" si="7"/>
        <v>4.1902697744810959E-2</v>
      </c>
      <c r="S51" s="386">
        <f t="shared" si="45"/>
        <v>0</v>
      </c>
      <c r="T51" s="386">
        <f t="shared" si="46"/>
        <v>4.1902697744810959E-2</v>
      </c>
      <c r="U51" s="4">
        <f t="shared" si="66"/>
        <v>0.40724409158678437</v>
      </c>
      <c r="V51" s="386">
        <f t="shared" si="9"/>
        <v>4.4778892535733208E-3</v>
      </c>
      <c r="W51" s="386">
        <f t="shared" si="47"/>
        <v>4.4778892535733208E-3</v>
      </c>
      <c r="X51" s="4">
        <f t="shared" si="67"/>
        <v>0</v>
      </c>
      <c r="Y51" s="386">
        <f t="shared" si="11"/>
        <v>0</v>
      </c>
      <c r="Z51" s="603">
        <f t="shared" si="48"/>
        <v>0</v>
      </c>
      <c r="AA51" s="386">
        <f t="shared" si="68"/>
        <v>1.7286548961930908</v>
      </c>
      <c r="AB51" s="386">
        <f t="shared" si="69"/>
        <v>2.9882477501323456E-2</v>
      </c>
      <c r="AC51" s="386">
        <f t="shared" si="70"/>
        <v>4.0509886956115196E-2</v>
      </c>
      <c r="AD51" s="386">
        <f t="shared" si="71"/>
        <v>0</v>
      </c>
      <c r="AE51" s="386">
        <f t="shared" si="72"/>
        <v>7.0883782924680325E-2</v>
      </c>
      <c r="AF51" s="386">
        <f t="shared" si="73"/>
        <v>0.41903838861142984</v>
      </c>
      <c r="AG51" s="386">
        <f t="shared" si="74"/>
        <v>1.755931711300637E-3</v>
      </c>
      <c r="AH51" s="386">
        <f t="shared" si="75"/>
        <v>4.0403999999999995E-2</v>
      </c>
      <c r="AI51" s="386">
        <f t="shared" si="76"/>
        <v>4.217711366177844E-2</v>
      </c>
      <c r="AJ51" s="386">
        <f t="shared" si="77"/>
        <v>0.41903838861142995</v>
      </c>
      <c r="AK51" s="386">
        <f t="shared" si="78"/>
        <v>1.7559317113006378E-3</v>
      </c>
      <c r="AL51" s="386">
        <f t="shared" si="79"/>
        <v>0.10612653575380041</v>
      </c>
      <c r="AM51" s="386">
        <f t="shared" si="80"/>
        <v>0</v>
      </c>
      <c r="AN51" s="386">
        <f t="shared" si="81"/>
        <v>0.10792643412107435</v>
      </c>
      <c r="AO51" s="386">
        <f t="shared" si="49"/>
        <v>1.7286548961930908</v>
      </c>
      <c r="AP51" s="386">
        <f t="shared" si="82"/>
        <v>2.9882477501323456E-2</v>
      </c>
      <c r="AQ51" s="386">
        <f t="shared" si="83"/>
        <v>4.4893333333333327E-2</v>
      </c>
      <c r="AR51" s="386">
        <f t="shared" si="84"/>
        <v>7.5297830724602915E-2</v>
      </c>
      <c r="AS51" s="386">
        <f t="shared" si="85"/>
        <v>0</v>
      </c>
      <c r="AT51" s="386">
        <f t="shared" si="86"/>
        <v>0</v>
      </c>
      <c r="AU51" s="386">
        <f t="shared" si="87"/>
        <v>3.1510946400000003E-2</v>
      </c>
      <c r="AV51" s="386">
        <f t="shared" si="88"/>
        <v>5.2677951339019117E-3</v>
      </c>
      <c r="AW51" s="386">
        <f t="shared" si="33"/>
        <v>6.5920000000000006E-2</v>
      </c>
      <c r="AX51" s="386">
        <f t="shared" si="89"/>
        <v>3.6000000000000004E-2</v>
      </c>
      <c r="AY51" s="386">
        <f t="shared" si="90"/>
        <v>0.40226399999999995</v>
      </c>
      <c r="AZ51" s="386">
        <f t="shared" si="36"/>
        <v>0.30415082926829268</v>
      </c>
      <c r="BA51" s="386">
        <f t="shared" si="57"/>
        <v>0.43826399999999999</v>
      </c>
      <c r="BB51" s="386">
        <f t="shared" si="58"/>
        <v>0.88362848996442223</v>
      </c>
      <c r="BC51">
        <f t="shared" si="91"/>
        <v>20.16</v>
      </c>
      <c r="BD51" s="604">
        <f t="shared" si="51"/>
        <v>0.95800968970794087</v>
      </c>
      <c r="BE51" s="614">
        <f t="shared" si="92"/>
        <v>7.4659722072143122</v>
      </c>
      <c r="BF51" s="614">
        <f t="shared" si="93"/>
        <v>4.9703936961229687</v>
      </c>
      <c r="BG51" s="9"/>
      <c r="BH51" s="4">
        <f t="shared" si="52"/>
        <v>95.800968970794088</v>
      </c>
      <c r="BI51" s="386">
        <f t="shared" si="53"/>
        <v>4.1902697744810959E-2</v>
      </c>
      <c r="BJ51" s="386">
        <f t="shared" si="54"/>
        <v>0.32779610783213603</v>
      </c>
      <c r="BK51" s="386">
        <f t="shared" si="94"/>
        <v>0.12872365874507435</v>
      </c>
      <c r="BL51" s="386">
        <f t="shared" si="95"/>
        <v>8.5696443036602912E-2</v>
      </c>
      <c r="BM51" s="386">
        <f t="shared" si="55"/>
        <v>5.2677951339019117E-3</v>
      </c>
      <c r="BR51">
        <v>9.9964639999999996</v>
      </c>
      <c r="BS51">
        <v>10.493</v>
      </c>
      <c r="BT51">
        <v>5.1092279999999999</v>
      </c>
      <c r="BU51">
        <v>89.626660259106615</v>
      </c>
      <c r="BV51">
        <v>6204.9221585439973</v>
      </c>
    </row>
    <row r="52" spans="1:74" x14ac:dyDescent="0.2">
      <c r="A52" s="23" t="s">
        <v>95</v>
      </c>
      <c r="B52" s="5">
        <f>Rgate2</f>
        <v>0.8</v>
      </c>
      <c r="C52" s="486" t="s">
        <v>120</v>
      </c>
      <c r="D52" s="21" t="s">
        <v>104</v>
      </c>
      <c r="G52">
        <v>43</v>
      </c>
      <c r="H52" s="610">
        <f t="shared" si="59"/>
        <v>12</v>
      </c>
      <c r="I52" s="4" t="str">
        <f t="shared" si="60"/>
        <v>BUCK-BST</v>
      </c>
      <c r="J52">
        <f t="shared" si="43"/>
        <v>3</v>
      </c>
      <c r="K52" s="386">
        <f t="shared" si="96"/>
        <v>1.72</v>
      </c>
      <c r="L52" s="4">
        <f t="shared" si="61"/>
        <v>1.911111111111111</v>
      </c>
      <c r="M52" s="4">
        <f t="shared" si="56"/>
        <v>1.8210693488618317</v>
      </c>
      <c r="N52" s="386">
        <f t="shared" si="62"/>
        <v>0.94450000000000001</v>
      </c>
      <c r="O52" s="386">
        <f t="shared" si="63"/>
        <v>5.5500000000000028E-2</v>
      </c>
      <c r="P52" s="4">
        <f t="shared" si="64"/>
        <v>0</v>
      </c>
      <c r="Q52" s="4">
        <f t="shared" si="65"/>
        <v>1.8210693488618317</v>
      </c>
      <c r="R52" s="386">
        <f t="shared" si="7"/>
        <v>4.3928914491118749E-2</v>
      </c>
      <c r="S52" s="386">
        <f t="shared" si="45"/>
        <v>0</v>
      </c>
      <c r="T52" s="386">
        <f t="shared" si="46"/>
        <v>4.3928914491118749E-2</v>
      </c>
      <c r="U52" s="4">
        <f t="shared" si="66"/>
        <v>0.41694037948170781</v>
      </c>
      <c r="V52" s="386">
        <f t="shared" si="9"/>
        <v>4.6936605611434638E-3</v>
      </c>
      <c r="W52" s="386">
        <f t="shared" si="47"/>
        <v>4.6936605611434638E-3</v>
      </c>
      <c r="X52" s="4">
        <f t="shared" si="67"/>
        <v>0</v>
      </c>
      <c r="Y52" s="386">
        <f t="shared" si="11"/>
        <v>0</v>
      </c>
      <c r="Z52" s="603">
        <f t="shared" si="48"/>
        <v>0</v>
      </c>
      <c r="AA52" s="386">
        <f t="shared" si="68"/>
        <v>1.7698133461024501</v>
      </c>
      <c r="AB52" s="386">
        <f t="shared" si="69"/>
        <v>3.132239280042351E-2</v>
      </c>
      <c r="AC52" s="386">
        <f t="shared" si="70"/>
        <v>4.1474408074117938E-2</v>
      </c>
      <c r="AD52" s="386">
        <f t="shared" si="71"/>
        <v>0</v>
      </c>
      <c r="AE52" s="386">
        <f t="shared" si="72"/>
        <v>7.3329672582123598E-2</v>
      </c>
      <c r="AF52" s="386">
        <f t="shared" si="73"/>
        <v>0.42901549310217818</v>
      </c>
      <c r="AG52" s="386">
        <f t="shared" si="74"/>
        <v>1.8405429332170509E-3</v>
      </c>
      <c r="AH52" s="386">
        <f t="shared" si="75"/>
        <v>4.1366E-2</v>
      </c>
      <c r="AI52" s="386">
        <f t="shared" si="76"/>
        <v>4.3225000265973514E-2</v>
      </c>
      <c r="AJ52" s="386">
        <f t="shared" si="77"/>
        <v>0.42901549310217829</v>
      </c>
      <c r="AK52" s="386">
        <f t="shared" si="78"/>
        <v>1.8405429332170519E-3</v>
      </c>
      <c r="AL52" s="386">
        <f t="shared" si="79"/>
        <v>0.10612653575380041</v>
      </c>
      <c r="AM52" s="386">
        <f t="shared" si="80"/>
        <v>0</v>
      </c>
      <c r="AN52" s="386">
        <f t="shared" si="81"/>
        <v>0.10801320096764401</v>
      </c>
      <c r="AO52" s="386">
        <f t="shared" si="49"/>
        <v>1.7698133461024501</v>
      </c>
      <c r="AP52" s="386">
        <f t="shared" si="82"/>
        <v>3.132239280042351E-2</v>
      </c>
      <c r="AQ52" s="386">
        <f t="shared" si="83"/>
        <v>4.5962222222222217E-2</v>
      </c>
      <c r="AR52" s="386">
        <f t="shared" si="84"/>
        <v>7.7850337475860676E-2</v>
      </c>
      <c r="AS52" s="386">
        <f t="shared" si="85"/>
        <v>0</v>
      </c>
      <c r="AT52" s="386">
        <f t="shared" si="86"/>
        <v>0</v>
      </c>
      <c r="AU52" s="386">
        <f t="shared" si="87"/>
        <v>3.1732317400000001E-2</v>
      </c>
      <c r="AV52" s="386">
        <f t="shared" si="88"/>
        <v>5.5216287996511541E-3</v>
      </c>
      <c r="AW52" s="386">
        <f t="shared" si="33"/>
        <v>6.5920000000000006E-2</v>
      </c>
      <c r="AX52" s="386">
        <f t="shared" si="89"/>
        <v>3.6000000000000004E-2</v>
      </c>
      <c r="AY52" s="386">
        <f t="shared" si="90"/>
        <v>0.40226399999999995</v>
      </c>
      <c r="AZ52" s="386">
        <f t="shared" si="36"/>
        <v>0.30415082926829268</v>
      </c>
      <c r="BA52" s="386">
        <f t="shared" si="57"/>
        <v>0.43826399999999999</v>
      </c>
      <c r="BB52" s="386">
        <f t="shared" si="58"/>
        <v>0.89247873254351506</v>
      </c>
      <c r="BC52">
        <f t="shared" si="91"/>
        <v>20.64</v>
      </c>
      <c r="BD52" s="604">
        <f t="shared" si="51"/>
        <v>0.95855197426970395</v>
      </c>
      <c r="BE52" s="614">
        <f t="shared" si="92"/>
        <v>7.4794787661953528</v>
      </c>
      <c r="BF52" s="614">
        <f t="shared" si="93"/>
        <v>5.1226761286359199</v>
      </c>
      <c r="BG52" s="9"/>
      <c r="BH52" s="4">
        <f t="shared" si="52"/>
        <v>95.855197426970392</v>
      </c>
      <c r="BI52" s="386">
        <f t="shared" si="53"/>
        <v>4.3928914491118749E-2</v>
      </c>
      <c r="BJ52" s="386">
        <f t="shared" si="54"/>
        <v>0.33415052869160178</v>
      </c>
      <c r="BK52" s="386">
        <f t="shared" si="94"/>
        <v>0.12895653045164401</v>
      </c>
      <c r="BL52" s="386">
        <f t="shared" si="95"/>
        <v>8.8322002217860685E-2</v>
      </c>
      <c r="BM52" s="386">
        <f t="shared" si="55"/>
        <v>5.5216287996511541E-3</v>
      </c>
      <c r="BR52">
        <v>9.9959819999999997</v>
      </c>
      <c r="BS52">
        <v>11.519</v>
      </c>
      <c r="BT52">
        <v>5.1101260000000002</v>
      </c>
      <c r="BU52">
        <v>88.591390420220321</v>
      </c>
      <c r="BV52">
        <v>7580.3207309739973</v>
      </c>
    </row>
    <row r="53" spans="1:74" x14ac:dyDescent="0.2">
      <c r="A53" s="23" t="s">
        <v>76</v>
      </c>
      <c r="B53" s="5">
        <f>Vsd_Q2</f>
        <v>1.3</v>
      </c>
      <c r="C53" s="482" t="s">
        <v>0</v>
      </c>
      <c r="D53" s="21" t="s">
        <v>109</v>
      </c>
      <c r="G53">
        <v>44</v>
      </c>
      <c r="H53" s="610">
        <f t="shared" si="59"/>
        <v>12</v>
      </c>
      <c r="I53" s="4" t="str">
        <f t="shared" si="60"/>
        <v>BUCK-BST</v>
      </c>
      <c r="J53">
        <f t="shared" si="43"/>
        <v>3</v>
      </c>
      <c r="K53" s="386">
        <f t="shared" si="96"/>
        <v>1.76</v>
      </c>
      <c r="L53" s="4">
        <f t="shared" si="61"/>
        <v>1.9555555555555555</v>
      </c>
      <c r="M53" s="4">
        <f t="shared" si="56"/>
        <v>1.8634197988353627</v>
      </c>
      <c r="N53" s="386">
        <f t="shared" si="62"/>
        <v>0.94450000000000001</v>
      </c>
      <c r="O53" s="386">
        <f t="shared" si="63"/>
        <v>5.5500000000000028E-2</v>
      </c>
      <c r="P53" s="4">
        <f t="shared" si="64"/>
        <v>0</v>
      </c>
      <c r="Q53" s="4">
        <f t="shared" si="65"/>
        <v>1.8634197988353627</v>
      </c>
      <c r="R53" s="386">
        <f t="shared" si="7"/>
        <v>4.6003485019793192E-2</v>
      </c>
      <c r="S53" s="386">
        <f t="shared" si="45"/>
        <v>0</v>
      </c>
      <c r="T53" s="386">
        <f t="shared" si="46"/>
        <v>4.6003485019793192E-2</v>
      </c>
      <c r="U53" s="4">
        <f t="shared" si="66"/>
        <v>0.42663666737663125</v>
      </c>
      <c r="V53" s="386">
        <f t="shared" si="9"/>
        <v>4.9145088406564339E-3</v>
      </c>
      <c r="W53" s="386">
        <f t="shared" si="47"/>
        <v>4.9145088406564339E-3</v>
      </c>
      <c r="X53" s="4">
        <f t="shared" si="67"/>
        <v>0</v>
      </c>
      <c r="Y53" s="386">
        <f t="shared" si="11"/>
        <v>0</v>
      </c>
      <c r="Z53" s="603">
        <f t="shared" si="48"/>
        <v>0</v>
      </c>
      <c r="AA53" s="386">
        <f t="shared" si="68"/>
        <v>1.8109717960118095</v>
      </c>
      <c r="AB53" s="386">
        <f t="shared" si="69"/>
        <v>3.2796188459502391E-2</v>
      </c>
      <c r="AC53" s="386">
        <f t="shared" si="70"/>
        <v>4.2438929192120688E-2</v>
      </c>
      <c r="AD53" s="386">
        <f t="shared" si="71"/>
        <v>0</v>
      </c>
      <c r="AE53" s="386">
        <f t="shared" si="72"/>
        <v>7.581194922162697E-2</v>
      </c>
      <c r="AF53" s="386">
        <f t="shared" si="73"/>
        <v>0.43899259759292653</v>
      </c>
      <c r="AG53" s="386">
        <f t="shared" si="74"/>
        <v>1.9271450074138513E-3</v>
      </c>
      <c r="AH53" s="386">
        <f t="shared" si="75"/>
        <v>4.2327999999999998E-2</v>
      </c>
      <c r="AI53" s="386">
        <f t="shared" si="76"/>
        <v>4.4274940228777433E-2</v>
      </c>
      <c r="AJ53" s="386">
        <f t="shared" si="77"/>
        <v>0.43899259759292658</v>
      </c>
      <c r="AK53" s="386">
        <f t="shared" si="78"/>
        <v>1.9271450074138516E-3</v>
      </c>
      <c r="AL53" s="386">
        <f t="shared" si="79"/>
        <v>0.10612653575380041</v>
      </c>
      <c r="AM53" s="386">
        <f t="shared" si="80"/>
        <v>0</v>
      </c>
      <c r="AN53" s="386">
        <f t="shared" si="81"/>
        <v>0.10810201291625431</v>
      </c>
      <c r="AO53" s="386">
        <f t="shared" si="49"/>
        <v>1.8109717960118095</v>
      </c>
      <c r="AP53" s="386">
        <f t="shared" si="82"/>
        <v>3.2796188459502391E-2</v>
      </c>
      <c r="AQ53" s="386">
        <f t="shared" si="83"/>
        <v>4.7031111111111107E-2</v>
      </c>
      <c r="AR53" s="386">
        <f t="shared" si="84"/>
        <v>8.0439339638839452E-2</v>
      </c>
      <c r="AS53" s="386">
        <f t="shared" si="85"/>
        <v>0</v>
      </c>
      <c r="AT53" s="386">
        <f t="shared" si="86"/>
        <v>0</v>
      </c>
      <c r="AU53" s="386">
        <f t="shared" si="87"/>
        <v>3.1953673600000003E-2</v>
      </c>
      <c r="AV53" s="386">
        <f t="shared" si="88"/>
        <v>5.7814350222415538E-3</v>
      </c>
      <c r="AW53" s="386">
        <f t="shared" si="33"/>
        <v>6.5920000000000006E-2</v>
      </c>
      <c r="AX53" s="386">
        <f t="shared" si="89"/>
        <v>3.6000000000000004E-2</v>
      </c>
      <c r="AY53" s="386">
        <f t="shared" si="90"/>
        <v>0.40226399999999995</v>
      </c>
      <c r="AZ53" s="386">
        <f t="shared" si="36"/>
        <v>0.30415082926829268</v>
      </c>
      <c r="BA53" s="386">
        <f t="shared" si="57"/>
        <v>0.43826399999999999</v>
      </c>
      <c r="BB53" s="386">
        <f t="shared" si="58"/>
        <v>0.90146534448818938</v>
      </c>
      <c r="BC53">
        <f t="shared" si="91"/>
        <v>21.12</v>
      </c>
      <c r="BD53" s="604">
        <f t="shared" si="51"/>
        <v>0.95906424343765018</v>
      </c>
      <c r="BE53" s="614">
        <f t="shared" si="92"/>
        <v>7.49310337455075</v>
      </c>
      <c r="BF53" s="614">
        <f t="shared" si="93"/>
        <v>5.277075011756688</v>
      </c>
      <c r="BG53" s="9"/>
      <c r="BH53" s="4">
        <f t="shared" si="52"/>
        <v>95.906424343765025</v>
      </c>
      <c r="BI53" s="386">
        <f t="shared" si="53"/>
        <v>4.6003485019793192E-2</v>
      </c>
      <c r="BJ53" s="386">
        <f t="shared" si="54"/>
        <v>0.34058191560549822</v>
      </c>
      <c r="BK53" s="386">
        <f t="shared" si="94"/>
        <v>0.12919143749225431</v>
      </c>
      <c r="BL53" s="386">
        <f t="shared" si="95"/>
        <v>9.0984051926839449E-2</v>
      </c>
      <c r="BM53" s="386">
        <f t="shared" si="55"/>
        <v>5.7814350222415538E-3</v>
      </c>
      <c r="BR53">
        <v>9.9955739999999995</v>
      </c>
      <c r="BS53">
        <v>12.605</v>
      </c>
      <c r="BT53">
        <v>5.1111979999999999</v>
      </c>
      <c r="BU53">
        <v>87.386508098290477</v>
      </c>
      <c r="BV53">
        <v>9299.4335961019988</v>
      </c>
    </row>
    <row r="54" spans="1:74" x14ac:dyDescent="0.2">
      <c r="A54" s="23" t="s">
        <v>77</v>
      </c>
      <c r="B54" s="5">
        <f>Qrr_Q2*1000000000</f>
        <v>10</v>
      </c>
      <c r="C54" s="482" t="s">
        <v>69</v>
      </c>
      <c r="D54" s="21" t="s">
        <v>114</v>
      </c>
      <c r="G54">
        <v>45</v>
      </c>
      <c r="H54" s="610">
        <f t="shared" si="59"/>
        <v>12</v>
      </c>
      <c r="I54" s="4" t="str">
        <f t="shared" si="60"/>
        <v>BUCK-BST</v>
      </c>
      <c r="J54">
        <f t="shared" si="43"/>
        <v>3</v>
      </c>
      <c r="K54" s="386">
        <f t="shared" si="96"/>
        <v>1.8</v>
      </c>
      <c r="L54" s="4">
        <f t="shared" si="61"/>
        <v>2</v>
      </c>
      <c r="M54" s="4">
        <f t="shared" si="56"/>
        <v>1.9057702488088937</v>
      </c>
      <c r="N54" s="386">
        <f t="shared" si="62"/>
        <v>0.94450000000000001</v>
      </c>
      <c r="O54" s="386">
        <f t="shared" si="63"/>
        <v>5.5500000000000028E-2</v>
      </c>
      <c r="P54" s="4">
        <f t="shared" si="64"/>
        <v>0</v>
      </c>
      <c r="Q54" s="4">
        <f t="shared" si="65"/>
        <v>1.9057702488088937</v>
      </c>
      <c r="R54" s="386">
        <f t="shared" si="7"/>
        <v>4.812645699196974E-2</v>
      </c>
      <c r="S54" s="386">
        <f t="shared" si="45"/>
        <v>0</v>
      </c>
      <c r="T54" s="386">
        <f t="shared" si="46"/>
        <v>4.812645699196974E-2</v>
      </c>
      <c r="U54" s="4">
        <f t="shared" si="66"/>
        <v>0.43633295527155469</v>
      </c>
      <c r="V54" s="386">
        <f t="shared" si="9"/>
        <v>5.1404340921122312E-3</v>
      </c>
      <c r="W54" s="386">
        <f t="shared" si="47"/>
        <v>5.1404340921122312E-3</v>
      </c>
      <c r="X54" s="4">
        <f t="shared" si="67"/>
        <v>0</v>
      </c>
      <c r="Y54" s="386">
        <f t="shared" si="11"/>
        <v>0</v>
      </c>
      <c r="Z54" s="603">
        <f t="shared" si="48"/>
        <v>0</v>
      </c>
      <c r="AA54" s="386">
        <f t="shared" si="68"/>
        <v>1.8521302459211688</v>
      </c>
      <c r="AB54" s="386">
        <f t="shared" si="69"/>
        <v>3.4303864478560091E-2</v>
      </c>
      <c r="AC54" s="386">
        <f t="shared" si="70"/>
        <v>4.340345031012343E-2</v>
      </c>
      <c r="AD54" s="386">
        <f t="shared" si="71"/>
        <v>0</v>
      </c>
      <c r="AE54" s="386">
        <f t="shared" si="72"/>
        <v>7.8330709470470314E-2</v>
      </c>
      <c r="AF54" s="386">
        <f t="shared" si="73"/>
        <v>0.44896970208367482</v>
      </c>
      <c r="AG54" s="386">
        <f t="shared" si="74"/>
        <v>2.0157379338910371E-3</v>
      </c>
      <c r="AH54" s="386">
        <f t="shared" si="75"/>
        <v>4.3289999999999995E-2</v>
      </c>
      <c r="AI54" s="386">
        <f t="shared" si="76"/>
        <v>4.5326935129526714E-2</v>
      </c>
      <c r="AJ54" s="386">
        <f t="shared" si="77"/>
        <v>0.44896970208367493</v>
      </c>
      <c r="AK54" s="386">
        <f t="shared" si="78"/>
        <v>2.0157379338910379E-3</v>
      </c>
      <c r="AL54" s="386">
        <f t="shared" si="79"/>
        <v>0.10612653575380041</v>
      </c>
      <c r="AM54" s="386">
        <f t="shared" si="80"/>
        <v>0</v>
      </c>
      <c r="AN54" s="386">
        <f t="shared" si="81"/>
        <v>0.10819287021334986</v>
      </c>
      <c r="AO54" s="386">
        <f t="shared" si="49"/>
        <v>1.8521302459211688</v>
      </c>
      <c r="AP54" s="386">
        <f t="shared" si="82"/>
        <v>3.4303864478560091E-2</v>
      </c>
      <c r="AQ54" s="386">
        <f t="shared" si="83"/>
        <v>4.8099999999999997E-2</v>
      </c>
      <c r="AR54" s="386">
        <f t="shared" si="84"/>
        <v>8.3064936489789784E-2</v>
      </c>
      <c r="AS54" s="386">
        <f t="shared" si="85"/>
        <v>0</v>
      </c>
      <c r="AT54" s="386">
        <f t="shared" si="86"/>
        <v>0</v>
      </c>
      <c r="AU54" s="386">
        <f t="shared" si="87"/>
        <v>3.2175015000000001E-2</v>
      </c>
      <c r="AV54" s="386">
        <f t="shared" si="88"/>
        <v>6.0472138016731125E-3</v>
      </c>
      <c r="AW54" s="386">
        <f t="shared" si="33"/>
        <v>6.5920000000000006E-2</v>
      </c>
      <c r="AX54" s="386">
        <f t="shared" si="89"/>
        <v>3.6000000000000004E-2</v>
      </c>
      <c r="AY54" s="386">
        <f t="shared" si="90"/>
        <v>0.40226399999999995</v>
      </c>
      <c r="AZ54" s="386">
        <f t="shared" si="36"/>
        <v>0.30415082926829268</v>
      </c>
      <c r="BA54" s="386">
        <f t="shared" si="57"/>
        <v>0.43826399999999999</v>
      </c>
      <c r="BB54" s="386">
        <f t="shared" si="58"/>
        <v>0.91058857118889169</v>
      </c>
      <c r="BC54">
        <f t="shared" si="91"/>
        <v>21.6</v>
      </c>
      <c r="BD54" s="604">
        <f t="shared" si="51"/>
        <v>0.95954843347124441</v>
      </c>
      <c r="BE54" s="614">
        <f t="shared" si="92"/>
        <v>7.5068460465742923</v>
      </c>
      <c r="BF54" s="614">
        <f t="shared" si="93"/>
        <v>5.4335961035078073</v>
      </c>
      <c r="BG54" s="9"/>
      <c r="BH54" s="4">
        <f t="shared" si="52"/>
        <v>95.954843347124438</v>
      </c>
      <c r="BI54" s="386">
        <f t="shared" si="53"/>
        <v>4.812645699196974E-2</v>
      </c>
      <c r="BJ54" s="386">
        <f t="shared" si="54"/>
        <v>0.34709046630313667</v>
      </c>
      <c r="BK54" s="386">
        <f t="shared" si="94"/>
        <v>0.12942838011334987</v>
      </c>
      <c r="BL54" s="386">
        <f t="shared" si="95"/>
        <v>9.3682691439789786E-2</v>
      </c>
      <c r="BM54" s="386">
        <f t="shared" si="55"/>
        <v>6.0472138016731125E-3</v>
      </c>
      <c r="BR54">
        <v>9.9949670000000008</v>
      </c>
      <c r="BS54">
        <v>13.75</v>
      </c>
      <c r="BT54">
        <v>5.1122329999999998</v>
      </c>
      <c r="BU54">
        <v>85.985113444924963</v>
      </c>
      <c r="BV54">
        <v>11457.230537720005</v>
      </c>
    </row>
    <row r="55" spans="1:74" x14ac:dyDescent="0.2">
      <c r="A55" s="23" t="s">
        <v>78</v>
      </c>
      <c r="B55" s="5">
        <f>Trr_Q2*1000000000</f>
        <v>40</v>
      </c>
      <c r="C55" s="482" t="s">
        <v>79</v>
      </c>
      <c r="D55" s="76" t="s">
        <v>110</v>
      </c>
      <c r="G55">
        <v>46</v>
      </c>
      <c r="H55" s="610">
        <f t="shared" si="59"/>
        <v>12</v>
      </c>
      <c r="I55" s="4" t="str">
        <f t="shared" si="60"/>
        <v>BUCK-BST</v>
      </c>
      <c r="J55">
        <f t="shared" si="43"/>
        <v>3</v>
      </c>
      <c r="K55" s="386">
        <f t="shared" si="96"/>
        <v>1.84</v>
      </c>
      <c r="L55" s="4">
        <f t="shared" si="61"/>
        <v>2.0444444444444443</v>
      </c>
      <c r="M55" s="4">
        <f t="shared" si="56"/>
        <v>1.9481206987824247</v>
      </c>
      <c r="N55" s="386">
        <f t="shared" si="62"/>
        <v>0.94450000000000001</v>
      </c>
      <c r="O55" s="386">
        <f t="shared" si="63"/>
        <v>5.5500000000000028E-2</v>
      </c>
      <c r="P55" s="4">
        <f t="shared" si="64"/>
        <v>0</v>
      </c>
      <c r="Q55" s="4">
        <f t="shared" si="65"/>
        <v>1.9481206987824247</v>
      </c>
      <c r="R55" s="386">
        <f t="shared" si="7"/>
        <v>5.0297879205181306E-2</v>
      </c>
      <c r="S55" s="386">
        <f t="shared" si="45"/>
        <v>0</v>
      </c>
      <c r="T55" s="386">
        <f t="shared" si="46"/>
        <v>5.0297879205181306E-2</v>
      </c>
      <c r="U55" s="4">
        <f t="shared" si="66"/>
        <v>0.44602924316647813</v>
      </c>
      <c r="V55" s="386">
        <f t="shared" si="9"/>
        <v>5.3714363155108538E-3</v>
      </c>
      <c r="W55" s="386">
        <f t="shared" si="47"/>
        <v>5.3714363155108538E-3</v>
      </c>
      <c r="X55" s="4">
        <f t="shared" si="67"/>
        <v>0</v>
      </c>
      <c r="Y55" s="386">
        <f t="shared" si="11"/>
        <v>0</v>
      </c>
      <c r="Z55" s="603">
        <f t="shared" si="48"/>
        <v>0</v>
      </c>
      <c r="AA55" s="386">
        <f t="shared" si="68"/>
        <v>1.8932886958305282</v>
      </c>
      <c r="AB55" s="386">
        <f t="shared" si="69"/>
        <v>3.5845420857596622E-2</v>
      </c>
      <c r="AC55" s="386">
        <f t="shared" si="70"/>
        <v>4.4367971428126173E-2</v>
      </c>
      <c r="AD55" s="386">
        <f t="shared" si="71"/>
        <v>0</v>
      </c>
      <c r="AE55" s="386">
        <f t="shared" si="72"/>
        <v>8.0886051825778224E-2</v>
      </c>
      <c r="AF55" s="386">
        <f t="shared" si="73"/>
        <v>0.45894680657442316</v>
      </c>
      <c r="AG55" s="386">
        <f t="shared" si="74"/>
        <v>2.1063217126486098E-3</v>
      </c>
      <c r="AH55" s="386">
        <f t="shared" si="75"/>
        <v>4.4252E-2</v>
      </c>
      <c r="AI55" s="386">
        <f t="shared" si="76"/>
        <v>4.6380986553383907E-2</v>
      </c>
      <c r="AJ55" s="386">
        <f t="shared" si="77"/>
        <v>0.45894680657442327</v>
      </c>
      <c r="AK55" s="386">
        <f t="shared" si="78"/>
        <v>2.1063217126486111E-3</v>
      </c>
      <c r="AL55" s="386">
        <f t="shared" si="79"/>
        <v>0.10612653575380041</v>
      </c>
      <c r="AM55" s="386">
        <f t="shared" si="80"/>
        <v>0</v>
      </c>
      <c r="AN55" s="386">
        <f t="shared" si="81"/>
        <v>0.10828577311106637</v>
      </c>
      <c r="AO55" s="386">
        <f t="shared" si="49"/>
        <v>1.8932886958305282</v>
      </c>
      <c r="AP55" s="386">
        <f t="shared" si="82"/>
        <v>3.5845420857596622E-2</v>
      </c>
      <c r="AQ55" s="386">
        <f t="shared" si="83"/>
        <v>4.916888888888888E-2</v>
      </c>
      <c r="AR55" s="386">
        <f t="shared" si="84"/>
        <v>8.5727229183784726E-2</v>
      </c>
      <c r="AS55" s="386">
        <f t="shared" si="85"/>
        <v>0</v>
      </c>
      <c r="AT55" s="386">
        <f t="shared" si="86"/>
        <v>0</v>
      </c>
      <c r="AU55" s="386">
        <f t="shared" si="87"/>
        <v>3.2396341600000003E-2</v>
      </c>
      <c r="AV55" s="386">
        <f t="shared" si="88"/>
        <v>6.3189651379458303E-3</v>
      </c>
      <c r="AW55" s="386">
        <f t="shared" si="33"/>
        <v>6.5920000000000006E-2</v>
      </c>
      <c r="AX55" s="386">
        <f t="shared" si="89"/>
        <v>3.6000000000000004E-2</v>
      </c>
      <c r="AY55" s="386">
        <f t="shared" si="90"/>
        <v>0.40226399999999995</v>
      </c>
      <c r="AZ55" s="386">
        <f t="shared" si="36"/>
        <v>0.30415082926829268</v>
      </c>
      <c r="BA55" s="386">
        <f t="shared" si="57"/>
        <v>0.43826399999999999</v>
      </c>
      <c r="BB55" s="386">
        <f t="shared" si="58"/>
        <v>0.91984866293265122</v>
      </c>
      <c r="BC55">
        <f t="shared" si="91"/>
        <v>22.080000000000002</v>
      </c>
      <c r="BD55" s="604">
        <f t="shared" si="51"/>
        <v>0.96000631671915693</v>
      </c>
      <c r="BE55" s="614">
        <f t="shared" si="92"/>
        <v>7.5207067968898498</v>
      </c>
      <c r="BF55" s="614">
        <f t="shared" si="93"/>
        <v>5.592245270883514</v>
      </c>
      <c r="BG55" s="9"/>
      <c r="BH55" s="4">
        <f t="shared" si="52"/>
        <v>96.000631671915698</v>
      </c>
      <c r="BI55" s="386">
        <f t="shared" si="53"/>
        <v>5.0297879205181306E-2</v>
      </c>
      <c r="BJ55" s="386">
        <f t="shared" si="54"/>
        <v>0.35367638227401321</v>
      </c>
      <c r="BK55" s="386">
        <f t="shared" si="94"/>
        <v>0.12966735856706638</v>
      </c>
      <c r="BL55" s="386">
        <f t="shared" si="95"/>
        <v>9.6418021911784724E-2</v>
      </c>
      <c r="BM55" s="386">
        <f t="shared" si="55"/>
        <v>6.3189651379458303E-3</v>
      </c>
      <c r="BR55">
        <v>9.9943860000000004</v>
      </c>
      <c r="BS55">
        <v>14.954000000000001</v>
      </c>
      <c r="BT55">
        <v>5.1130310000000003</v>
      </c>
      <c r="BU55">
        <v>84.352650264578628</v>
      </c>
      <c r="BV55">
        <v>14183.318533699994</v>
      </c>
    </row>
    <row r="56" spans="1:74" ht="15.75" x14ac:dyDescent="0.3">
      <c r="A56" s="488" t="s">
        <v>679</v>
      </c>
      <c r="B56" s="5">
        <f>ThetaJA_Q2</f>
        <v>58</v>
      </c>
      <c r="C56" s="483" t="s">
        <v>241</v>
      </c>
      <c r="D56" s="76" t="s">
        <v>107</v>
      </c>
      <c r="E56" s="2"/>
      <c r="G56">
        <v>47</v>
      </c>
      <c r="H56" s="610">
        <f t="shared" si="59"/>
        <v>12</v>
      </c>
      <c r="I56" s="4" t="str">
        <f t="shared" si="60"/>
        <v>BUCK-BST</v>
      </c>
      <c r="J56">
        <f t="shared" si="43"/>
        <v>3</v>
      </c>
      <c r="K56" s="386">
        <f t="shared" si="96"/>
        <v>1.88</v>
      </c>
      <c r="L56" s="4">
        <f t="shared" si="61"/>
        <v>2.0888888888888886</v>
      </c>
      <c r="M56" s="4">
        <f t="shared" si="56"/>
        <v>1.9904711487559554</v>
      </c>
      <c r="N56" s="386">
        <f t="shared" si="62"/>
        <v>0.94450000000000001</v>
      </c>
      <c r="O56" s="386">
        <f t="shared" si="63"/>
        <v>5.5500000000000028E-2</v>
      </c>
      <c r="P56" s="4">
        <f t="shared" si="64"/>
        <v>0</v>
      </c>
      <c r="Q56" s="4">
        <f t="shared" si="65"/>
        <v>1.9904711487559554</v>
      </c>
      <c r="R56" s="386">
        <f t="shared" si="7"/>
        <v>5.2517801596176319E-2</v>
      </c>
      <c r="S56" s="386">
        <f t="shared" si="45"/>
        <v>0</v>
      </c>
      <c r="T56" s="386">
        <f t="shared" si="46"/>
        <v>5.2517801596176319E-2</v>
      </c>
      <c r="U56" s="4">
        <f t="shared" si="66"/>
        <v>0.45572553106140157</v>
      </c>
      <c r="V56" s="386">
        <f t="shared" si="9"/>
        <v>5.6075155108523053E-3</v>
      </c>
      <c r="W56" s="386">
        <f t="shared" si="47"/>
        <v>5.6075155108523053E-3</v>
      </c>
      <c r="X56" s="4">
        <f t="shared" si="67"/>
        <v>0</v>
      </c>
      <c r="Y56" s="386">
        <f t="shared" si="11"/>
        <v>0</v>
      </c>
      <c r="Z56" s="603">
        <f t="shared" si="48"/>
        <v>0</v>
      </c>
      <c r="AA56" s="386">
        <f t="shared" si="68"/>
        <v>1.9344471457398873</v>
      </c>
      <c r="AB56" s="386">
        <f t="shared" si="69"/>
        <v>3.742085759661197E-2</v>
      </c>
      <c r="AC56" s="386">
        <f t="shared" si="70"/>
        <v>4.5332492546128908E-2</v>
      </c>
      <c r="AD56" s="386">
        <f t="shared" si="71"/>
        <v>0</v>
      </c>
      <c r="AE56" s="386">
        <f t="shared" si="72"/>
        <v>8.3478076665628578E-2</v>
      </c>
      <c r="AF56" s="386">
        <f t="shared" si="73"/>
        <v>0.46892391106517145</v>
      </c>
      <c r="AG56" s="386">
        <f t="shared" si="74"/>
        <v>2.1988963436865685E-3</v>
      </c>
      <c r="AH56" s="386">
        <f t="shared" si="75"/>
        <v>4.5213999999999997E-2</v>
      </c>
      <c r="AI56" s="386">
        <f t="shared" si="76"/>
        <v>4.7437096091345457E-2</v>
      </c>
      <c r="AJ56" s="386">
        <f t="shared" si="77"/>
        <v>0.46892391106517156</v>
      </c>
      <c r="AK56" s="386">
        <f t="shared" si="78"/>
        <v>2.1988963436865693E-3</v>
      </c>
      <c r="AL56" s="386">
        <f t="shared" si="79"/>
        <v>0.10612653575380041</v>
      </c>
      <c r="AM56" s="386">
        <f t="shared" si="80"/>
        <v>0</v>
      </c>
      <c r="AN56" s="386">
        <f t="shared" si="81"/>
        <v>0.10838072186723226</v>
      </c>
      <c r="AO56" s="386">
        <f t="shared" si="49"/>
        <v>1.9344471457398873</v>
      </c>
      <c r="AP56" s="386">
        <f t="shared" si="82"/>
        <v>3.742085759661197E-2</v>
      </c>
      <c r="AQ56" s="386">
        <f t="shared" si="83"/>
        <v>5.023777777777777E-2</v>
      </c>
      <c r="AR56" s="386">
        <f t="shared" si="84"/>
        <v>8.842632076605525E-2</v>
      </c>
      <c r="AS56" s="386">
        <f t="shared" si="85"/>
        <v>0</v>
      </c>
      <c r="AT56" s="386">
        <f t="shared" si="86"/>
        <v>0</v>
      </c>
      <c r="AU56" s="386">
        <f t="shared" si="87"/>
        <v>3.2617653400000002E-2</v>
      </c>
      <c r="AV56" s="386">
        <f t="shared" si="88"/>
        <v>6.5966890310597062E-3</v>
      </c>
      <c r="AW56" s="386">
        <f t="shared" si="33"/>
        <v>6.5920000000000006E-2</v>
      </c>
      <c r="AX56" s="386">
        <f t="shared" si="89"/>
        <v>3.6000000000000004E-2</v>
      </c>
      <c r="AY56" s="386">
        <f t="shared" si="90"/>
        <v>0.40226399999999995</v>
      </c>
      <c r="AZ56" s="386">
        <f t="shared" si="36"/>
        <v>0.30415082926829268</v>
      </c>
      <c r="BA56" s="386">
        <f t="shared" si="57"/>
        <v>0.43826399999999999</v>
      </c>
      <c r="BB56" s="386">
        <f t="shared" si="58"/>
        <v>0.92924587492834987</v>
      </c>
      <c r="BC56">
        <f t="shared" si="91"/>
        <v>22.56</v>
      </c>
      <c r="BD56" s="604">
        <f t="shared" si="51"/>
        <v>0.9604395185832596</v>
      </c>
      <c r="BE56" s="614">
        <f t="shared" si="92"/>
        <v>7.534685640451471</v>
      </c>
      <c r="BF56" s="614">
        <f t="shared" si="93"/>
        <v>5.7530284905072042</v>
      </c>
      <c r="BG56" s="9"/>
      <c r="BH56" s="4">
        <f t="shared" si="52"/>
        <v>96.043951858325954</v>
      </c>
      <c r="BI56" s="386">
        <f t="shared" si="53"/>
        <v>5.2517801596176319E-2</v>
      </c>
      <c r="BJ56" s="386">
        <f t="shared" si="54"/>
        <v>0.36033986879026159</v>
      </c>
      <c r="BK56" s="386">
        <f t="shared" si="94"/>
        <v>0.12990837311123227</v>
      </c>
      <c r="BL56" s="386">
        <f t="shared" si="95"/>
        <v>9.9190146388055248E-2</v>
      </c>
      <c r="BM56" s="386">
        <f t="shared" si="55"/>
        <v>6.5966890310597062E-3</v>
      </c>
      <c r="BS56" s="18"/>
      <c r="BT56" s="19"/>
    </row>
    <row r="57" spans="1:74" x14ac:dyDescent="0.2">
      <c r="A57" s="24" t="s">
        <v>279</v>
      </c>
      <c r="B57" s="15" t="s">
        <v>115</v>
      </c>
      <c r="C57" s="24" t="s">
        <v>80</v>
      </c>
      <c r="D57" s="24" t="s">
        <v>249</v>
      </c>
      <c r="G57">
        <v>48</v>
      </c>
      <c r="H57" s="610">
        <f t="shared" si="59"/>
        <v>12</v>
      </c>
      <c r="I57" s="4" t="str">
        <f t="shared" si="60"/>
        <v>BUCK-BST</v>
      </c>
      <c r="J57">
        <f t="shared" si="43"/>
        <v>3</v>
      </c>
      <c r="K57" s="386">
        <f t="shared" si="96"/>
        <v>1.92</v>
      </c>
      <c r="L57" s="4">
        <f t="shared" si="61"/>
        <v>2.1333333333333333</v>
      </c>
      <c r="M57" s="4">
        <f t="shared" si="56"/>
        <v>2.0328215987294862</v>
      </c>
      <c r="N57" s="386">
        <f t="shared" si="62"/>
        <v>0.94450000000000001</v>
      </c>
      <c r="O57" s="386">
        <f t="shared" si="63"/>
        <v>5.5500000000000028E-2</v>
      </c>
      <c r="P57" s="4">
        <f t="shared" si="64"/>
        <v>0</v>
      </c>
      <c r="Q57" s="4">
        <f t="shared" si="65"/>
        <v>2.0328215987294862</v>
      </c>
      <c r="R57" s="386">
        <f t="shared" si="7"/>
        <v>5.4786275243804625E-2</v>
      </c>
      <c r="S57" s="386">
        <f t="shared" si="45"/>
        <v>0</v>
      </c>
      <c r="T57" s="386">
        <f t="shared" si="46"/>
        <v>5.4786275243804625E-2</v>
      </c>
      <c r="U57" s="4">
        <f t="shared" si="66"/>
        <v>0.46542181895632501</v>
      </c>
      <c r="V57" s="386">
        <f t="shared" si="9"/>
        <v>5.8486716781365822E-3</v>
      </c>
      <c r="W57" s="386">
        <f t="shared" si="47"/>
        <v>5.8486716781365822E-3</v>
      </c>
      <c r="X57" s="4">
        <f t="shared" si="67"/>
        <v>0</v>
      </c>
      <c r="Y57" s="386">
        <f t="shared" si="11"/>
        <v>0</v>
      </c>
      <c r="Z57" s="603">
        <f t="shared" si="48"/>
        <v>0</v>
      </c>
      <c r="AA57" s="386">
        <f t="shared" si="68"/>
        <v>1.9756055956492462</v>
      </c>
      <c r="AB57" s="386">
        <f t="shared" si="69"/>
        <v>3.9030174695606129E-2</v>
      </c>
      <c r="AC57" s="386">
        <f t="shared" si="70"/>
        <v>4.6297013664131657E-2</v>
      </c>
      <c r="AD57" s="386">
        <f t="shared" si="71"/>
        <v>0</v>
      </c>
      <c r="AE57" s="386">
        <f t="shared" si="72"/>
        <v>8.6106886260409105E-2</v>
      </c>
      <c r="AF57" s="386">
        <f t="shared" si="73"/>
        <v>0.47890101555591974</v>
      </c>
      <c r="AG57" s="386">
        <f t="shared" si="74"/>
        <v>2.293461827004913E-3</v>
      </c>
      <c r="AH57" s="386">
        <f t="shared" si="75"/>
        <v>4.6175999999999995E-2</v>
      </c>
      <c r="AI57" s="386">
        <f t="shared" si="76"/>
        <v>4.849526534024972E-2</v>
      </c>
      <c r="AJ57" s="386">
        <f t="shared" si="77"/>
        <v>0.47890101555591985</v>
      </c>
      <c r="AK57" s="386">
        <f t="shared" si="78"/>
        <v>2.2934618270049139E-3</v>
      </c>
      <c r="AL57" s="386">
        <f t="shared" si="79"/>
        <v>0.10612653575380041</v>
      </c>
      <c r="AM57" s="386">
        <f t="shared" si="80"/>
        <v>0</v>
      </c>
      <c r="AN57" s="386">
        <f t="shared" si="81"/>
        <v>0.1084777167453705</v>
      </c>
      <c r="AO57" s="386">
        <f t="shared" si="49"/>
        <v>1.9756055956492462</v>
      </c>
      <c r="AP57" s="386">
        <f t="shared" si="82"/>
        <v>3.9030174695606129E-2</v>
      </c>
      <c r="AQ57" s="386">
        <f t="shared" si="83"/>
        <v>5.130666666666666E-2</v>
      </c>
      <c r="AR57" s="386">
        <f t="shared" si="84"/>
        <v>9.1162316183574621E-2</v>
      </c>
      <c r="AS57" s="386">
        <f t="shared" si="85"/>
        <v>0</v>
      </c>
      <c r="AT57" s="386">
        <f t="shared" si="86"/>
        <v>0</v>
      </c>
      <c r="AU57" s="386">
        <f t="shared" si="87"/>
        <v>3.2838950399999997E-2</v>
      </c>
      <c r="AV57" s="386">
        <f t="shared" si="88"/>
        <v>6.8803854810147403E-3</v>
      </c>
      <c r="AW57" s="386">
        <f t="shared" si="33"/>
        <v>6.5920000000000006E-2</v>
      </c>
      <c r="AX57" s="386">
        <f t="shared" si="89"/>
        <v>3.6000000000000004E-2</v>
      </c>
      <c r="AY57" s="386">
        <f t="shared" si="90"/>
        <v>0.40226399999999995</v>
      </c>
      <c r="AZ57" s="386">
        <f t="shared" si="36"/>
        <v>0.30415082926829268</v>
      </c>
      <c r="BA57" s="386">
        <f t="shared" si="57"/>
        <v>0.43826399999999999</v>
      </c>
      <c r="BB57" s="386">
        <f t="shared" si="58"/>
        <v>0.93878046733255993</v>
      </c>
      <c r="BC57">
        <f t="shared" si="91"/>
        <v>23.04</v>
      </c>
      <c r="BD57" s="604">
        <f t="shared" si="51"/>
        <v>0.96084953241840199</v>
      </c>
      <c r="BE57" s="614">
        <f t="shared" si="92"/>
        <v>7.5487825925434882</v>
      </c>
      <c r="BF57" s="614">
        <f t="shared" si="93"/>
        <v>5.9159518493033278</v>
      </c>
      <c r="BG57" s="9"/>
      <c r="BH57" s="4">
        <f t="shared" si="52"/>
        <v>96.084953241840196</v>
      </c>
      <c r="BI57" s="386">
        <f t="shared" si="53"/>
        <v>5.4786275243804625E-2</v>
      </c>
      <c r="BJ57" s="386">
        <f t="shared" si="54"/>
        <v>0.36708113492960398</v>
      </c>
      <c r="BK57" s="386">
        <f t="shared" si="94"/>
        <v>0.13015142400937049</v>
      </c>
      <c r="BL57" s="386">
        <f t="shared" si="95"/>
        <v>0.10199916981557462</v>
      </c>
      <c r="BM57" s="386">
        <f t="shared" si="55"/>
        <v>6.8803854810147403E-3</v>
      </c>
      <c r="BS57" s="18"/>
      <c r="BT57" s="19"/>
    </row>
    <row r="58" spans="1:74" x14ac:dyDescent="0.2">
      <c r="A58" s="23" t="s">
        <v>231</v>
      </c>
      <c r="B58" s="73">
        <f>VfdSky_Q2</f>
        <v>0</v>
      </c>
      <c r="C58" s="482" t="s">
        <v>0</v>
      </c>
      <c r="D58" s="76" t="s">
        <v>234</v>
      </c>
      <c r="G58">
        <v>49</v>
      </c>
      <c r="H58" s="610">
        <f t="shared" si="59"/>
        <v>12</v>
      </c>
      <c r="I58" s="4" t="str">
        <f t="shared" si="60"/>
        <v>BUCK-BST</v>
      </c>
      <c r="J58">
        <f t="shared" si="43"/>
        <v>3</v>
      </c>
      <c r="K58" s="386">
        <f t="shared" si="96"/>
        <v>1.96</v>
      </c>
      <c r="L58" s="4">
        <f t="shared" si="61"/>
        <v>2.1777777777777776</v>
      </c>
      <c r="M58" s="4">
        <f t="shared" si="56"/>
        <v>2.0751720487030174</v>
      </c>
      <c r="N58" s="386">
        <f t="shared" si="62"/>
        <v>0.94450000000000001</v>
      </c>
      <c r="O58" s="386">
        <f t="shared" si="63"/>
        <v>5.5500000000000028E-2</v>
      </c>
      <c r="P58" s="4">
        <f t="shared" si="64"/>
        <v>0</v>
      </c>
      <c r="Q58" s="4">
        <f t="shared" si="65"/>
        <v>2.0751720487030174</v>
      </c>
      <c r="R58" s="386">
        <f t="shared" si="7"/>
        <v>5.7103352371971693E-2</v>
      </c>
      <c r="S58" s="386">
        <f t="shared" si="45"/>
        <v>0</v>
      </c>
      <c r="T58" s="386">
        <f t="shared" si="46"/>
        <v>5.7103352371971693E-2</v>
      </c>
      <c r="U58" s="4">
        <f t="shared" si="66"/>
        <v>0.47511810685124845</v>
      </c>
      <c r="V58" s="386">
        <f t="shared" si="9"/>
        <v>6.0949048173636871E-3</v>
      </c>
      <c r="W58" s="386">
        <f t="shared" si="47"/>
        <v>6.0949048173636871E-3</v>
      </c>
      <c r="X58" s="4">
        <f t="shared" si="67"/>
        <v>0</v>
      </c>
      <c r="Y58" s="386">
        <f t="shared" si="11"/>
        <v>0</v>
      </c>
      <c r="Z58" s="603">
        <f t="shared" si="48"/>
        <v>0</v>
      </c>
      <c r="AA58" s="386">
        <f t="shared" si="68"/>
        <v>2.016764045558606</v>
      </c>
      <c r="AB58" s="386">
        <f t="shared" si="69"/>
        <v>4.0673372154579147E-2</v>
      </c>
      <c r="AC58" s="386">
        <f t="shared" si="70"/>
        <v>4.72615347821344E-2</v>
      </c>
      <c r="AD58" s="386">
        <f t="shared" si="71"/>
        <v>0</v>
      </c>
      <c r="AE58" s="386">
        <f t="shared" si="72"/>
        <v>8.8772584784423653E-2</v>
      </c>
      <c r="AF58" s="386">
        <f t="shared" si="73"/>
        <v>0.48887812004666814</v>
      </c>
      <c r="AG58" s="386">
        <f t="shared" si="74"/>
        <v>2.3900181626036448E-3</v>
      </c>
      <c r="AH58" s="386">
        <f t="shared" si="75"/>
        <v>4.7137999999999999E-2</v>
      </c>
      <c r="AI58" s="386">
        <f t="shared" si="76"/>
        <v>4.9555495902785004E-2</v>
      </c>
      <c r="AJ58" s="386">
        <f t="shared" si="77"/>
        <v>0.48887812004666825</v>
      </c>
      <c r="AK58" s="386">
        <f t="shared" si="78"/>
        <v>2.3900181626036457E-3</v>
      </c>
      <c r="AL58" s="386">
        <f t="shared" si="79"/>
        <v>0.10612653575380041</v>
      </c>
      <c r="AM58" s="386">
        <f t="shared" si="80"/>
        <v>0</v>
      </c>
      <c r="AN58" s="386">
        <f t="shared" si="81"/>
        <v>0.10857675801470054</v>
      </c>
      <c r="AO58" s="386">
        <f t="shared" si="49"/>
        <v>2.016764045558606</v>
      </c>
      <c r="AP58" s="386">
        <f t="shared" si="82"/>
        <v>4.0673372154579147E-2</v>
      </c>
      <c r="AQ58" s="386">
        <f t="shared" si="83"/>
        <v>5.237555555555555E-2</v>
      </c>
      <c r="AR58" s="386">
        <f t="shared" si="84"/>
        <v>9.3935322296894844E-2</v>
      </c>
      <c r="AS58" s="386">
        <f t="shared" si="85"/>
        <v>0</v>
      </c>
      <c r="AT58" s="386">
        <f t="shared" si="86"/>
        <v>0</v>
      </c>
      <c r="AU58" s="386">
        <f t="shared" si="87"/>
        <v>3.3060232600000003E-2</v>
      </c>
      <c r="AV58" s="386">
        <f t="shared" si="88"/>
        <v>7.1700544878109352E-3</v>
      </c>
      <c r="AW58" s="386">
        <f t="shared" si="33"/>
        <v>6.5920000000000006E-2</v>
      </c>
      <c r="AX58" s="386">
        <f t="shared" si="89"/>
        <v>3.6000000000000004E-2</v>
      </c>
      <c r="AY58" s="386">
        <f t="shared" si="90"/>
        <v>0.40226399999999995</v>
      </c>
      <c r="AZ58" s="386">
        <f t="shared" si="36"/>
        <v>0.30415082926829268</v>
      </c>
      <c r="BA58" s="386">
        <f t="shared" si="57"/>
        <v>0.43826399999999999</v>
      </c>
      <c r="BB58" s="386">
        <f t="shared" si="58"/>
        <v>0.94845270527595038</v>
      </c>
      <c r="BC58">
        <f t="shared" si="91"/>
        <v>23.52</v>
      </c>
      <c r="BD58" s="604">
        <f t="shared" si="51"/>
        <v>0.96123773265518164</v>
      </c>
      <c r="BE58" s="614">
        <f t="shared" si="92"/>
        <v>7.5629976687806311</v>
      </c>
      <c r="BF58" s="614">
        <f t="shared" si="93"/>
        <v>6.0810215451839005</v>
      </c>
      <c r="BG58" s="9"/>
      <c r="BH58" s="4">
        <f t="shared" si="52"/>
        <v>96.123773265518167</v>
      </c>
      <c r="BI58" s="386">
        <f t="shared" si="53"/>
        <v>5.7103352371971693E-2</v>
      </c>
      <c r="BJ58" s="386">
        <f t="shared" si="54"/>
        <v>0.37390039359880406</v>
      </c>
      <c r="BK58" s="386">
        <f t="shared" si="94"/>
        <v>0.13039651153070053</v>
      </c>
      <c r="BL58" s="386">
        <f t="shared" si="95"/>
        <v>0.10484519905489484</v>
      </c>
      <c r="BM58" s="386">
        <f t="shared" si="55"/>
        <v>7.1700544878109352E-3</v>
      </c>
      <c r="BS58" s="18"/>
      <c r="BT58" s="19"/>
    </row>
    <row r="59" spans="1:74" x14ac:dyDescent="0.2">
      <c r="A59" s="23" t="s">
        <v>232</v>
      </c>
      <c r="B59" s="73">
        <f>QrrSky_Q2*1000000000</f>
        <v>0</v>
      </c>
      <c r="C59" s="482" t="s">
        <v>69</v>
      </c>
      <c r="D59" s="76" t="s">
        <v>235</v>
      </c>
      <c r="G59">
        <v>50</v>
      </c>
      <c r="H59" s="610">
        <f t="shared" si="59"/>
        <v>12</v>
      </c>
      <c r="I59" s="4" t="str">
        <f t="shared" si="60"/>
        <v>BUCK-BST</v>
      </c>
      <c r="J59">
        <f t="shared" si="43"/>
        <v>3</v>
      </c>
      <c r="K59" s="386">
        <f t="shared" si="96"/>
        <v>2</v>
      </c>
      <c r="L59" s="4">
        <f t="shared" si="61"/>
        <v>2.2222222222222219</v>
      </c>
      <c r="M59" s="4">
        <f t="shared" si="56"/>
        <v>2.1175224986765486</v>
      </c>
      <c r="N59" s="386">
        <f t="shared" si="62"/>
        <v>0.94450000000000001</v>
      </c>
      <c r="O59" s="386">
        <f t="shared" si="63"/>
        <v>5.5500000000000028E-2</v>
      </c>
      <c r="P59" s="4">
        <f t="shared" si="64"/>
        <v>0</v>
      </c>
      <c r="Q59" s="4">
        <f t="shared" si="65"/>
        <v>2.1175224986765486</v>
      </c>
      <c r="R59" s="386">
        <f t="shared" si="7"/>
        <v>5.9469086352661266E-2</v>
      </c>
      <c r="S59" s="386">
        <f t="shared" si="45"/>
        <v>0</v>
      </c>
      <c r="T59" s="386">
        <f t="shared" si="46"/>
        <v>5.9469086352661266E-2</v>
      </c>
      <c r="U59" s="4">
        <f t="shared" si="66"/>
        <v>0.48481439474617188</v>
      </c>
      <c r="V59" s="386">
        <f t="shared" si="9"/>
        <v>6.3462149285336182E-3</v>
      </c>
      <c r="W59" s="386">
        <f t="shared" si="47"/>
        <v>6.3462149285336182E-3</v>
      </c>
      <c r="X59" s="4">
        <f t="shared" si="67"/>
        <v>0</v>
      </c>
      <c r="Y59" s="386">
        <f t="shared" si="11"/>
        <v>0</v>
      </c>
      <c r="Z59" s="603">
        <f t="shared" si="48"/>
        <v>0</v>
      </c>
      <c r="AA59" s="386">
        <f t="shared" si="68"/>
        <v>2.0579224954679654</v>
      </c>
      <c r="AB59" s="386">
        <f t="shared" si="69"/>
        <v>4.2350449973530983E-2</v>
      </c>
      <c r="AC59" s="386">
        <f t="shared" si="70"/>
        <v>4.8226055900137142E-2</v>
      </c>
      <c r="AD59" s="386">
        <f t="shared" si="71"/>
        <v>0</v>
      </c>
      <c r="AE59" s="386">
        <f t="shared" si="72"/>
        <v>9.1475278327751278E-2</v>
      </c>
      <c r="AF59" s="386">
        <f t="shared" si="73"/>
        <v>0.49885522453741649</v>
      </c>
      <c r="AG59" s="386">
        <f t="shared" si="74"/>
        <v>2.488565350482762E-3</v>
      </c>
      <c r="AH59" s="386">
        <f t="shared" si="75"/>
        <v>4.8099999999999997E-2</v>
      </c>
      <c r="AI59" s="386">
        <f t="shared" si="76"/>
        <v>5.0617789387497517E-2</v>
      </c>
      <c r="AJ59" s="386">
        <f t="shared" si="77"/>
        <v>0.4988552245374166</v>
      </c>
      <c r="AK59" s="386">
        <f t="shared" si="78"/>
        <v>2.4885653504827633E-3</v>
      </c>
      <c r="AL59" s="386">
        <f t="shared" si="79"/>
        <v>0.10612653575380041</v>
      </c>
      <c r="AM59" s="386">
        <f t="shared" si="80"/>
        <v>0</v>
      </c>
      <c r="AN59" s="386">
        <f t="shared" si="81"/>
        <v>0.10867784595013999</v>
      </c>
      <c r="AO59" s="386">
        <f t="shared" si="49"/>
        <v>2.0579224954679654</v>
      </c>
      <c r="AP59" s="386">
        <f t="shared" si="82"/>
        <v>4.2350449973530983E-2</v>
      </c>
      <c r="AQ59" s="386">
        <f t="shared" si="83"/>
        <v>5.3444444444444433E-2</v>
      </c>
      <c r="AR59" s="386">
        <f t="shared" si="84"/>
        <v>9.6745447892236894E-2</v>
      </c>
      <c r="AS59" s="386">
        <f t="shared" si="85"/>
        <v>0</v>
      </c>
      <c r="AT59" s="386">
        <f t="shared" si="86"/>
        <v>0</v>
      </c>
      <c r="AU59" s="386">
        <f t="shared" si="87"/>
        <v>3.3281500000000006E-2</v>
      </c>
      <c r="AV59" s="386">
        <f t="shared" si="88"/>
        <v>7.4656960514482874E-3</v>
      </c>
      <c r="AW59" s="386">
        <f t="shared" si="33"/>
        <v>6.5920000000000006E-2</v>
      </c>
      <c r="AX59" s="386">
        <f t="shared" si="89"/>
        <v>3.6000000000000004E-2</v>
      </c>
      <c r="AY59" s="386">
        <f t="shared" si="90"/>
        <v>0.40226399999999995</v>
      </c>
      <c r="AZ59" s="386">
        <f t="shared" si="36"/>
        <v>0.30415082926829268</v>
      </c>
      <c r="BA59" s="386">
        <f t="shared" si="57"/>
        <v>0.43826399999999999</v>
      </c>
      <c r="BB59" s="386">
        <f t="shared" si="58"/>
        <v>0.95826285889026885</v>
      </c>
      <c r="BC59">
        <f t="shared" si="91"/>
        <v>24</v>
      </c>
      <c r="BD59" s="604">
        <f t="shared" si="51"/>
        <v>0.96160538638814241</v>
      </c>
      <c r="BE59" s="614">
        <f t="shared" si="92"/>
        <v>7.57733088510812</v>
      </c>
      <c r="BF59" s="614">
        <f t="shared" si="93"/>
        <v>6.2482438877497399</v>
      </c>
      <c r="BG59" s="9"/>
      <c r="BH59" s="4">
        <f t="shared" si="52"/>
        <v>96.160538638814245</v>
      </c>
      <c r="BI59" s="386">
        <f t="shared" si="53"/>
        <v>5.9469086352661266E-2</v>
      </c>
      <c r="BJ59" s="386">
        <f t="shared" si="54"/>
        <v>0.38079786155762568</v>
      </c>
      <c r="BK59" s="386">
        <f t="shared" si="94"/>
        <v>0.13064363595014</v>
      </c>
      <c r="BL59" s="386">
        <f t="shared" si="95"/>
        <v>0.1077283428922369</v>
      </c>
      <c r="BM59" s="386">
        <f t="shared" si="55"/>
        <v>7.4656960514482874E-3</v>
      </c>
      <c r="BS59" s="18"/>
      <c r="BT59" s="19"/>
    </row>
    <row r="60" spans="1:74" x14ac:dyDescent="0.2">
      <c r="A60" s="23" t="s">
        <v>233</v>
      </c>
      <c r="B60" s="73">
        <f>Ireverse</f>
        <v>0</v>
      </c>
      <c r="C60" s="482" t="s">
        <v>68</v>
      </c>
      <c r="D60" s="76" t="s">
        <v>236</v>
      </c>
      <c r="E60" s="2"/>
      <c r="G60">
        <v>51</v>
      </c>
      <c r="H60" s="610">
        <f t="shared" si="59"/>
        <v>12</v>
      </c>
      <c r="I60" s="4" t="str">
        <f t="shared" si="60"/>
        <v>BUCK-BST</v>
      </c>
      <c r="J60">
        <f t="shared" si="43"/>
        <v>3</v>
      </c>
      <c r="K60" s="386">
        <f t="shared" si="96"/>
        <v>2.04</v>
      </c>
      <c r="L60" s="4">
        <f t="shared" si="61"/>
        <v>2.2666666666666666</v>
      </c>
      <c r="M60" s="4">
        <f t="shared" si="56"/>
        <v>2.1598729486500794</v>
      </c>
      <c r="N60" s="386">
        <f t="shared" si="62"/>
        <v>0.94450000000000001</v>
      </c>
      <c r="O60" s="386">
        <f t="shared" si="63"/>
        <v>5.5500000000000028E-2</v>
      </c>
      <c r="P60" s="4">
        <f t="shared" si="64"/>
        <v>0</v>
      </c>
      <c r="Q60" s="4">
        <f t="shared" si="65"/>
        <v>2.1598729486500794</v>
      </c>
      <c r="R60" s="386">
        <f t="shared" si="7"/>
        <v>6.1883531709026912E-2</v>
      </c>
      <c r="S60" s="386">
        <f t="shared" si="45"/>
        <v>0</v>
      </c>
      <c r="T60" s="386">
        <f t="shared" si="46"/>
        <v>6.1883531709026912E-2</v>
      </c>
      <c r="U60" s="4">
        <f t="shared" si="66"/>
        <v>0.49451068264109532</v>
      </c>
      <c r="V60" s="386">
        <f t="shared" si="9"/>
        <v>6.6026020116463765E-3</v>
      </c>
      <c r="W60" s="386">
        <f t="shared" si="47"/>
        <v>6.6026020116463765E-3</v>
      </c>
      <c r="X60" s="4">
        <f t="shared" si="67"/>
        <v>0</v>
      </c>
      <c r="Y60" s="386">
        <f t="shared" si="11"/>
        <v>0</v>
      </c>
      <c r="Z60" s="603">
        <f t="shared" si="48"/>
        <v>0</v>
      </c>
      <c r="AA60" s="386">
        <f t="shared" si="68"/>
        <v>2.0990809453773247</v>
      </c>
      <c r="AB60" s="386">
        <f t="shared" si="69"/>
        <v>4.4061408152461637E-2</v>
      </c>
      <c r="AC60" s="386">
        <f t="shared" si="70"/>
        <v>4.9190577018139885E-2</v>
      </c>
      <c r="AD60" s="386">
        <f t="shared" si="71"/>
        <v>0</v>
      </c>
      <c r="AE60" s="386">
        <f t="shared" si="72"/>
        <v>9.4215074908360785E-2</v>
      </c>
      <c r="AF60" s="386">
        <f t="shared" si="73"/>
        <v>0.50883232902816478</v>
      </c>
      <c r="AG60" s="386">
        <f t="shared" si="74"/>
        <v>2.5891033906422656E-3</v>
      </c>
      <c r="AH60" s="386">
        <f t="shared" si="75"/>
        <v>4.9061999999999995E-2</v>
      </c>
      <c r="AI60" s="386">
        <f t="shared" si="76"/>
        <v>5.1682147408799554E-2</v>
      </c>
      <c r="AJ60" s="386">
        <f t="shared" si="77"/>
        <v>0.50883232902816489</v>
      </c>
      <c r="AK60" s="386">
        <f t="shared" si="78"/>
        <v>2.5891033906422669E-3</v>
      </c>
      <c r="AL60" s="386">
        <f t="shared" si="79"/>
        <v>0.10612653575380041</v>
      </c>
      <c r="AM60" s="386">
        <f t="shared" si="80"/>
        <v>0</v>
      </c>
      <c r="AN60" s="386">
        <f t="shared" si="81"/>
        <v>0.10878098083230667</v>
      </c>
      <c r="AO60" s="386">
        <f t="shared" si="49"/>
        <v>2.0990809453773247</v>
      </c>
      <c r="AP60" s="386">
        <f t="shared" si="82"/>
        <v>4.4061408152461637E-2</v>
      </c>
      <c r="AQ60" s="386">
        <f t="shared" si="83"/>
        <v>5.451333333333333E-2</v>
      </c>
      <c r="AR60" s="386">
        <f t="shared" si="84"/>
        <v>9.9592803693838675E-2</v>
      </c>
      <c r="AS60" s="386">
        <f t="shared" si="85"/>
        <v>0</v>
      </c>
      <c r="AT60" s="386">
        <f t="shared" si="86"/>
        <v>0</v>
      </c>
      <c r="AU60" s="386">
        <f t="shared" si="87"/>
        <v>3.3502752600000005E-2</v>
      </c>
      <c r="AV60" s="386">
        <f t="shared" si="88"/>
        <v>7.7673101719267978E-3</v>
      </c>
      <c r="AW60" s="386">
        <f t="shared" si="33"/>
        <v>6.5920000000000006E-2</v>
      </c>
      <c r="AX60" s="386">
        <f t="shared" si="89"/>
        <v>3.6000000000000004E-2</v>
      </c>
      <c r="AY60" s="386">
        <f t="shared" si="90"/>
        <v>0.40226399999999995</v>
      </c>
      <c r="AZ60" s="386">
        <f t="shared" si="36"/>
        <v>0.30415082926829268</v>
      </c>
      <c r="BA60" s="386">
        <f t="shared" si="57"/>
        <v>0.43826399999999999</v>
      </c>
      <c r="BB60" s="386">
        <f t="shared" si="58"/>
        <v>0.96821120333590571</v>
      </c>
      <c r="BC60">
        <f t="shared" si="91"/>
        <v>24.48</v>
      </c>
      <c r="BD60" s="604">
        <f t="shared" si="51"/>
        <v>0.96195366363475532</v>
      </c>
      <c r="BE60" s="614">
        <f t="shared" si="92"/>
        <v>7.5917822578017873</v>
      </c>
      <c r="BF60" s="614">
        <f t="shared" si="93"/>
        <v>6.4176252990066436</v>
      </c>
      <c r="BG60" s="9"/>
      <c r="BH60" s="4">
        <f t="shared" si="52"/>
        <v>96.195366363475529</v>
      </c>
      <c r="BI60" s="386">
        <f t="shared" si="53"/>
        <v>6.1883531709026912E-2</v>
      </c>
      <c r="BJ60" s="386">
        <f t="shared" si="54"/>
        <v>0.38777375944330567</v>
      </c>
      <c r="BK60" s="386">
        <f t="shared" si="94"/>
        <v>0.13089279754830668</v>
      </c>
      <c r="BL60" s="386">
        <f t="shared" si="95"/>
        <v>0.11064871205183868</v>
      </c>
      <c r="BM60" s="386">
        <f t="shared" si="55"/>
        <v>7.7673101719267978E-3</v>
      </c>
      <c r="BS60" s="18"/>
      <c r="BT60" s="19"/>
    </row>
    <row r="61" spans="1:74" x14ac:dyDescent="0.2">
      <c r="A61" s="24" t="s">
        <v>121</v>
      </c>
      <c r="B61" s="15" t="s">
        <v>115</v>
      </c>
      <c r="C61" s="24" t="s">
        <v>80</v>
      </c>
      <c r="D61" s="24" t="s">
        <v>249</v>
      </c>
      <c r="G61">
        <v>52</v>
      </c>
      <c r="H61" s="610">
        <f t="shared" si="59"/>
        <v>12</v>
      </c>
      <c r="I61" s="4" t="str">
        <f t="shared" si="60"/>
        <v>BUCK-BST</v>
      </c>
      <c r="J61">
        <f t="shared" si="43"/>
        <v>3</v>
      </c>
      <c r="K61" s="386">
        <f t="shared" si="96"/>
        <v>2.08</v>
      </c>
      <c r="L61" s="4">
        <f t="shared" si="61"/>
        <v>2.3111111111111109</v>
      </c>
      <c r="M61" s="4">
        <f t="shared" si="56"/>
        <v>2.2022233986236106</v>
      </c>
      <c r="N61" s="386">
        <f t="shared" si="62"/>
        <v>0.94450000000000001</v>
      </c>
      <c r="O61" s="386">
        <f t="shared" si="63"/>
        <v>5.5500000000000028E-2</v>
      </c>
      <c r="P61" s="4">
        <f t="shared" si="64"/>
        <v>0</v>
      </c>
      <c r="Q61" s="4">
        <f t="shared" si="65"/>
        <v>2.2022233986236106</v>
      </c>
      <c r="R61" s="386">
        <f t="shared" si="7"/>
        <v>6.434674411855297E-2</v>
      </c>
      <c r="S61" s="386">
        <f t="shared" si="45"/>
        <v>0</v>
      </c>
      <c r="T61" s="386">
        <f t="shared" si="46"/>
        <v>6.434674411855297E-2</v>
      </c>
      <c r="U61" s="4">
        <f t="shared" si="66"/>
        <v>0.50420697053601882</v>
      </c>
      <c r="V61" s="386">
        <f t="shared" si="9"/>
        <v>6.8640660667019628E-3</v>
      </c>
      <c r="W61" s="386">
        <f t="shared" si="47"/>
        <v>6.8640660667019628E-3</v>
      </c>
      <c r="X61" s="4">
        <f t="shared" si="67"/>
        <v>0</v>
      </c>
      <c r="Y61" s="386">
        <f t="shared" si="11"/>
        <v>0</v>
      </c>
      <c r="Z61" s="603">
        <f t="shared" si="48"/>
        <v>0</v>
      </c>
      <c r="AA61" s="386">
        <f t="shared" si="68"/>
        <v>2.1402393952866841</v>
      </c>
      <c r="AB61" s="386">
        <f t="shared" si="69"/>
        <v>4.5806246691371115E-2</v>
      </c>
      <c r="AC61" s="386">
        <f t="shared" si="70"/>
        <v>5.0155098136142627E-2</v>
      </c>
      <c r="AD61" s="386">
        <f t="shared" si="71"/>
        <v>0</v>
      </c>
      <c r="AE61" s="386">
        <f t="shared" si="72"/>
        <v>9.6992084484483265E-2</v>
      </c>
      <c r="AF61" s="386">
        <f t="shared" si="73"/>
        <v>0.51880943351891318</v>
      </c>
      <c r="AG61" s="386">
        <f t="shared" si="74"/>
        <v>2.691632283082156E-3</v>
      </c>
      <c r="AH61" s="386">
        <f t="shared" si="75"/>
        <v>5.0023999999999999E-2</v>
      </c>
      <c r="AI61" s="386">
        <f t="shared" si="76"/>
        <v>5.2748571586977593E-2</v>
      </c>
      <c r="AJ61" s="386">
        <f t="shared" si="77"/>
        <v>0.51880943351891329</v>
      </c>
      <c r="AK61" s="386">
        <f t="shared" si="78"/>
        <v>2.6916322830821573E-3</v>
      </c>
      <c r="AL61" s="386">
        <f t="shared" si="79"/>
        <v>0.10612653575380041</v>
      </c>
      <c r="AM61" s="386">
        <f t="shared" si="80"/>
        <v>0</v>
      </c>
      <c r="AN61" s="386">
        <f t="shared" si="81"/>
        <v>0.10888616294752052</v>
      </c>
      <c r="AO61" s="386">
        <f t="shared" si="49"/>
        <v>2.1402393952866841</v>
      </c>
      <c r="AP61" s="386">
        <f t="shared" si="82"/>
        <v>4.5806246691371115E-2</v>
      </c>
      <c r="AQ61" s="386">
        <f t="shared" si="83"/>
        <v>5.5582222222222213E-2</v>
      </c>
      <c r="AR61" s="386">
        <f t="shared" si="84"/>
        <v>0.10247750237656224</v>
      </c>
      <c r="AS61" s="386">
        <f t="shared" si="85"/>
        <v>0</v>
      </c>
      <c r="AT61" s="386">
        <f t="shared" si="86"/>
        <v>0</v>
      </c>
      <c r="AU61" s="386">
        <f t="shared" si="87"/>
        <v>3.3723990400000001E-2</v>
      </c>
      <c r="AV61" s="386">
        <f t="shared" si="88"/>
        <v>8.0748968492464698E-3</v>
      </c>
      <c r="AW61" s="386">
        <f t="shared" si="33"/>
        <v>6.5920000000000006E-2</v>
      </c>
      <c r="AX61" s="386">
        <f t="shared" si="89"/>
        <v>3.6000000000000004E-2</v>
      </c>
      <c r="AY61" s="386">
        <f t="shared" si="90"/>
        <v>0.40226399999999995</v>
      </c>
      <c r="AZ61" s="386">
        <f t="shared" si="36"/>
        <v>0.30415082926829268</v>
      </c>
      <c r="BA61" s="386">
        <f t="shared" si="57"/>
        <v>0.43826399999999999</v>
      </c>
      <c r="BB61" s="386">
        <f t="shared" si="58"/>
        <v>0.97829801883004497</v>
      </c>
      <c r="BC61">
        <f t="shared" si="91"/>
        <v>24.96</v>
      </c>
      <c r="BD61" s="604">
        <f t="shared" si="51"/>
        <v>0.96228364643972231</v>
      </c>
      <c r="BE61" s="614">
        <f t="shared" si="92"/>
        <v>7.6063518034681898</v>
      </c>
      <c r="BF61" s="614">
        <f t="shared" si="93"/>
        <v>6.5891723140966096</v>
      </c>
      <c r="BG61" s="9"/>
      <c r="BH61" s="4">
        <f t="shared" si="52"/>
        <v>96.228364643972228</v>
      </c>
      <c r="BI61" s="386">
        <f t="shared" si="53"/>
        <v>6.434674411855297E-2</v>
      </c>
      <c r="BJ61" s="386">
        <f t="shared" si="54"/>
        <v>0.39482831179554362</v>
      </c>
      <c r="BK61" s="386">
        <f t="shared" si="94"/>
        <v>0.13114399661152051</v>
      </c>
      <c r="BL61" s="386">
        <f t="shared" si="95"/>
        <v>0.11360641920856224</v>
      </c>
      <c r="BM61" s="386">
        <f t="shared" si="55"/>
        <v>8.0748968492464698E-3</v>
      </c>
      <c r="BS61" s="18"/>
      <c r="BT61" s="19"/>
    </row>
    <row r="62" spans="1:74" ht="15.75" x14ac:dyDescent="0.3">
      <c r="A62" s="488" t="s">
        <v>678</v>
      </c>
      <c r="B62" s="74">
        <v>30</v>
      </c>
      <c r="C62" s="483" t="s">
        <v>241</v>
      </c>
      <c r="D62" s="76" t="s">
        <v>107</v>
      </c>
      <c r="G62">
        <v>53</v>
      </c>
      <c r="H62" s="610">
        <f t="shared" si="59"/>
        <v>12</v>
      </c>
      <c r="I62" s="4" t="str">
        <f t="shared" si="60"/>
        <v>BUCK-BST</v>
      </c>
      <c r="J62">
        <f t="shared" si="43"/>
        <v>3</v>
      </c>
      <c r="K62" s="386">
        <f t="shared" si="96"/>
        <v>2.12</v>
      </c>
      <c r="L62" s="4">
        <f t="shared" si="61"/>
        <v>2.3555555555555556</v>
      </c>
      <c r="M62" s="4">
        <f t="shared" si="56"/>
        <v>2.2445738485971414</v>
      </c>
      <c r="N62" s="386">
        <f t="shared" si="62"/>
        <v>0.94450000000000001</v>
      </c>
      <c r="O62" s="386">
        <f t="shared" si="63"/>
        <v>5.5500000000000028E-2</v>
      </c>
      <c r="P62" s="4">
        <f t="shared" si="64"/>
        <v>0</v>
      </c>
      <c r="Q62" s="4">
        <f t="shared" si="65"/>
        <v>2.2445738485971414</v>
      </c>
      <c r="R62" s="386">
        <f t="shared" si="7"/>
        <v>6.6858780416284652E-2</v>
      </c>
      <c r="S62" s="386">
        <f t="shared" si="45"/>
        <v>0</v>
      </c>
      <c r="T62" s="386">
        <f t="shared" si="46"/>
        <v>6.6858780416284652E-2</v>
      </c>
      <c r="U62" s="4">
        <f t="shared" si="66"/>
        <v>0.5139032584309422</v>
      </c>
      <c r="V62" s="386">
        <f t="shared" si="9"/>
        <v>7.1306070937003736E-3</v>
      </c>
      <c r="W62" s="386">
        <f t="shared" si="47"/>
        <v>7.1306070937003736E-3</v>
      </c>
      <c r="X62" s="4">
        <f t="shared" si="67"/>
        <v>0</v>
      </c>
      <c r="Y62" s="386">
        <f t="shared" si="11"/>
        <v>0</v>
      </c>
      <c r="Z62" s="603">
        <f t="shared" si="48"/>
        <v>0</v>
      </c>
      <c r="AA62" s="386">
        <f t="shared" si="68"/>
        <v>2.181397845196043</v>
      </c>
      <c r="AB62" s="386">
        <f t="shared" si="69"/>
        <v>4.7584965590259397E-2</v>
      </c>
      <c r="AC62" s="386">
        <f t="shared" si="70"/>
        <v>5.111961925414537E-2</v>
      </c>
      <c r="AD62" s="386">
        <f t="shared" si="71"/>
        <v>0</v>
      </c>
      <c r="AE62" s="386">
        <f t="shared" si="72"/>
        <v>9.9806418967245236E-2</v>
      </c>
      <c r="AF62" s="386">
        <f t="shared" si="73"/>
        <v>0.52878653800966147</v>
      </c>
      <c r="AG62" s="386">
        <f t="shared" si="74"/>
        <v>2.7961520278024315E-3</v>
      </c>
      <c r="AH62" s="386">
        <f t="shared" si="75"/>
        <v>5.0985999999999997E-2</v>
      </c>
      <c r="AI62" s="386">
        <f t="shared" si="76"/>
        <v>5.3817063548200421E-2</v>
      </c>
      <c r="AJ62" s="386">
        <f t="shared" si="77"/>
        <v>0.52878653800966158</v>
      </c>
      <c r="AK62" s="386">
        <f t="shared" si="78"/>
        <v>2.7961520278024328E-3</v>
      </c>
      <c r="AL62" s="386">
        <f t="shared" si="79"/>
        <v>0.10612653575380041</v>
      </c>
      <c r="AM62" s="386">
        <f t="shared" si="80"/>
        <v>0</v>
      </c>
      <c r="AN62" s="386">
        <f t="shared" si="81"/>
        <v>0.10899339258780558</v>
      </c>
      <c r="AO62" s="386">
        <f t="shared" si="49"/>
        <v>2.181397845196043</v>
      </c>
      <c r="AP62" s="386">
        <f t="shared" si="82"/>
        <v>4.7584965590259397E-2</v>
      </c>
      <c r="AQ62" s="386">
        <f t="shared" si="83"/>
        <v>5.665111111111111E-2</v>
      </c>
      <c r="AR62" s="386">
        <f t="shared" si="84"/>
        <v>0.10539965857876388</v>
      </c>
      <c r="AS62" s="386">
        <f t="shared" si="85"/>
        <v>0</v>
      </c>
      <c r="AT62" s="386">
        <f t="shared" si="86"/>
        <v>0</v>
      </c>
      <c r="AU62" s="386">
        <f t="shared" si="87"/>
        <v>3.39452134E-2</v>
      </c>
      <c r="AV62" s="386">
        <f t="shared" si="88"/>
        <v>8.3884560834072957E-3</v>
      </c>
      <c r="AW62" s="386">
        <f t="shared" si="33"/>
        <v>6.5920000000000006E-2</v>
      </c>
      <c r="AX62" s="386">
        <f t="shared" si="89"/>
        <v>3.6000000000000004E-2</v>
      </c>
      <c r="AY62" s="386">
        <f t="shared" si="90"/>
        <v>0.40226399999999995</v>
      </c>
      <c r="AZ62" s="386">
        <f t="shared" si="36"/>
        <v>0.30415082926829268</v>
      </c>
      <c r="BA62" s="386">
        <f t="shared" si="57"/>
        <v>0.43826399999999999</v>
      </c>
      <c r="BB62" s="386">
        <f t="shared" si="58"/>
        <v>0.9885235906754074</v>
      </c>
      <c r="BC62">
        <f t="shared" si="91"/>
        <v>25.44</v>
      </c>
      <c r="BD62" s="604">
        <f t="shared" si="51"/>
        <v>0.96259633697342895</v>
      </c>
      <c r="BE62" s="614">
        <f t="shared" si="92"/>
        <v>7.6210395390447232</v>
      </c>
      <c r="BF62" s="614">
        <f t="shared" si="93"/>
        <v>6.762891582044305</v>
      </c>
      <c r="BG62" s="9"/>
      <c r="BH62" s="4">
        <f t="shared" si="52"/>
        <v>96.259633697342892</v>
      </c>
      <c r="BI62" s="386">
        <f t="shared" si="53"/>
        <v>6.6858780416284652E-2</v>
      </c>
      <c r="BJ62" s="386">
        <f t="shared" si="54"/>
        <v>0.40196174708201515</v>
      </c>
      <c r="BK62" s="386">
        <f t="shared" si="94"/>
        <v>0.13139723343180557</v>
      </c>
      <c r="BL62" s="386">
        <f t="shared" si="95"/>
        <v>0.11660157900076387</v>
      </c>
      <c r="BM62" s="386">
        <f t="shared" si="55"/>
        <v>8.3884560834072957E-3</v>
      </c>
      <c r="BS62" s="18"/>
      <c r="BT62" s="19"/>
    </row>
    <row r="63" spans="1:74" x14ac:dyDescent="0.2">
      <c r="A63" s="23" t="s">
        <v>122</v>
      </c>
      <c r="B63" s="74">
        <v>2</v>
      </c>
      <c r="C63" s="483" t="s">
        <v>241</v>
      </c>
      <c r="D63" s="21" t="s">
        <v>107</v>
      </c>
      <c r="G63">
        <v>54</v>
      </c>
      <c r="H63" s="610">
        <f t="shared" si="59"/>
        <v>12</v>
      </c>
      <c r="I63" s="4" t="str">
        <f t="shared" si="60"/>
        <v>BUCK-BST</v>
      </c>
      <c r="J63">
        <f t="shared" si="43"/>
        <v>3</v>
      </c>
      <c r="K63" s="386">
        <f t="shared" si="96"/>
        <v>2.16</v>
      </c>
      <c r="L63" s="4">
        <f t="shared" si="61"/>
        <v>2.4</v>
      </c>
      <c r="M63" s="4">
        <f t="shared" si="56"/>
        <v>2.2869242985706726</v>
      </c>
      <c r="N63" s="386">
        <f t="shared" si="62"/>
        <v>0.94450000000000001</v>
      </c>
      <c r="O63" s="386">
        <f t="shared" si="63"/>
        <v>5.5500000000000028E-2</v>
      </c>
      <c r="P63" s="4">
        <f t="shared" si="64"/>
        <v>0</v>
      </c>
      <c r="Q63" s="4">
        <f t="shared" si="65"/>
        <v>2.2869242985706726</v>
      </c>
      <c r="R63" s="386">
        <f t="shared" si="7"/>
        <v>6.9419698598128465E-2</v>
      </c>
      <c r="S63" s="386">
        <f t="shared" si="45"/>
        <v>0</v>
      </c>
      <c r="T63" s="386">
        <f t="shared" si="46"/>
        <v>6.9419698598128465E-2</v>
      </c>
      <c r="U63" s="4">
        <f t="shared" si="66"/>
        <v>0.52359954632586569</v>
      </c>
      <c r="V63" s="386">
        <f t="shared" si="9"/>
        <v>7.4022250926416141E-3</v>
      </c>
      <c r="W63" s="386">
        <f t="shared" si="47"/>
        <v>7.4022250926416141E-3</v>
      </c>
      <c r="X63" s="4">
        <f t="shared" si="67"/>
        <v>0</v>
      </c>
      <c r="Y63" s="386">
        <f t="shared" si="11"/>
        <v>0</v>
      </c>
      <c r="Z63" s="603">
        <f t="shared" si="48"/>
        <v>0</v>
      </c>
      <c r="AA63" s="386">
        <f t="shared" si="68"/>
        <v>2.2225562951054028</v>
      </c>
      <c r="AB63" s="386">
        <f t="shared" si="69"/>
        <v>4.9397564849126545E-2</v>
      </c>
      <c r="AC63" s="386">
        <f t="shared" si="70"/>
        <v>5.2084140372148112E-2</v>
      </c>
      <c r="AD63" s="386">
        <f t="shared" si="71"/>
        <v>0</v>
      </c>
      <c r="AE63" s="386">
        <f t="shared" si="72"/>
        <v>0.10265819223356584</v>
      </c>
      <c r="AF63" s="386">
        <f t="shared" si="73"/>
        <v>0.53876364250040987</v>
      </c>
      <c r="AG63" s="386">
        <f t="shared" si="74"/>
        <v>2.9026626248030945E-3</v>
      </c>
      <c r="AH63" s="386">
        <f t="shared" si="75"/>
        <v>5.1948000000000001E-2</v>
      </c>
      <c r="AI63" s="386">
        <f t="shared" si="76"/>
        <v>5.4887624924527464E-2</v>
      </c>
      <c r="AJ63" s="386">
        <f t="shared" si="77"/>
        <v>0.53876364250040998</v>
      </c>
      <c r="AK63" s="386">
        <f t="shared" si="78"/>
        <v>2.9026626248030958E-3</v>
      </c>
      <c r="AL63" s="386">
        <f t="shared" si="79"/>
        <v>0.10612653575380041</v>
      </c>
      <c r="AM63" s="386">
        <f t="shared" si="80"/>
        <v>0</v>
      </c>
      <c r="AN63" s="386">
        <f t="shared" si="81"/>
        <v>0.10910267005089203</v>
      </c>
      <c r="AO63" s="386">
        <f t="shared" si="49"/>
        <v>2.2225562951054028</v>
      </c>
      <c r="AP63" s="386">
        <f t="shared" si="82"/>
        <v>4.9397564849126545E-2</v>
      </c>
      <c r="AQ63" s="386">
        <f t="shared" si="83"/>
        <v>5.7719999999999994E-2</v>
      </c>
      <c r="AR63" s="386">
        <f t="shared" si="84"/>
        <v>0.10835938891542965</v>
      </c>
      <c r="AS63" s="386">
        <f t="shared" si="85"/>
        <v>0</v>
      </c>
      <c r="AT63" s="386">
        <f t="shared" si="86"/>
        <v>0</v>
      </c>
      <c r="AU63" s="386">
        <f t="shared" si="87"/>
        <v>3.4166421600000003E-2</v>
      </c>
      <c r="AV63" s="386">
        <f t="shared" si="88"/>
        <v>8.7079878744092849E-3</v>
      </c>
      <c r="AW63" s="386">
        <f t="shared" si="33"/>
        <v>6.5920000000000006E-2</v>
      </c>
      <c r="AX63" s="386">
        <f t="shared" si="89"/>
        <v>3.6000000000000004E-2</v>
      </c>
      <c r="AY63" s="386">
        <f t="shared" si="90"/>
        <v>0.40226399999999995</v>
      </c>
      <c r="AZ63" s="386">
        <f t="shared" si="36"/>
        <v>0.30415082926829268</v>
      </c>
      <c r="BA63" s="386">
        <f t="shared" si="57"/>
        <v>0.43826399999999999</v>
      </c>
      <c r="BB63" s="386">
        <f t="shared" si="58"/>
        <v>0.99888820928959443</v>
      </c>
      <c r="BC63">
        <f t="shared" si="91"/>
        <v>25.92</v>
      </c>
      <c r="BD63" s="604">
        <f t="shared" si="51"/>
        <v>0.96289266475184954</v>
      </c>
      <c r="BE63" s="614">
        <f t="shared" si="92"/>
        <v>7.6358454817997385</v>
      </c>
      <c r="BF63" s="614">
        <f t="shared" si="93"/>
        <v>6.9387898665189205</v>
      </c>
      <c r="BG63" s="9"/>
      <c r="BH63" s="4">
        <f t="shared" si="52"/>
        <v>96.289266475184959</v>
      </c>
      <c r="BI63" s="386">
        <f t="shared" si="53"/>
        <v>6.9419698598128465E-2</v>
      </c>
      <c r="BJ63" s="386">
        <f t="shared" si="54"/>
        <v>0.40917429772441499</v>
      </c>
      <c r="BK63" s="386">
        <f t="shared" si="94"/>
        <v>0.13165250830689204</v>
      </c>
      <c r="BL63" s="386">
        <f t="shared" si="95"/>
        <v>0.11963430804342966</v>
      </c>
      <c r="BM63" s="386">
        <f t="shared" si="55"/>
        <v>8.7079878744092849E-3</v>
      </c>
      <c r="BS63" s="18"/>
      <c r="BT63" s="19"/>
    </row>
    <row r="64" spans="1:74" x14ac:dyDescent="0.2">
      <c r="A64" s="75"/>
      <c r="B64" s="30"/>
      <c r="G64">
        <v>55</v>
      </c>
      <c r="H64" s="610">
        <f t="shared" si="59"/>
        <v>12</v>
      </c>
      <c r="I64" s="4" t="str">
        <f t="shared" si="60"/>
        <v>BUCK-BST</v>
      </c>
      <c r="J64">
        <f t="shared" si="43"/>
        <v>3</v>
      </c>
      <c r="K64" s="386">
        <f t="shared" si="96"/>
        <v>2.2000000000000002</v>
      </c>
      <c r="L64" s="4">
        <f t="shared" si="61"/>
        <v>2.4444444444444446</v>
      </c>
      <c r="M64" s="4">
        <f t="shared" si="56"/>
        <v>2.3292747485442034</v>
      </c>
      <c r="N64" s="386">
        <f t="shared" si="62"/>
        <v>0.94450000000000001</v>
      </c>
      <c r="O64" s="386">
        <f t="shared" si="63"/>
        <v>5.5500000000000028E-2</v>
      </c>
      <c r="P64" s="4">
        <f t="shared" si="64"/>
        <v>0</v>
      </c>
      <c r="Q64" s="4">
        <f t="shared" si="65"/>
        <v>2.3292747485442034</v>
      </c>
      <c r="R64" s="386">
        <f t="shared" si="7"/>
        <v>7.2029557824222559E-2</v>
      </c>
      <c r="S64" s="386">
        <f t="shared" si="45"/>
        <v>0</v>
      </c>
      <c r="T64" s="386">
        <f t="shared" si="46"/>
        <v>7.2029557824222559E-2</v>
      </c>
      <c r="U64" s="4">
        <f t="shared" si="66"/>
        <v>0.53329583422078908</v>
      </c>
      <c r="V64" s="386">
        <f t="shared" si="9"/>
        <v>7.6789200635256783E-3</v>
      </c>
      <c r="W64" s="386">
        <f t="shared" si="47"/>
        <v>7.6789200635256783E-3</v>
      </c>
      <c r="X64" s="4">
        <f t="shared" si="67"/>
        <v>0</v>
      </c>
      <c r="Y64" s="386">
        <f t="shared" si="11"/>
        <v>0</v>
      </c>
      <c r="Z64" s="603">
        <f t="shared" si="48"/>
        <v>0</v>
      </c>
      <c r="AA64" s="386">
        <f t="shared" si="68"/>
        <v>2.2637147450147617</v>
      </c>
      <c r="AB64" s="386">
        <f t="shared" si="69"/>
        <v>5.1244044467972476E-2</v>
      </c>
      <c r="AC64" s="386">
        <f t="shared" si="70"/>
        <v>5.3048661490150854E-2</v>
      </c>
      <c r="AD64" s="386">
        <f t="shared" si="71"/>
        <v>0</v>
      </c>
      <c r="AE64" s="386">
        <f t="shared" si="72"/>
        <v>0.10554752013932016</v>
      </c>
      <c r="AF64" s="386">
        <f t="shared" si="73"/>
        <v>0.54874074699115816</v>
      </c>
      <c r="AG64" s="386">
        <f t="shared" si="74"/>
        <v>3.0111640740841427E-3</v>
      </c>
      <c r="AH64" s="386">
        <f t="shared" si="75"/>
        <v>5.2909999999999999E-2</v>
      </c>
      <c r="AI64" s="386">
        <f t="shared" si="76"/>
        <v>5.596025735391693E-2</v>
      </c>
      <c r="AJ64" s="386">
        <f t="shared" si="77"/>
        <v>0.54874074699115827</v>
      </c>
      <c r="AK64" s="386">
        <f t="shared" si="78"/>
        <v>3.011164074084144E-3</v>
      </c>
      <c r="AL64" s="386">
        <f t="shared" si="79"/>
        <v>0.10612653575380041</v>
      </c>
      <c r="AM64" s="386">
        <f t="shared" si="80"/>
        <v>0</v>
      </c>
      <c r="AN64" s="386">
        <f t="shared" si="81"/>
        <v>0.10921399564021823</v>
      </c>
      <c r="AO64" s="386">
        <f t="shared" si="49"/>
        <v>2.2637147450147617</v>
      </c>
      <c r="AP64" s="386">
        <f t="shared" si="82"/>
        <v>5.1244044467972476E-2</v>
      </c>
      <c r="AQ64" s="386">
        <f t="shared" si="83"/>
        <v>5.8788888888888891E-2</v>
      </c>
      <c r="AR64" s="386">
        <f t="shared" si="84"/>
        <v>0.11135681199157926</v>
      </c>
      <c r="AS64" s="386">
        <f t="shared" si="85"/>
        <v>0</v>
      </c>
      <c r="AT64" s="386">
        <f t="shared" si="86"/>
        <v>0</v>
      </c>
      <c r="AU64" s="386">
        <f t="shared" si="87"/>
        <v>3.4387615000000003E-2</v>
      </c>
      <c r="AV64" s="386">
        <f t="shared" si="88"/>
        <v>9.0334922222524289E-3</v>
      </c>
      <c r="AW64" s="386">
        <f t="shared" si="33"/>
        <v>6.5920000000000006E-2</v>
      </c>
      <c r="AX64" s="386">
        <f t="shared" si="89"/>
        <v>3.6000000000000004E-2</v>
      </c>
      <c r="AY64" s="386">
        <f t="shared" si="90"/>
        <v>0.40226399999999995</v>
      </c>
      <c r="AZ64" s="386">
        <f t="shared" si="36"/>
        <v>0.30415082926829268</v>
      </c>
      <c r="BA64" s="386">
        <f t="shared" si="57"/>
        <v>0.43826399999999999</v>
      </c>
      <c r="BB64" s="386">
        <f t="shared" si="58"/>
        <v>1.0093921702350352</v>
      </c>
      <c r="BC64">
        <f t="shared" si="91"/>
        <v>26.400000000000002</v>
      </c>
      <c r="BD64" s="604">
        <f t="shared" si="51"/>
        <v>0.96317349308711875</v>
      </c>
      <c r="BE64" s="614">
        <f t="shared" si="92"/>
        <v>7.6507696493326582</v>
      </c>
      <c r="BF64" s="614">
        <f t="shared" si="93"/>
        <v>7.1168740466115974</v>
      </c>
      <c r="BG64" s="9"/>
      <c r="BH64" s="4">
        <f t="shared" si="52"/>
        <v>96.317349308711869</v>
      </c>
      <c r="BI64" s="386">
        <f t="shared" si="53"/>
        <v>7.2029557824222559E-2</v>
      </c>
      <c r="BJ64" s="386">
        <f t="shared" si="54"/>
        <v>0.41646620012503455</v>
      </c>
      <c r="BK64" s="386">
        <f t="shared" si="94"/>
        <v>0.13190982154021824</v>
      </c>
      <c r="BL64" s="386">
        <f t="shared" si="95"/>
        <v>0.12270472494157926</v>
      </c>
      <c r="BM64" s="386">
        <f t="shared" si="55"/>
        <v>9.0334922222524289E-3</v>
      </c>
      <c r="BS64" s="18"/>
      <c r="BT64" s="19"/>
    </row>
    <row r="65" spans="1:72" x14ac:dyDescent="0.2">
      <c r="G65">
        <v>56</v>
      </c>
      <c r="H65" s="610">
        <f t="shared" si="59"/>
        <v>12</v>
      </c>
      <c r="I65" s="4" t="str">
        <f t="shared" si="60"/>
        <v>BUCK-BST</v>
      </c>
      <c r="J65">
        <f t="shared" si="43"/>
        <v>3</v>
      </c>
      <c r="K65" s="386">
        <f t="shared" si="96"/>
        <v>2.2400000000000002</v>
      </c>
      <c r="L65" s="4">
        <f t="shared" si="61"/>
        <v>2.4888888888888889</v>
      </c>
      <c r="M65" s="4">
        <f t="shared" si="56"/>
        <v>2.3716251985177346</v>
      </c>
      <c r="N65" s="386">
        <f t="shared" si="62"/>
        <v>0.94450000000000001</v>
      </c>
      <c r="O65" s="386">
        <f t="shared" si="63"/>
        <v>5.5500000000000028E-2</v>
      </c>
      <c r="P65" s="4">
        <f t="shared" si="64"/>
        <v>0</v>
      </c>
      <c r="Q65" s="4">
        <f t="shared" si="65"/>
        <v>2.3716251985177346</v>
      </c>
      <c r="R65" s="386">
        <f t="shared" si="7"/>
        <v>7.4688418422378042E-2</v>
      </c>
      <c r="S65" s="386">
        <f t="shared" si="45"/>
        <v>0</v>
      </c>
      <c r="T65" s="386">
        <f t="shared" si="46"/>
        <v>7.4688418422378042E-2</v>
      </c>
      <c r="U65" s="4">
        <f t="shared" si="66"/>
        <v>0.54299212211571257</v>
      </c>
      <c r="V65" s="386">
        <f t="shared" si="9"/>
        <v>7.9606920063525731E-3</v>
      </c>
      <c r="W65" s="386">
        <f t="shared" si="47"/>
        <v>7.9606920063525731E-3</v>
      </c>
      <c r="X65" s="4">
        <f t="shared" si="67"/>
        <v>0</v>
      </c>
      <c r="Y65" s="386">
        <f t="shared" si="11"/>
        <v>0</v>
      </c>
      <c r="Z65" s="603">
        <f t="shared" si="48"/>
        <v>0</v>
      </c>
      <c r="AA65" s="386">
        <f t="shared" si="68"/>
        <v>2.3048731949241215</v>
      </c>
      <c r="AB65" s="386">
        <f t="shared" si="69"/>
        <v>5.3124404446797273E-2</v>
      </c>
      <c r="AC65" s="386">
        <f t="shared" si="70"/>
        <v>5.4013182608153611E-2</v>
      </c>
      <c r="AD65" s="386">
        <f t="shared" si="71"/>
        <v>0</v>
      </c>
      <c r="AE65" s="386">
        <f t="shared" si="72"/>
        <v>0.10847452053277254</v>
      </c>
      <c r="AF65" s="386">
        <f t="shared" si="73"/>
        <v>0.55871785148190656</v>
      </c>
      <c r="AG65" s="386">
        <f t="shared" si="74"/>
        <v>3.121656375645578E-3</v>
      </c>
      <c r="AH65" s="386">
        <f t="shared" si="75"/>
        <v>5.3872000000000003E-2</v>
      </c>
      <c r="AI65" s="386">
        <f t="shared" si="76"/>
        <v>5.703496248023416E-2</v>
      </c>
      <c r="AJ65" s="386">
        <f t="shared" si="77"/>
        <v>0.55871785148190667</v>
      </c>
      <c r="AK65" s="386">
        <f t="shared" si="78"/>
        <v>3.1216563756455789E-3</v>
      </c>
      <c r="AL65" s="386">
        <f t="shared" si="79"/>
        <v>0.10612653575380041</v>
      </c>
      <c r="AM65" s="386">
        <f t="shared" si="80"/>
        <v>0</v>
      </c>
      <c r="AN65" s="386">
        <f t="shared" si="81"/>
        <v>0.10932736966493291</v>
      </c>
      <c r="AO65" s="386">
        <f t="shared" si="49"/>
        <v>2.3048731949241215</v>
      </c>
      <c r="AP65" s="386">
        <f t="shared" si="82"/>
        <v>5.3124404446797273E-2</v>
      </c>
      <c r="AQ65" s="386">
        <f t="shared" si="83"/>
        <v>5.9857777777777774E-2</v>
      </c>
      <c r="AR65" s="386">
        <f t="shared" si="84"/>
        <v>0.11439204841594174</v>
      </c>
      <c r="AS65" s="386">
        <f t="shared" si="85"/>
        <v>0</v>
      </c>
      <c r="AT65" s="386">
        <f t="shared" si="86"/>
        <v>0</v>
      </c>
      <c r="AU65" s="386">
        <f t="shared" si="87"/>
        <v>3.46087936E-2</v>
      </c>
      <c r="AV65" s="386">
        <f t="shared" si="88"/>
        <v>9.3649691269367345E-3</v>
      </c>
      <c r="AW65" s="386">
        <f t="shared" si="33"/>
        <v>6.5920000000000006E-2</v>
      </c>
      <c r="AX65" s="386">
        <f t="shared" si="89"/>
        <v>3.6000000000000004E-2</v>
      </c>
      <c r="AY65" s="386">
        <f t="shared" si="90"/>
        <v>0.40226399999999995</v>
      </c>
      <c r="AZ65" s="386">
        <f t="shared" si="36"/>
        <v>0.30415082926829268</v>
      </c>
      <c r="BA65" s="386">
        <f t="shared" si="57"/>
        <v>0.43826399999999999</v>
      </c>
      <c r="BB65" s="386">
        <f t="shared" si="58"/>
        <v>1.0200357742495487</v>
      </c>
      <c r="BC65">
        <f t="shared" si="91"/>
        <v>26.880000000000003</v>
      </c>
      <c r="BD65" s="604">
        <f t="shared" si="51"/>
        <v>0.9634396248627396</v>
      </c>
      <c r="BE65" s="614">
        <f t="shared" si="92"/>
        <v>7.6658120595741082</v>
      </c>
      <c r="BF65" s="614">
        <f t="shared" si="93"/>
        <v>7.297151117628621</v>
      </c>
      <c r="BG65" s="9"/>
      <c r="BH65" s="4">
        <f t="shared" si="52"/>
        <v>96.343962486273966</v>
      </c>
      <c r="BI65" s="386">
        <f t="shared" si="53"/>
        <v>7.4688418422378042E-2</v>
      </c>
      <c r="BJ65" s="386">
        <f t="shared" si="54"/>
        <v>0.42383769469388138</v>
      </c>
      <c r="BK65" s="386">
        <f t="shared" si="94"/>
        <v>0.1321691734409329</v>
      </c>
      <c r="BL65" s="386">
        <f t="shared" si="95"/>
        <v>0.12581295030394174</v>
      </c>
      <c r="BM65" s="386">
        <f t="shared" si="55"/>
        <v>9.3649691269367345E-3</v>
      </c>
      <c r="BS65" s="18"/>
      <c r="BT65" s="19"/>
    </row>
    <row r="66" spans="1:72" x14ac:dyDescent="0.2">
      <c r="A66" s="11" t="s">
        <v>81</v>
      </c>
      <c r="B66" s="31"/>
      <c r="C66" s="31"/>
      <c r="G66">
        <v>57</v>
      </c>
      <c r="H66" s="610">
        <f t="shared" si="59"/>
        <v>12</v>
      </c>
      <c r="I66" s="4" t="str">
        <f t="shared" si="60"/>
        <v>BUCK-BST</v>
      </c>
      <c r="J66">
        <f t="shared" si="43"/>
        <v>3</v>
      </c>
      <c r="K66" s="386">
        <f t="shared" si="96"/>
        <v>2.2799999999999998</v>
      </c>
      <c r="L66" s="4">
        <f t="shared" si="61"/>
        <v>2.5333333333333332</v>
      </c>
      <c r="M66" s="4">
        <f t="shared" si="56"/>
        <v>2.4139756484912649</v>
      </c>
      <c r="N66" s="386">
        <f t="shared" si="62"/>
        <v>0.94450000000000001</v>
      </c>
      <c r="O66" s="386">
        <f t="shared" si="63"/>
        <v>5.5500000000000028E-2</v>
      </c>
      <c r="P66" s="4">
        <f t="shared" si="64"/>
        <v>0</v>
      </c>
      <c r="Q66" s="4">
        <f t="shared" si="65"/>
        <v>2.4139756484912649</v>
      </c>
      <c r="R66" s="386">
        <f t="shared" si="7"/>
        <v>7.7396341891590836E-2</v>
      </c>
      <c r="S66" s="386">
        <f t="shared" si="45"/>
        <v>0</v>
      </c>
      <c r="T66" s="386">
        <f t="shared" si="46"/>
        <v>7.7396341891590836E-2</v>
      </c>
      <c r="U66" s="4">
        <f t="shared" si="66"/>
        <v>0.55268841001063596</v>
      </c>
      <c r="V66" s="386">
        <f t="shared" si="9"/>
        <v>8.2475409211222907E-3</v>
      </c>
      <c r="W66" s="386">
        <f t="shared" si="47"/>
        <v>8.2475409211222907E-3</v>
      </c>
      <c r="X66" s="4">
        <f t="shared" si="67"/>
        <v>0</v>
      </c>
      <c r="Y66" s="386">
        <f t="shared" si="11"/>
        <v>0</v>
      </c>
      <c r="Z66" s="603">
        <f t="shared" si="48"/>
        <v>0</v>
      </c>
      <c r="AA66" s="386">
        <f t="shared" si="68"/>
        <v>2.3460316448334799</v>
      </c>
      <c r="AB66" s="386">
        <f t="shared" si="69"/>
        <v>5.5038644785600832E-2</v>
      </c>
      <c r="AC66" s="386">
        <f t="shared" si="70"/>
        <v>5.4977703726156339E-2</v>
      </c>
      <c r="AD66" s="386">
        <f t="shared" si="71"/>
        <v>0</v>
      </c>
      <c r="AE66" s="386">
        <f t="shared" si="72"/>
        <v>0.11143931326828201</v>
      </c>
      <c r="AF66" s="386">
        <f t="shared" si="73"/>
        <v>0.56869495597265474</v>
      </c>
      <c r="AG66" s="386">
        <f t="shared" si="74"/>
        <v>3.2341395294873971E-3</v>
      </c>
      <c r="AH66" s="386">
        <f t="shared" si="75"/>
        <v>5.4833999999999994E-2</v>
      </c>
      <c r="AI66" s="386">
        <f t="shared" si="76"/>
        <v>5.8111741953259979E-2</v>
      </c>
      <c r="AJ66" s="386">
        <f t="shared" si="77"/>
        <v>0.56869495597265485</v>
      </c>
      <c r="AK66" s="386">
        <f t="shared" si="78"/>
        <v>3.2341395294873984E-3</v>
      </c>
      <c r="AL66" s="386">
        <f t="shared" si="79"/>
        <v>0.10612653575380041</v>
      </c>
      <c r="AM66" s="386">
        <f t="shared" si="80"/>
        <v>0</v>
      </c>
      <c r="AN66" s="386">
        <f t="shared" si="81"/>
        <v>0.10944279243989719</v>
      </c>
      <c r="AO66" s="386">
        <f t="shared" si="49"/>
        <v>2.3460316448334799</v>
      </c>
      <c r="AP66" s="386">
        <f t="shared" si="82"/>
        <v>5.5038644785600832E-2</v>
      </c>
      <c r="AQ66" s="386">
        <f t="shared" si="83"/>
        <v>6.0926666666666657E-2</v>
      </c>
      <c r="AR66" s="386">
        <f t="shared" si="84"/>
        <v>0.11746522081490524</v>
      </c>
      <c r="AS66" s="386">
        <f t="shared" si="85"/>
        <v>0</v>
      </c>
      <c r="AT66" s="386">
        <f t="shared" si="86"/>
        <v>0</v>
      </c>
      <c r="AU66" s="386">
        <f t="shared" si="87"/>
        <v>3.48299574E-2</v>
      </c>
      <c r="AV66" s="386">
        <f t="shared" si="88"/>
        <v>9.702418588462193E-3</v>
      </c>
      <c r="AW66" s="386">
        <f t="shared" si="33"/>
        <v>6.5920000000000006E-2</v>
      </c>
      <c r="AX66" s="386">
        <f t="shared" si="89"/>
        <v>3.6000000000000004E-2</v>
      </c>
      <c r="AY66" s="386">
        <f t="shared" si="90"/>
        <v>0.40226399999999995</v>
      </c>
      <c r="AZ66" s="386">
        <f t="shared" si="36"/>
        <v>0.30415082926829268</v>
      </c>
      <c r="BA66" s="386">
        <f t="shared" si="57"/>
        <v>0.43826399999999999</v>
      </c>
      <c r="BB66" s="386">
        <f t="shared" si="58"/>
        <v>1.0308193272775197</v>
      </c>
      <c r="BC66">
        <f t="shared" si="91"/>
        <v>27.36</v>
      </c>
      <c r="BD66" s="604">
        <f t="shared" si="51"/>
        <v>0.96369180771450569</v>
      </c>
      <c r="BE66" s="614">
        <f t="shared" si="92"/>
        <v>7.6809727307860367</v>
      </c>
      <c r="BF66" s="614">
        <f t="shared" si="93"/>
        <v>7.4796281919005043</v>
      </c>
      <c r="BG66" s="9"/>
      <c r="BH66" s="4">
        <f t="shared" si="52"/>
        <v>96.369180771450573</v>
      </c>
      <c r="BI66" s="386">
        <f t="shared" si="53"/>
        <v>7.7396341891590836E-2</v>
      </c>
      <c r="BJ66" s="386">
        <f t="shared" si="54"/>
        <v>0.43128902587634443</v>
      </c>
      <c r="BK66" s="386">
        <f t="shared" si="94"/>
        <v>0.13243056432389719</v>
      </c>
      <c r="BL66" s="386">
        <f t="shared" si="95"/>
        <v>0.12895910675690525</v>
      </c>
      <c r="BM66" s="386">
        <f t="shared" si="55"/>
        <v>9.702418588462193E-3</v>
      </c>
      <c r="BS66" s="18"/>
      <c r="BT66" s="19"/>
    </row>
    <row r="67" spans="1:72" x14ac:dyDescent="0.2">
      <c r="A67" s="14" t="s">
        <v>59</v>
      </c>
      <c r="B67" s="15" t="s">
        <v>8</v>
      </c>
      <c r="C67" s="15" t="s">
        <v>80</v>
      </c>
      <c r="G67">
        <v>58</v>
      </c>
      <c r="H67" s="610">
        <f t="shared" si="59"/>
        <v>12</v>
      </c>
      <c r="I67" s="4" t="str">
        <f t="shared" si="60"/>
        <v>BUCK-BST</v>
      </c>
      <c r="J67">
        <f t="shared" si="43"/>
        <v>3</v>
      </c>
      <c r="K67" s="386">
        <f t="shared" si="96"/>
        <v>2.3199999999999998</v>
      </c>
      <c r="L67" s="4">
        <f t="shared" si="61"/>
        <v>2.5777777777777771</v>
      </c>
      <c r="M67" s="4">
        <f t="shared" si="56"/>
        <v>2.4563260984647961</v>
      </c>
      <c r="N67" s="386">
        <f t="shared" si="62"/>
        <v>0.94450000000000001</v>
      </c>
      <c r="O67" s="386">
        <f t="shared" si="63"/>
        <v>5.5500000000000028E-2</v>
      </c>
      <c r="P67" s="4">
        <f t="shared" si="64"/>
        <v>0</v>
      </c>
      <c r="Q67" s="4">
        <f t="shared" si="65"/>
        <v>2.4563260984647961</v>
      </c>
      <c r="R67" s="386">
        <f t="shared" si="7"/>
        <v>8.0153390905625607E-2</v>
      </c>
      <c r="S67" s="386">
        <f t="shared" si="45"/>
        <v>0</v>
      </c>
      <c r="T67" s="386">
        <f t="shared" si="46"/>
        <v>8.0153390905625607E-2</v>
      </c>
      <c r="U67" s="4">
        <f t="shared" si="66"/>
        <v>0.56238469790555934</v>
      </c>
      <c r="V67" s="386">
        <f t="shared" si="9"/>
        <v>8.5394668078348362E-3</v>
      </c>
      <c r="W67" s="386">
        <f t="shared" si="47"/>
        <v>8.5394668078348362E-3</v>
      </c>
      <c r="X67" s="4">
        <f t="shared" si="67"/>
        <v>0</v>
      </c>
      <c r="Y67" s="386">
        <f t="shared" si="11"/>
        <v>0</v>
      </c>
      <c r="Z67" s="603">
        <f t="shared" si="48"/>
        <v>0</v>
      </c>
      <c r="AA67" s="386">
        <f t="shared" si="68"/>
        <v>2.3871900947428397</v>
      </c>
      <c r="AB67" s="386">
        <f t="shared" si="69"/>
        <v>5.6986765484383285E-2</v>
      </c>
      <c r="AC67" s="386">
        <f t="shared" si="70"/>
        <v>5.5942224844159075E-2</v>
      </c>
      <c r="AD67" s="386">
        <f t="shared" si="71"/>
        <v>0</v>
      </c>
      <c r="AE67" s="386">
        <f t="shared" si="72"/>
        <v>0.11444202022028413</v>
      </c>
      <c r="AF67" s="386">
        <f t="shared" si="73"/>
        <v>0.57867206046340303</v>
      </c>
      <c r="AG67" s="386">
        <f t="shared" si="74"/>
        <v>3.3486135356096038E-3</v>
      </c>
      <c r="AH67" s="386">
        <f t="shared" si="75"/>
        <v>5.5795999999999991E-2</v>
      </c>
      <c r="AI67" s="386">
        <f t="shared" si="76"/>
        <v>5.9190597428699088E-2</v>
      </c>
      <c r="AJ67" s="386">
        <f t="shared" si="77"/>
        <v>0.57867206046340325</v>
      </c>
      <c r="AK67" s="386">
        <f t="shared" si="78"/>
        <v>3.3486135356096064E-3</v>
      </c>
      <c r="AL67" s="386">
        <f t="shared" si="79"/>
        <v>0.10612653575380041</v>
      </c>
      <c r="AM67" s="386">
        <f t="shared" si="80"/>
        <v>0</v>
      </c>
      <c r="AN67" s="386">
        <f t="shared" si="81"/>
        <v>0.10956026428568688</v>
      </c>
      <c r="AO67" s="386">
        <f t="shared" si="49"/>
        <v>2.3871900947428397</v>
      </c>
      <c r="AP67" s="386">
        <f t="shared" si="82"/>
        <v>5.6986765484383285E-2</v>
      </c>
      <c r="AQ67" s="386">
        <f t="shared" si="83"/>
        <v>6.1995555555555533E-2</v>
      </c>
      <c r="AR67" s="386">
        <f t="shared" si="84"/>
        <v>0.12057645384674513</v>
      </c>
      <c r="AS67" s="386">
        <f t="shared" si="85"/>
        <v>0</v>
      </c>
      <c r="AT67" s="386">
        <f t="shared" si="86"/>
        <v>0</v>
      </c>
      <c r="AU67" s="386">
        <f t="shared" si="87"/>
        <v>3.5051106400000004E-2</v>
      </c>
      <c r="AV67" s="386">
        <f t="shared" si="88"/>
        <v>1.0045840606828813E-2</v>
      </c>
      <c r="AW67" s="386">
        <f t="shared" si="33"/>
        <v>6.5920000000000006E-2</v>
      </c>
      <c r="AX67" s="386">
        <f t="shared" si="89"/>
        <v>3.6000000000000004E-2</v>
      </c>
      <c r="AY67" s="386">
        <f t="shared" si="90"/>
        <v>0.40226399999999995</v>
      </c>
      <c r="AZ67" s="386">
        <f t="shared" si="36"/>
        <v>0.30415082926829268</v>
      </c>
      <c r="BA67" s="386">
        <f t="shared" si="57"/>
        <v>0.43826399999999999</v>
      </c>
      <c r="BB67" s="386">
        <f t="shared" si="58"/>
        <v>1.0417431405017046</v>
      </c>
      <c r="BC67">
        <f t="shared" si="91"/>
        <v>27.839999999999996</v>
      </c>
      <c r="BD67" s="604">
        <f t="shared" si="51"/>
        <v>0.96393073868727686</v>
      </c>
      <c r="BE67" s="614">
        <f t="shared" si="92"/>
        <v>7.6962516815618391</v>
      </c>
      <c r="BF67" s="614">
        <f t="shared" si="93"/>
        <v>7.6643124996072185</v>
      </c>
      <c r="BG67" s="9"/>
      <c r="BH67" s="4">
        <f t="shared" si="52"/>
        <v>96.393073868727683</v>
      </c>
      <c r="BI67" s="386">
        <f t="shared" si="53"/>
        <v>8.0153390905625607E-2</v>
      </c>
      <c r="BJ67" s="386">
        <f t="shared" si="54"/>
        <v>0.43882044218141525</v>
      </c>
      <c r="BK67" s="386">
        <f t="shared" si="94"/>
        <v>0.13269399450968689</v>
      </c>
      <c r="BL67" s="386">
        <f t="shared" si="95"/>
        <v>0.13214331895874515</v>
      </c>
      <c r="BM67" s="386">
        <f t="shared" si="55"/>
        <v>1.0045840606828813E-2</v>
      </c>
      <c r="BS67" s="18"/>
      <c r="BT67" s="19"/>
    </row>
    <row r="68" spans="1:72" x14ac:dyDescent="0.2">
      <c r="A68" s="32" t="s">
        <v>244</v>
      </c>
      <c r="B68" s="491" t="e">
        <f>#REF!</f>
        <v>#REF!</v>
      </c>
      <c r="C68" s="21" t="s">
        <v>19</v>
      </c>
      <c r="G68">
        <v>59</v>
      </c>
      <c r="H68" s="610">
        <f t="shared" si="59"/>
        <v>12</v>
      </c>
      <c r="I68" s="4" t="str">
        <f t="shared" si="60"/>
        <v>BUCK-BST</v>
      </c>
      <c r="J68">
        <f t="shared" si="43"/>
        <v>3</v>
      </c>
      <c r="K68" s="386">
        <f t="shared" si="96"/>
        <v>2.36</v>
      </c>
      <c r="L68" s="4">
        <f t="shared" si="61"/>
        <v>2.6222222222222222</v>
      </c>
      <c r="M68" s="4">
        <f t="shared" si="56"/>
        <v>2.4986765484383269</v>
      </c>
      <c r="N68" s="386">
        <f t="shared" si="62"/>
        <v>0.94450000000000001</v>
      </c>
      <c r="O68" s="386">
        <f t="shared" si="63"/>
        <v>5.5500000000000028E-2</v>
      </c>
      <c r="P68" s="4">
        <f t="shared" si="64"/>
        <v>0</v>
      </c>
      <c r="Q68" s="4">
        <f t="shared" si="65"/>
        <v>2.4986765484383269</v>
      </c>
      <c r="R68" s="386">
        <f t="shared" si="7"/>
        <v>8.2959629316670641E-2</v>
      </c>
      <c r="S68" s="386">
        <f t="shared" si="45"/>
        <v>0</v>
      </c>
      <c r="T68" s="386">
        <f t="shared" si="46"/>
        <v>8.2959629316670641E-2</v>
      </c>
      <c r="U68" s="4">
        <f t="shared" si="66"/>
        <v>0.57208098580048283</v>
      </c>
      <c r="V68" s="386">
        <f t="shared" si="9"/>
        <v>8.8364696664902098E-3</v>
      </c>
      <c r="W68" s="386">
        <f t="shared" si="47"/>
        <v>8.8364696664902098E-3</v>
      </c>
      <c r="X68" s="4">
        <f t="shared" si="67"/>
        <v>0</v>
      </c>
      <c r="Y68" s="386">
        <f t="shared" si="11"/>
        <v>0</v>
      </c>
      <c r="Z68" s="603">
        <f t="shared" si="48"/>
        <v>0</v>
      </c>
      <c r="AA68" s="386">
        <f t="shared" si="68"/>
        <v>2.4283485446521986</v>
      </c>
      <c r="AB68" s="386">
        <f t="shared" si="69"/>
        <v>5.8968766543144514E-2</v>
      </c>
      <c r="AC68" s="386">
        <f t="shared" si="70"/>
        <v>5.6906745962161824E-2</v>
      </c>
      <c r="AD68" s="386">
        <f t="shared" si="71"/>
        <v>0</v>
      </c>
      <c r="AE68" s="386">
        <f t="shared" si="72"/>
        <v>0.11748276529755078</v>
      </c>
      <c r="AF68" s="386">
        <f t="shared" si="73"/>
        <v>0.58864916495415132</v>
      </c>
      <c r="AG68" s="386">
        <f t="shared" si="74"/>
        <v>3.4650783940121965E-3</v>
      </c>
      <c r="AH68" s="386">
        <f t="shared" si="75"/>
        <v>5.6757999999999996E-2</v>
      </c>
      <c r="AI68" s="386">
        <f t="shared" si="76"/>
        <v>6.0271530568188431E-2</v>
      </c>
      <c r="AJ68" s="386">
        <f t="shared" si="77"/>
        <v>0.58864916495415154</v>
      </c>
      <c r="AK68" s="386">
        <f t="shared" si="78"/>
        <v>3.4650783940121995E-3</v>
      </c>
      <c r="AL68" s="386">
        <f t="shared" si="79"/>
        <v>0.10612653575380041</v>
      </c>
      <c r="AM68" s="386">
        <f t="shared" si="80"/>
        <v>0</v>
      </c>
      <c r="AN68" s="386">
        <f t="shared" si="81"/>
        <v>0.10967978552859464</v>
      </c>
      <c r="AO68" s="386">
        <f t="shared" si="49"/>
        <v>2.4283485446521986</v>
      </c>
      <c r="AP68" s="386">
        <f t="shared" si="82"/>
        <v>5.8968766543144514E-2</v>
      </c>
      <c r="AQ68" s="386">
        <f t="shared" si="83"/>
        <v>6.3064444444444437E-2</v>
      </c>
      <c r="AR68" s="386">
        <f t="shared" si="84"/>
        <v>0.12372587421613239</v>
      </c>
      <c r="AS68" s="386">
        <f t="shared" si="85"/>
        <v>0</v>
      </c>
      <c r="AT68" s="386">
        <f t="shared" si="86"/>
        <v>0</v>
      </c>
      <c r="AU68" s="386">
        <f t="shared" si="87"/>
        <v>3.5272240600000004E-2</v>
      </c>
      <c r="AV68" s="386">
        <f t="shared" si="88"/>
        <v>1.0395235182036593E-2</v>
      </c>
      <c r="AW68" s="386">
        <f t="shared" si="33"/>
        <v>6.5920000000000006E-2</v>
      </c>
      <c r="AX68" s="386">
        <f t="shared" si="89"/>
        <v>3.6000000000000004E-2</v>
      </c>
      <c r="AY68" s="386">
        <f t="shared" si="90"/>
        <v>0.40226399999999995</v>
      </c>
      <c r="AZ68" s="386">
        <f t="shared" si="36"/>
        <v>0.30415082926829268</v>
      </c>
      <c r="BA68" s="386">
        <f t="shared" si="57"/>
        <v>0.43826399999999999</v>
      </c>
      <c r="BB68" s="386">
        <f t="shared" si="58"/>
        <v>1.0528075303756637</v>
      </c>
      <c r="BC68">
        <f t="shared" si="91"/>
        <v>28.32</v>
      </c>
      <c r="BD68" s="604">
        <f t="shared" si="51"/>
        <v>0.96415706842844662</v>
      </c>
      <c r="BE68" s="614">
        <f t="shared" si="92"/>
        <v>7.7116489308264899</v>
      </c>
      <c r="BF68" s="614">
        <f t="shared" si="93"/>
        <v>7.851211389619678</v>
      </c>
      <c r="BG68" s="9"/>
      <c r="BH68" s="4">
        <f t="shared" si="52"/>
        <v>96.415706842844656</v>
      </c>
      <c r="BI68" s="386">
        <f t="shared" si="53"/>
        <v>8.2959629316670641E-2</v>
      </c>
      <c r="BJ68" s="386">
        <f t="shared" si="54"/>
        <v>0.44643219621046626</v>
      </c>
      <c r="BK68" s="386">
        <f t="shared" si="94"/>
        <v>0.13295946432459466</v>
      </c>
      <c r="BL68" s="386">
        <f t="shared" si="95"/>
        <v>0.13536571361413238</v>
      </c>
      <c r="BM68" s="386">
        <f t="shared" si="55"/>
        <v>1.0395235182036593E-2</v>
      </c>
      <c r="BS68" s="18"/>
      <c r="BT68" s="19"/>
    </row>
    <row r="69" spans="1:72" x14ac:dyDescent="0.2">
      <c r="A69" s="23" t="s">
        <v>82</v>
      </c>
      <c r="B69" s="491" t="e">
        <f>1-B68</f>
        <v>#REF!</v>
      </c>
      <c r="C69" s="21" t="s">
        <v>19</v>
      </c>
      <c r="G69">
        <v>60</v>
      </c>
      <c r="H69" s="610">
        <f t="shared" si="59"/>
        <v>12</v>
      </c>
      <c r="I69" s="4" t="str">
        <f t="shared" si="60"/>
        <v>BUCK-BST</v>
      </c>
      <c r="J69">
        <f t="shared" si="43"/>
        <v>3</v>
      </c>
      <c r="K69" s="386">
        <f t="shared" si="96"/>
        <v>2.4</v>
      </c>
      <c r="L69" s="4">
        <f t="shared" si="61"/>
        <v>2.6666666666666661</v>
      </c>
      <c r="M69" s="4">
        <f t="shared" si="56"/>
        <v>2.5410269984118581</v>
      </c>
      <c r="N69" s="386">
        <f t="shared" si="62"/>
        <v>0.94450000000000001</v>
      </c>
      <c r="O69" s="386">
        <f t="shared" si="63"/>
        <v>5.5500000000000028E-2</v>
      </c>
      <c r="P69" s="4">
        <f t="shared" si="64"/>
        <v>0</v>
      </c>
      <c r="Q69" s="4">
        <f t="shared" si="65"/>
        <v>2.5410269984118581</v>
      </c>
      <c r="R69" s="386">
        <f t="shared" si="7"/>
        <v>8.5815122159065671E-2</v>
      </c>
      <c r="S69" s="386">
        <f t="shared" si="45"/>
        <v>0</v>
      </c>
      <c r="T69" s="386">
        <f t="shared" si="46"/>
        <v>8.5815122159065671E-2</v>
      </c>
      <c r="U69" s="4">
        <f t="shared" si="66"/>
        <v>0.58177727369540622</v>
      </c>
      <c r="V69" s="386">
        <f t="shared" si="9"/>
        <v>9.1385494970884096E-3</v>
      </c>
      <c r="W69" s="386">
        <f t="shared" si="47"/>
        <v>9.1385494970884096E-3</v>
      </c>
      <c r="X69" s="4">
        <f t="shared" si="67"/>
        <v>0</v>
      </c>
      <c r="Y69" s="386">
        <f t="shared" si="11"/>
        <v>0</v>
      </c>
      <c r="Z69" s="603">
        <f t="shared" si="48"/>
        <v>0</v>
      </c>
      <c r="AA69" s="386">
        <f t="shared" si="68"/>
        <v>2.4695069945615584</v>
      </c>
      <c r="AB69" s="386">
        <f t="shared" si="69"/>
        <v>6.098464796188461E-2</v>
      </c>
      <c r="AC69" s="386">
        <f t="shared" si="70"/>
        <v>5.787126708016456E-2</v>
      </c>
      <c r="AD69" s="386">
        <f t="shared" si="71"/>
        <v>0</v>
      </c>
      <c r="AE69" s="386">
        <f t="shared" si="72"/>
        <v>0.12056167445773322</v>
      </c>
      <c r="AF69" s="386">
        <f t="shared" si="73"/>
        <v>0.59862626944489972</v>
      </c>
      <c r="AG69" s="386">
        <f t="shared" si="74"/>
        <v>3.5835341046951768E-3</v>
      </c>
      <c r="AH69" s="386">
        <f t="shared" si="75"/>
        <v>5.7719999999999994E-2</v>
      </c>
      <c r="AI69" s="386">
        <f t="shared" si="76"/>
        <v>6.1354543039305737E-2</v>
      </c>
      <c r="AJ69" s="386">
        <f t="shared" si="77"/>
        <v>0.59862626944489983</v>
      </c>
      <c r="AK69" s="386">
        <f t="shared" si="78"/>
        <v>3.5835341046951781E-3</v>
      </c>
      <c r="AL69" s="386">
        <f t="shared" si="79"/>
        <v>0.10612653575380041</v>
      </c>
      <c r="AM69" s="386">
        <f t="shared" si="80"/>
        <v>0</v>
      </c>
      <c r="AN69" s="386">
        <f t="shared" si="81"/>
        <v>0.10980135650063233</v>
      </c>
      <c r="AO69" s="386">
        <f t="shared" si="49"/>
        <v>2.4695069945615584</v>
      </c>
      <c r="AP69" s="386">
        <f t="shared" si="82"/>
        <v>6.098464796188461E-2</v>
      </c>
      <c r="AQ69" s="386">
        <f t="shared" si="83"/>
        <v>6.413333333333332E-2</v>
      </c>
      <c r="AR69" s="386">
        <f t="shared" si="84"/>
        <v>0.12691361068892704</v>
      </c>
      <c r="AS69" s="386">
        <f t="shared" si="85"/>
        <v>0</v>
      </c>
      <c r="AT69" s="386">
        <f t="shared" si="86"/>
        <v>0</v>
      </c>
      <c r="AU69" s="386">
        <f t="shared" si="87"/>
        <v>3.5493360000000002E-2</v>
      </c>
      <c r="AV69" s="386">
        <f t="shared" si="88"/>
        <v>1.0750602314085532E-2</v>
      </c>
      <c r="AW69" s="386">
        <f t="shared" si="33"/>
        <v>6.5920000000000006E-2</v>
      </c>
      <c r="AX69" s="386">
        <f t="shared" si="89"/>
        <v>3.6000000000000004E-2</v>
      </c>
      <c r="AY69" s="386">
        <f t="shared" si="90"/>
        <v>0.40226399999999995</v>
      </c>
      <c r="AZ69" s="386">
        <f t="shared" si="36"/>
        <v>0.30415082926829268</v>
      </c>
      <c r="BA69" s="386">
        <f t="shared" si="57"/>
        <v>0.43826399999999999</v>
      </c>
      <c r="BB69" s="386">
        <f t="shared" si="58"/>
        <v>1.0640128186568378</v>
      </c>
      <c r="BC69">
        <f t="shared" si="91"/>
        <v>28.799999999999997</v>
      </c>
      <c r="BD69" s="604">
        <f t="shared" si="51"/>
        <v>0.96437140497099838</v>
      </c>
      <c r="BE69" s="614">
        <f t="shared" si="92"/>
        <v>7.7271644978366751</v>
      </c>
      <c r="BF69" s="614">
        <f t="shared" si="93"/>
        <v>8.040332330357769</v>
      </c>
      <c r="BG69" s="9"/>
      <c r="BH69" s="4">
        <f t="shared" si="52"/>
        <v>96.437140497099833</v>
      </c>
      <c r="BI69" s="386">
        <f t="shared" si="53"/>
        <v>8.5815122159065671E-2</v>
      </c>
      <c r="BJ69" s="386">
        <f t="shared" si="54"/>
        <v>0.45412454468659835</v>
      </c>
      <c r="BK69" s="386">
        <f t="shared" si="94"/>
        <v>0.13322697410063233</v>
      </c>
      <c r="BL69" s="386">
        <f t="shared" si="95"/>
        <v>0.13862641948892704</v>
      </c>
      <c r="BM69" s="386">
        <f t="shared" si="55"/>
        <v>1.0750602314085532E-2</v>
      </c>
      <c r="BS69" s="18"/>
      <c r="BT69" s="19"/>
    </row>
    <row r="70" spans="1:72" x14ac:dyDescent="0.2">
      <c r="A70" s="33" t="s">
        <v>245</v>
      </c>
      <c r="B70" s="491">
        <f>Iripple_Vinnom</f>
        <v>3.3924332034399783E-2</v>
      </c>
      <c r="C70" s="21" t="s">
        <v>2</v>
      </c>
      <c r="G70">
        <v>61</v>
      </c>
      <c r="H70" s="610">
        <f t="shared" si="59"/>
        <v>12</v>
      </c>
      <c r="I70" s="4" t="str">
        <f t="shared" si="60"/>
        <v>BUCK-BST</v>
      </c>
      <c r="J70">
        <f t="shared" si="43"/>
        <v>3</v>
      </c>
      <c r="K70" s="386">
        <f t="shared" si="96"/>
        <v>2.44</v>
      </c>
      <c r="L70" s="4">
        <f t="shared" si="61"/>
        <v>2.7111111111111112</v>
      </c>
      <c r="M70" s="4">
        <f t="shared" si="56"/>
        <v>2.5833774483853889</v>
      </c>
      <c r="N70" s="386">
        <f t="shared" si="62"/>
        <v>0.94450000000000001</v>
      </c>
      <c r="O70" s="386">
        <f t="shared" si="63"/>
        <v>5.5500000000000028E-2</v>
      </c>
      <c r="P70" s="4">
        <f t="shared" si="64"/>
        <v>0</v>
      </c>
      <c r="Q70" s="4">
        <f t="shared" si="65"/>
        <v>2.5833774483853889</v>
      </c>
      <c r="R70" s="386">
        <f t="shared" si="7"/>
        <v>8.8719935653101753E-2</v>
      </c>
      <c r="S70" s="386">
        <f t="shared" si="45"/>
        <v>0</v>
      </c>
      <c r="T70" s="386">
        <f t="shared" si="46"/>
        <v>8.8719935653101753E-2</v>
      </c>
      <c r="U70" s="4">
        <f t="shared" si="66"/>
        <v>0.59147356159032971</v>
      </c>
      <c r="V70" s="386">
        <f t="shared" si="9"/>
        <v>9.4457062996294375E-3</v>
      </c>
      <c r="W70" s="386">
        <f t="shared" si="47"/>
        <v>9.4457062996294375E-3</v>
      </c>
      <c r="X70" s="4">
        <f t="shared" si="67"/>
        <v>0</v>
      </c>
      <c r="Y70" s="386">
        <f t="shared" si="11"/>
        <v>0</v>
      </c>
      <c r="Z70" s="603">
        <f t="shared" si="48"/>
        <v>0</v>
      </c>
      <c r="AA70" s="386">
        <f t="shared" si="68"/>
        <v>2.5106654444709173</v>
      </c>
      <c r="AB70" s="386">
        <f t="shared" si="69"/>
        <v>6.3034409740603495E-2</v>
      </c>
      <c r="AC70" s="386">
        <f t="shared" si="70"/>
        <v>5.8835788198167316E-2</v>
      </c>
      <c r="AD70" s="386">
        <f t="shared" si="71"/>
        <v>0</v>
      </c>
      <c r="AE70" s="386">
        <f t="shared" si="72"/>
        <v>0.1236788757221897</v>
      </c>
      <c r="AF70" s="386">
        <f t="shared" si="73"/>
        <v>0.60860337393564801</v>
      </c>
      <c r="AG70" s="386">
        <f t="shared" si="74"/>
        <v>3.7039806676585421E-3</v>
      </c>
      <c r="AH70" s="386">
        <f t="shared" si="75"/>
        <v>5.8681999999999998E-2</v>
      </c>
      <c r="AI70" s="386">
        <f t="shared" si="76"/>
        <v>6.2439636515577983E-2</v>
      </c>
      <c r="AJ70" s="386">
        <f t="shared" si="77"/>
        <v>0.60860337393564812</v>
      </c>
      <c r="AK70" s="386">
        <f t="shared" si="78"/>
        <v>3.7039806676585434E-3</v>
      </c>
      <c r="AL70" s="386">
        <f t="shared" si="79"/>
        <v>0.10612653575380041</v>
      </c>
      <c r="AM70" s="386">
        <f t="shared" si="80"/>
        <v>0</v>
      </c>
      <c r="AN70" s="386">
        <f t="shared" si="81"/>
        <v>0.10992497753953318</v>
      </c>
      <c r="AO70" s="386">
        <f t="shared" si="49"/>
        <v>2.5106654444709173</v>
      </c>
      <c r="AP70" s="386">
        <f t="shared" si="82"/>
        <v>6.3034409740603495E-2</v>
      </c>
      <c r="AQ70" s="386">
        <f t="shared" si="83"/>
        <v>6.5202222222222217E-2</v>
      </c>
      <c r="AR70" s="386">
        <f t="shared" si="84"/>
        <v>0.13013979410725871</v>
      </c>
      <c r="AS70" s="386">
        <f t="shared" si="85"/>
        <v>0</v>
      </c>
      <c r="AT70" s="386">
        <f t="shared" si="86"/>
        <v>0</v>
      </c>
      <c r="AU70" s="386">
        <f t="shared" si="87"/>
        <v>3.5714464600000002E-2</v>
      </c>
      <c r="AV70" s="386">
        <f t="shared" si="88"/>
        <v>1.1111942002975628E-2</v>
      </c>
      <c r="AW70" s="386">
        <f t="shared" si="33"/>
        <v>6.5920000000000006E-2</v>
      </c>
      <c r="AX70" s="386">
        <f t="shared" si="89"/>
        <v>3.6000000000000004E-2</v>
      </c>
      <c r="AY70" s="386">
        <f t="shared" si="90"/>
        <v>0.40226399999999995</v>
      </c>
      <c r="AZ70" s="386">
        <f t="shared" si="36"/>
        <v>0.30415082926829268</v>
      </c>
      <c r="BA70" s="386">
        <f t="shared" si="57"/>
        <v>0.43826399999999999</v>
      </c>
      <c r="BB70" s="386">
        <f t="shared" si="58"/>
        <v>1.0753593324402664</v>
      </c>
      <c r="BC70">
        <f t="shared" si="91"/>
        <v>29.28</v>
      </c>
      <c r="BD70" s="604">
        <f t="shared" si="51"/>
        <v>0.96457431715225816</v>
      </c>
      <c r="BE70" s="614">
        <f t="shared" si="92"/>
        <v>7.7427984021809246</v>
      </c>
      <c r="BF70" s="614">
        <f t="shared" si="93"/>
        <v>8.231682910665004</v>
      </c>
      <c r="BG70" s="9"/>
      <c r="BH70" s="4">
        <f t="shared" si="52"/>
        <v>96.457431715225823</v>
      </c>
      <c r="BI70" s="386">
        <f t="shared" si="53"/>
        <v>8.8719935653101753E-2</v>
      </c>
      <c r="BJ70" s="386">
        <f t="shared" si="54"/>
        <v>0.46189774848455961</v>
      </c>
      <c r="BK70" s="386">
        <f t="shared" si="94"/>
        <v>0.13349652417553318</v>
      </c>
      <c r="BL70" s="386">
        <f t="shared" si="95"/>
        <v>0.14192556742525869</v>
      </c>
      <c r="BM70" s="386">
        <f t="shared" si="55"/>
        <v>1.1111942002975628E-2</v>
      </c>
      <c r="BS70" s="18"/>
      <c r="BT70" s="19"/>
    </row>
    <row r="71" spans="1:72" x14ac:dyDescent="0.2">
      <c r="A71" s="14" t="s">
        <v>63</v>
      </c>
      <c r="B71" s="15" t="s">
        <v>8</v>
      </c>
      <c r="C71" s="17" t="s">
        <v>80</v>
      </c>
      <c r="G71">
        <v>62</v>
      </c>
      <c r="H71" s="610">
        <f t="shared" si="59"/>
        <v>12</v>
      </c>
      <c r="I71" s="4" t="str">
        <f t="shared" si="60"/>
        <v>BUCK-BST</v>
      </c>
      <c r="J71">
        <f t="shared" si="43"/>
        <v>3</v>
      </c>
      <c r="K71" s="386">
        <f t="shared" si="96"/>
        <v>2.48</v>
      </c>
      <c r="L71" s="4">
        <f t="shared" si="61"/>
        <v>2.7555555555555551</v>
      </c>
      <c r="M71" s="4">
        <f t="shared" si="56"/>
        <v>2.6257278983589201</v>
      </c>
      <c r="N71" s="386">
        <f t="shared" si="62"/>
        <v>0.94450000000000001</v>
      </c>
      <c r="O71" s="386">
        <f t="shared" si="63"/>
        <v>5.5500000000000028E-2</v>
      </c>
      <c r="P71" s="4">
        <f t="shared" si="64"/>
        <v>0</v>
      </c>
      <c r="Q71" s="4">
        <f t="shared" si="65"/>
        <v>2.6257278983589201</v>
      </c>
      <c r="R71" s="386">
        <f t="shared" si="7"/>
        <v>9.1674137208894599E-2</v>
      </c>
      <c r="S71" s="386">
        <f t="shared" si="45"/>
        <v>0</v>
      </c>
      <c r="T71" s="386">
        <f t="shared" si="46"/>
        <v>9.1674137208894599E-2</v>
      </c>
      <c r="U71" s="4">
        <f t="shared" si="66"/>
        <v>0.60116984948525309</v>
      </c>
      <c r="V71" s="386">
        <f t="shared" si="9"/>
        <v>9.7579400741132916E-3</v>
      </c>
      <c r="W71" s="386">
        <f t="shared" si="47"/>
        <v>9.7579400741132916E-3</v>
      </c>
      <c r="X71" s="4">
        <f t="shared" si="67"/>
        <v>0</v>
      </c>
      <c r="Y71" s="386">
        <f t="shared" si="11"/>
        <v>0</v>
      </c>
      <c r="Z71" s="603">
        <f t="shared" si="48"/>
        <v>0</v>
      </c>
      <c r="AA71" s="386">
        <f t="shared" si="68"/>
        <v>2.5518238943802767</v>
      </c>
      <c r="AB71" s="386">
        <f t="shared" si="69"/>
        <v>6.5118051879301211E-2</v>
      </c>
      <c r="AC71" s="386">
        <f t="shared" si="70"/>
        <v>5.9800309316170058E-2</v>
      </c>
      <c r="AD71" s="386">
        <f t="shared" si="71"/>
        <v>0</v>
      </c>
      <c r="AE71" s="386">
        <f t="shared" si="72"/>
        <v>0.12683449919110271</v>
      </c>
      <c r="AF71" s="386">
        <f t="shared" si="73"/>
        <v>0.61858047842639641</v>
      </c>
      <c r="AG71" s="386">
        <f t="shared" si="74"/>
        <v>3.8264180829022947E-3</v>
      </c>
      <c r="AH71" s="386">
        <f t="shared" si="75"/>
        <v>5.9643999999999996E-2</v>
      </c>
      <c r="AI71" s="386">
        <f t="shared" si="76"/>
        <v>6.3526812676489977E-2</v>
      </c>
      <c r="AJ71" s="386">
        <f t="shared" si="77"/>
        <v>0.61858047842639652</v>
      </c>
      <c r="AK71" s="386">
        <f t="shared" si="78"/>
        <v>3.826418082902296E-3</v>
      </c>
      <c r="AL71" s="386">
        <f t="shared" si="79"/>
        <v>0.10612653575380041</v>
      </c>
      <c r="AM71" s="386">
        <f t="shared" si="80"/>
        <v>0</v>
      </c>
      <c r="AN71" s="386">
        <f t="shared" si="81"/>
        <v>0.11005064898875426</v>
      </c>
      <c r="AO71" s="386">
        <f t="shared" si="49"/>
        <v>2.5518238943802767</v>
      </c>
      <c r="AP71" s="386">
        <f t="shared" si="82"/>
        <v>6.5118051879301211E-2</v>
      </c>
      <c r="AQ71" s="386">
        <f t="shared" si="83"/>
        <v>6.62711111111111E-2</v>
      </c>
      <c r="AR71" s="386">
        <f t="shared" si="84"/>
        <v>0.13340455740489868</v>
      </c>
      <c r="AS71" s="386">
        <f t="shared" si="85"/>
        <v>0</v>
      </c>
      <c r="AT71" s="386">
        <f t="shared" si="86"/>
        <v>0</v>
      </c>
      <c r="AU71" s="386">
        <f t="shared" si="87"/>
        <v>3.59355544E-2</v>
      </c>
      <c r="AV71" s="386">
        <f t="shared" si="88"/>
        <v>1.1479254248706886E-2</v>
      </c>
      <c r="AW71" s="386">
        <f t="shared" si="33"/>
        <v>6.5920000000000006E-2</v>
      </c>
      <c r="AX71" s="386">
        <f t="shared" si="89"/>
        <v>3.6000000000000004E-2</v>
      </c>
      <c r="AY71" s="386">
        <f t="shared" si="90"/>
        <v>0.40226399999999995</v>
      </c>
      <c r="AZ71" s="386">
        <f t="shared" si="36"/>
        <v>0.30415082926829268</v>
      </c>
      <c r="BA71" s="386">
        <f t="shared" si="57"/>
        <v>0.43826399999999999</v>
      </c>
      <c r="BB71" s="386">
        <f t="shared" si="58"/>
        <v>1.0868474041929603</v>
      </c>
      <c r="BC71">
        <f t="shared" si="91"/>
        <v>29.759999999999998</v>
      </c>
      <c r="BD71" s="604">
        <f t="shared" si="51"/>
        <v>0.96476633770862352</v>
      </c>
      <c r="BE71" s="614">
        <f t="shared" si="92"/>
        <v>7.7585506637797463</v>
      </c>
      <c r="BF71" s="614">
        <f t="shared" si="93"/>
        <v>8.4252708407001222</v>
      </c>
      <c r="BG71" s="9"/>
      <c r="BH71" s="4">
        <f t="shared" si="52"/>
        <v>96.47663377086235</v>
      </c>
      <c r="BI71" s="386">
        <f t="shared" si="53"/>
        <v>9.1674137208894599E-2</v>
      </c>
      <c r="BJ71" s="386">
        <f t="shared" si="54"/>
        <v>0.46975207266124569</v>
      </c>
      <c r="BK71" s="386">
        <f t="shared" si="94"/>
        <v>0.13376811489275425</v>
      </c>
      <c r="BL71" s="386">
        <f t="shared" si="95"/>
        <v>0.14526329035689867</v>
      </c>
      <c r="BM71" s="386">
        <f t="shared" si="55"/>
        <v>1.1479254248706886E-2</v>
      </c>
      <c r="BS71" s="18"/>
      <c r="BT71" s="19"/>
    </row>
    <row r="72" spans="1:72" x14ac:dyDescent="0.2">
      <c r="A72" s="32" t="s">
        <v>92</v>
      </c>
      <c r="B72" s="492">
        <f>(Qgd_Q1+Qgs_Q1/2)*(RdsonDRT+Rgate1)/(Vdd-Vsp_Q1)*1000000000</f>
        <v>6.5402755267423016</v>
      </c>
      <c r="C72" s="21" t="s">
        <v>79</v>
      </c>
      <c r="D72" s="118" t="s">
        <v>719</v>
      </c>
      <c r="G72">
        <v>63</v>
      </c>
      <c r="H72" s="610">
        <f t="shared" si="59"/>
        <v>12</v>
      </c>
      <c r="I72" s="4" t="str">
        <f t="shared" si="60"/>
        <v>BUCK-BST</v>
      </c>
      <c r="J72">
        <f t="shared" si="43"/>
        <v>3</v>
      </c>
      <c r="K72" s="386">
        <f t="shared" si="96"/>
        <v>2.52</v>
      </c>
      <c r="L72" s="4">
        <f t="shared" si="61"/>
        <v>2.8</v>
      </c>
      <c r="M72" s="4">
        <f t="shared" si="56"/>
        <v>2.6680783483324508</v>
      </c>
      <c r="N72" s="386">
        <f t="shared" si="62"/>
        <v>0.94450000000000001</v>
      </c>
      <c r="O72" s="386">
        <f t="shared" si="63"/>
        <v>5.5500000000000028E-2</v>
      </c>
      <c r="P72" s="4">
        <f t="shared" si="64"/>
        <v>0</v>
      </c>
      <c r="Q72" s="4">
        <f t="shared" si="65"/>
        <v>2.6680783483324508</v>
      </c>
      <c r="R72" s="386">
        <f t="shared" si="7"/>
        <v>9.4677795430330849E-2</v>
      </c>
      <c r="S72" s="386">
        <f t="shared" si="45"/>
        <v>0</v>
      </c>
      <c r="T72" s="386">
        <f t="shared" si="46"/>
        <v>9.4677795430330849E-2</v>
      </c>
      <c r="U72" s="4">
        <f t="shared" si="66"/>
        <v>0.61086613738017659</v>
      </c>
      <c r="V72" s="386">
        <f t="shared" si="9"/>
        <v>1.0075250820539972E-2</v>
      </c>
      <c r="W72" s="386">
        <f t="shared" si="47"/>
        <v>1.0075250820539972E-2</v>
      </c>
      <c r="X72" s="4">
        <f t="shared" si="67"/>
        <v>0</v>
      </c>
      <c r="Y72" s="386">
        <f t="shared" si="11"/>
        <v>0</v>
      </c>
      <c r="Z72" s="603">
        <f t="shared" si="48"/>
        <v>0</v>
      </c>
      <c r="AA72" s="386">
        <f t="shared" si="68"/>
        <v>2.592982344289636</v>
      </c>
      <c r="AB72" s="386">
        <f t="shared" si="69"/>
        <v>6.7235574377977766E-2</v>
      </c>
      <c r="AC72" s="386">
        <f t="shared" si="70"/>
        <v>6.0764830434172801E-2</v>
      </c>
      <c r="AD72" s="386">
        <f t="shared" si="71"/>
        <v>0</v>
      </c>
      <c r="AE72" s="386">
        <f t="shared" si="72"/>
        <v>0.13002867705888838</v>
      </c>
      <c r="AF72" s="386">
        <f t="shared" si="73"/>
        <v>0.6285575829171447</v>
      </c>
      <c r="AG72" s="386">
        <f t="shared" si="74"/>
        <v>3.9508463504264327E-3</v>
      </c>
      <c r="AH72" s="386">
        <f t="shared" si="75"/>
        <v>6.0605999999999993E-2</v>
      </c>
      <c r="AI72" s="386">
        <f t="shared" si="76"/>
        <v>6.4616073207492908E-2</v>
      </c>
      <c r="AJ72" s="386">
        <f t="shared" si="77"/>
        <v>0.62855758291714481</v>
      </c>
      <c r="AK72" s="386">
        <f t="shared" si="78"/>
        <v>3.9508463504264336E-3</v>
      </c>
      <c r="AL72" s="386">
        <f t="shared" si="79"/>
        <v>0.10612653575380041</v>
      </c>
      <c r="AM72" s="386">
        <f t="shared" si="80"/>
        <v>0</v>
      </c>
      <c r="AN72" s="386">
        <f t="shared" si="81"/>
        <v>0.11017837119747885</v>
      </c>
      <c r="AO72" s="386">
        <f t="shared" si="49"/>
        <v>2.592982344289636</v>
      </c>
      <c r="AP72" s="386">
        <f t="shared" si="82"/>
        <v>6.7235574377977766E-2</v>
      </c>
      <c r="AQ72" s="386">
        <f t="shared" si="83"/>
        <v>6.7339999999999997E-2</v>
      </c>
      <c r="AR72" s="386">
        <f t="shared" si="84"/>
        <v>0.13670803562292644</v>
      </c>
      <c r="AS72" s="386">
        <f t="shared" si="85"/>
        <v>0</v>
      </c>
      <c r="AT72" s="386">
        <f t="shared" si="86"/>
        <v>0</v>
      </c>
      <c r="AU72" s="386">
        <f t="shared" si="87"/>
        <v>3.6156629400000001E-2</v>
      </c>
      <c r="AV72" s="386">
        <f t="shared" si="88"/>
        <v>1.1852539051279299E-2</v>
      </c>
      <c r="AW72" s="386">
        <f t="shared" si="33"/>
        <v>6.5920000000000006E-2</v>
      </c>
      <c r="AX72" s="386">
        <f t="shared" si="89"/>
        <v>3.6000000000000004E-2</v>
      </c>
      <c r="AY72" s="386">
        <f t="shared" si="90"/>
        <v>0.40226399999999995</v>
      </c>
      <c r="AZ72" s="386">
        <f t="shared" si="36"/>
        <v>0.30415082926829268</v>
      </c>
      <c r="BA72" s="386">
        <f t="shared" si="57"/>
        <v>0.43826399999999999</v>
      </c>
      <c r="BB72" s="386">
        <f t="shared" si="58"/>
        <v>1.0984773717889367</v>
      </c>
      <c r="BC72">
        <f t="shared" si="91"/>
        <v>30.240000000000002</v>
      </c>
      <c r="BD72" s="604">
        <f t="shared" si="51"/>
        <v>0.96494796608153677</v>
      </c>
      <c r="BE72" s="614">
        <f t="shared" si="92"/>
        <v>7.7744213028857736</v>
      </c>
      <c r="BF72" s="614">
        <f t="shared" si="93"/>
        <v>8.6211039528457345</v>
      </c>
      <c r="BG72" s="9"/>
      <c r="BH72" s="4">
        <f t="shared" si="52"/>
        <v>96.494796608153678</v>
      </c>
      <c r="BI72" s="386">
        <f t="shared" si="53"/>
        <v>9.4677795430330849E-2</v>
      </c>
      <c r="BJ72" s="386">
        <f t="shared" si="54"/>
        <v>0.47768778648678656</v>
      </c>
      <c r="BK72" s="386">
        <f t="shared" si="94"/>
        <v>0.13404174660147886</v>
      </c>
      <c r="BL72" s="386">
        <f t="shared" si="95"/>
        <v>0.14863972332492645</v>
      </c>
      <c r="BM72" s="386">
        <f t="shared" si="55"/>
        <v>1.1852539051279299E-2</v>
      </c>
      <c r="BS72" s="18"/>
      <c r="BT72" s="19"/>
    </row>
    <row r="73" spans="1:72" x14ac:dyDescent="0.2">
      <c r="A73" s="33" t="s">
        <v>93</v>
      </c>
      <c r="B73" s="492">
        <f>(Qgd_Q1+Qgs_Q1/2)*(RdsonDRT2+Rgate1)/(Vsp_Q1)*1000000000</f>
        <v>15.183173076923079</v>
      </c>
      <c r="C73" s="21" t="s">
        <v>79</v>
      </c>
      <c r="D73" s="118" t="s">
        <v>720</v>
      </c>
      <c r="G73">
        <v>64</v>
      </c>
      <c r="H73" s="610">
        <f t="shared" ref="H73:H109" si="97">Vin</f>
        <v>12</v>
      </c>
      <c r="I73" s="4" t="str">
        <f t="shared" ref="I73:I104" si="98">IF(H73&gt;VIN_BB_to_buck, "BUCK", IF(H73&lt;VIN_boost_to_BB,"BOOST","BUCK-BST"))</f>
        <v>BUCK-BST</v>
      </c>
      <c r="J73">
        <f t="shared" si="43"/>
        <v>3</v>
      </c>
      <c r="K73" s="386">
        <f t="shared" si="96"/>
        <v>2.56</v>
      </c>
      <c r="L73" s="4">
        <f t="shared" ref="L73:L104" si="99">Vout*K73/(Vin*Efficiency)</f>
        <v>2.8444444444444441</v>
      </c>
      <c r="M73" s="4">
        <f t="shared" si="56"/>
        <v>2.710428798305982</v>
      </c>
      <c r="N73" s="386">
        <f t="shared" ref="N73:N109" si="100">CHOOSE(J73,(Vout+(Rdson2+Rs+Rdcr)*K73)/(Vin+(Rs+Rdson2-Rdson1)*K73), 1, IF(Vin&lt;Vout, D_max_buck_BB, Vout/Vin*(1-D_min_boost_exitBB_to_buck)))</f>
        <v>0.94450000000000001</v>
      </c>
      <c r="O73" s="386">
        <f t="shared" ref="O73:O109" si="101">CHOOSE(J73,0,(Vout+(Rdson3+Rdcr)*L73-Vin)/(Vout+(Rdson3-Rdson4-Rs)*L73), IF(Vin&gt;Vout,D_min_boost_exitBB_to_buck, (Vout-Vin*D_max_buck_BB)/Vout))</f>
        <v>5.5500000000000028E-2</v>
      </c>
      <c r="P73" s="4">
        <f t="shared" ref="P73:P104" si="102">MAX(0, CHOOSE(J73, (Vin-(Rdson1+Rdcr)*K73-Vout)*N73/(Fsw*Lf), (Vin-(Rdson4+Rdcr+Rs)*L73)*O73/(Fsw*Lf), IF(Vin&lt;Vout, (Vin-(Rdson4+Rdcr+Rs)*L73)*O73/(0.5*Fsw*Lf),(Vin-(Rdson1+Rdcr)*K73-Vout)*N73/(0.5*Fsw*Lf))))</f>
        <v>0</v>
      </c>
      <c r="Q73" s="4">
        <f t="shared" ref="Q73:Q104" si="103">CHOOSE(J73, SQRT(K73^2+(P73^2)/12), SQRT(L73^2+(P73^2)/12), SQRT(M73^2+(P73^2)/12))</f>
        <v>2.710428798305982</v>
      </c>
      <c r="R73" s="386">
        <f t="shared" si="7"/>
        <v>9.7730980119088762E-2</v>
      </c>
      <c r="S73" s="386">
        <f t="shared" si="45"/>
        <v>0</v>
      </c>
      <c r="T73" s="386">
        <f t="shared" si="46"/>
        <v>9.7730980119088762E-2</v>
      </c>
      <c r="U73" s="4">
        <f t="shared" ref="U73:U109" si="104">IF(Vin&gt;Vout, P73/SQRT(12), SQRT(O73/(1-O73))*SQRT(K73^2+(P73^2)/12))</f>
        <v>0.62056242527509997</v>
      </c>
      <c r="V73" s="386">
        <f t="shared" si="9"/>
        <v>1.0397638538909479E-2</v>
      </c>
      <c r="W73" s="386">
        <f t="shared" si="47"/>
        <v>1.0397638538909479E-2</v>
      </c>
      <c r="X73" s="4">
        <f t="shared" ref="X73:X109" si="105">IF(Vin&gt;Vout, SQRT(N73*(1-N73))*SQRT(K73^2+(P73^2)/12), P73/SQRT(12))</f>
        <v>0</v>
      </c>
      <c r="Y73" s="386">
        <f t="shared" si="11"/>
        <v>0</v>
      </c>
      <c r="Z73" s="603">
        <f t="shared" si="48"/>
        <v>0</v>
      </c>
      <c r="AA73" s="386">
        <f t="shared" ref="AA73:AA109" si="106">CHOOSE(J73, SQRT(N73)*SQRT(K73^2+(P73^2)/12), SQRT(L73^2+(P73^2)/12), SQRT(N73)*SQRT(M73^2+(P73^2)/12))</f>
        <v>2.6341407941989954</v>
      </c>
      <c r="AB73" s="386">
        <f t="shared" ref="AB73:AB104" si="107">Rdson1*AA73^2</f>
        <v>6.9386977236633146E-2</v>
      </c>
      <c r="AC73" s="386">
        <f t="shared" ref="AC73:AC109" si="108">CHOOSE(J73, (Vin*K73/2)*(Fsw)*(Tr_buck+Tf_buck), 0, (Vin*K73/2)*(Fsw/2)*(Tr_buck+Tf_buck))</f>
        <v>6.1729351552175543E-2</v>
      </c>
      <c r="AD73" s="386">
        <f t="shared" ref="AD73:AD109" si="109">CHOOSE(J73, IF(K73&gt;P73/2,0,ABS(K73-P73/2)*Vsd_Q1*Deadtime*Fsw),0, IF(K73&gt;P73/2,0,ABS(K73-P73/2)*Vsd_Q1*Deadtime*Fsw/2))</f>
        <v>0</v>
      </c>
      <c r="AE73" s="386">
        <f t="shared" ref="AE73:AE104" si="110">(AD73+AC73+AB73*(1+RdsonTopTc*Ta-RdsonTopTc*25))/(1-AB73*RdsonTopTc*ThetaJA_Q1)</f>
        <v>0.13326154362990172</v>
      </c>
      <c r="AF73" s="386">
        <f t="shared" ref="AF73:AF109" si="111">CHOOSE(J73, SQRT((1-N73))*SQRT(K73^2+(P73^2)/12), 0, SQRT((1-N73))*SQRT(M73^2+(P73^2)/12))</f>
        <v>0.6385346874078931</v>
      </c>
      <c r="AG73" s="386">
        <f t="shared" ref="AG73:AG104" si="112">Rdson2*AF73^2</f>
        <v>4.0772654702309575E-3</v>
      </c>
      <c r="AH73" s="386">
        <f t="shared" ref="AH73:AH109" si="113">CHOOSE(J73, IF(K73&lt;P73/2,Deadtime*Fsw*IF(VfdSky_Q2&gt;0,0,Vsd_Q2)*(K73+P73/2),2*Deadtime*Fsw*IF(VfdSky_Q2&gt;0,0,Vsd_Q2)*K73),0, IF(K73&lt;P73/2,Deadtime*Fsw/2*IF(VfdSky_Q2&gt;0,0,Vsd_Q2)*(K73+P73/2),2*Deadtime*Fsw/2*IF(VfdSky_Q2&gt;0,0,Vsd_Q2)*K73))</f>
        <v>6.1567999999999998E-2</v>
      </c>
      <c r="AI73" s="386">
        <f t="shared" ref="AI73:AI104" si="114">(AH73+AG73*(1+RdsonBotTc*Ta-RdsonBotTc*25))/(1-AG73*RdsonBotTc*ThetaJA_Q2)</f>
        <v>6.57074198000131E-2</v>
      </c>
      <c r="AJ73" s="386">
        <f t="shared" ref="AJ73:AJ109" si="115">CHOOSE(J73, 0, SQRT(O73)*SQRT(L73^2+(P73^2)/12), SQRT(O73)*SQRT(M73^2+(P73^2)/12))</f>
        <v>0.63853468740789321</v>
      </c>
      <c r="AK73" s="386">
        <f t="shared" ref="AK73:AK104" si="116">Rdson4*AJ73^2</f>
        <v>4.0772654702309593E-3</v>
      </c>
      <c r="AL73" s="386">
        <f t="shared" ref="AL73:AL109" si="117">CHOOSE(J73, 0, (Vout*L73/2)*(Fsw)*(Tr_boost+Tf_boost), (Vout*Iout/2)*(Fsw/2)*(Tr_boost+Tf_boost))</f>
        <v>0.10612653575380041</v>
      </c>
      <c r="AM73" s="386">
        <f t="shared" ref="AM73:AM109" si="118">IF(H73&gt;Vout, 0, IF(L73&gt;P73/2,0,ABS(L73-P73/2)*Vsd_Q4*Deadtime*Fsw))</f>
        <v>0</v>
      </c>
      <c r="AN73" s="386">
        <f t="shared" ref="AN73:AN104" si="119">(AM73+AL73+AK73*(1+RdsonTopTc*Ta-RdsonTopTc*25))/(1-AK73*RdsonTopTc*ThetaJA_Q4)</f>
        <v>0.11030814452061885</v>
      </c>
      <c r="AO73" s="386">
        <f t="shared" si="49"/>
        <v>2.6341407941989954</v>
      </c>
      <c r="AP73" s="386">
        <f t="shared" ref="AP73:AP104" si="120">Rdson3*AO73^2</f>
        <v>6.9386977236633146E-2</v>
      </c>
      <c r="AQ73" s="386">
        <f t="shared" ref="AQ73:AQ109" si="121">CHOOSE(J73, 0, IF(L73&lt;P73/2,Deadtime*Fsw*IF(VfdSky_Q3&gt;0,0,Vsd_Q3)*(L73+P73/2), 2*Deadtime*Fsw*IF(VfdSky_Q3&gt;0,0,Vsd_Q3)*L73), IF(L73&lt;P73/2,Deadtime*Fsw/2*IF(VfdSky_Q3&gt;0,0,Vsd_Q3)*(L73+P73/2), 2*Deadtime*Fsw/2*IF(VfdSky_Q3&gt;0,0,Vsd_Q3)*L73))</f>
        <v>6.840888888888888E-2</v>
      </c>
      <c r="AR73" s="386">
        <f t="shared" ref="AR73:AR104" si="122">(AQ73+AP73*(1+RdsonBotTc*Ta-RdsonBotTc*25))/(1-AP73*RdsonBotTc*ThetaJA_Q3)</f>
        <v>0.14005036592569467</v>
      </c>
      <c r="AS73" s="386">
        <f t="shared" ref="AS73:AS109" si="123">CHOOSE(J73, Rdson3*Q73^2, Rdson1*Q73^2, 0)</f>
        <v>0</v>
      </c>
      <c r="AT73" s="386">
        <f t="shared" ref="AT73:AT109" si="124">CHOOSE(J73, 2*Deadtime*Fsw*IF(VfdSky_Q2&gt;0,VfdSky_Q2,0)*K73, 2*Deadtime*Fsw*IF(VfdSky_Q3&gt;0,VfdSky_Q3,0)*L73, 2*Deadtime*Fsw/2*IF(VfdSky_Q2&gt;0,VfdSky_Q2,0)*K73+2*Deadtime*Fsw/2*IF(VfdSky_Q3&gt;0,VfdSky_Q3,0)*L73)</f>
        <v>0</v>
      </c>
      <c r="AU73" s="386">
        <f t="shared" ref="AU73:AU109" si="125">CHOOSE(J73, IF(QrrSky_Q2&gt;0,QrrSky_Q2,Qrr_Q2*K73/Iout)*Fsw*(Vin-K73*Rdson1), IF(QrrSky_Q3&gt;0,QrrSky_Q3,Qrr_Q3)*Fsw*Vout,  IF(QrrSky_Q2&gt;0,QrrSky_Q2,Qrr_Q2*K73/Iout)*Fsw/2*(Vin-K73*Rdson1)+IF(QrrSky_Q3&gt;0,QrrSky_Q3,Qrr_Q3)*Fsw/2*Vout)</f>
        <v>3.6377689599999999E-2</v>
      </c>
      <c r="AV73" s="386">
        <f t="shared" ref="AV73:AV109" si="126">CHOOSE(J73, Rs*AF73^2, Rs*AJ73^2, Rs*(AF73^2+AJ73^2))</f>
        <v>1.2231796410692875E-2</v>
      </c>
      <c r="AW73" s="386">
        <f t="shared" ref="AW73:AW109" si="127">Rshunt_std/1000*Iout^2</f>
        <v>6.5920000000000006E-2</v>
      </c>
      <c r="AX73" s="386">
        <f t="shared" ref="AX73:AX109" si="128">IF(Vout&gt;8, Iq*Vout, Iq*Vin)</f>
        <v>3.6000000000000004E-2</v>
      </c>
      <c r="AY73" s="386">
        <f t="shared" ref="AY73:AY109" si="129">CHOOSE(J73, (Qg_Q1+Qg_Q2)*Fsw, (Qg_Q3+Qg_Q4)*Fsw, (Qg_Q1+Qg_Q2+Qg_Q3+Qg_Q4)*Fsw/2)*IF(Vout&gt;8, Vout, Vin)</f>
        <v>0.40226399999999995</v>
      </c>
      <c r="AZ73" s="386">
        <f t="shared" ref="AZ73:AZ109" si="130">(Vin-Vdd)*Fsw*(Qg_Q1+Qg_Q2)+(RdsonDRT+RdsonDRT2)*Fsw*Qg_Q1*Vdd/(RdsonDRT+2*Rgate1+RdsonDRT2)+(RdsonDRB+RdsonDRB2)*Fsw*Qg_Q2*Vdd/(RdsonDRB+2*Rgate2+RdsonDRB2)</f>
        <v>0.30415082926829268</v>
      </c>
      <c r="BA73" s="386">
        <f t="shared" si="57"/>
        <v>0.43826399999999999</v>
      </c>
      <c r="BB73" s="386">
        <f t="shared" si="58"/>
        <v>1.1102495785449193</v>
      </c>
      <c r="BC73">
        <f t="shared" ref="BC73:BC109" si="131">Vout*K73</f>
        <v>30.72</v>
      </c>
      <c r="BD73" s="604">
        <f t="shared" si="51"/>
        <v>0.96511967096565654</v>
      </c>
      <c r="BE73" s="614">
        <f t="shared" ref="BE73:BE109" si="132">IF(Vin&gt;Vout,ThetaJA_Q1*BK73,ThetaJA_Q4*BK73)</f>
        <v>7.790410340083894</v>
      </c>
      <c r="BF73" s="614">
        <f t="shared" ref="BF73:BF109" si="133">IF(Vin&gt;Vout, ThetaJA_Q2*BL73, ThetaJA_Q3*BL73)</f>
        <v>8.8191902026342905</v>
      </c>
      <c r="BG73" s="9"/>
      <c r="BH73" s="4">
        <f t="shared" si="52"/>
        <v>96.511967096565655</v>
      </c>
      <c r="BI73" s="386">
        <f t="shared" si="53"/>
        <v>9.7730980119088762E-2</v>
      </c>
      <c r="BJ73" s="386">
        <f t="shared" si="54"/>
        <v>0.48570516347622827</v>
      </c>
      <c r="BK73" s="386">
        <f t="shared" ref="BK73:BK109" si="134">IF(Vin&gt;Vout, AE73+AU73*0.66, AN73+AU73*0.66)</f>
        <v>0.13431741965661886</v>
      </c>
      <c r="BL73" s="386">
        <f t="shared" ref="BL73:BL109" si="135">IF(Vin&gt;Vout, AI73+AU73*0.33, AR73+AU73*0.33)</f>
        <v>0.15205500349369466</v>
      </c>
      <c r="BM73" s="386">
        <f t="shared" si="55"/>
        <v>1.2231796410692875E-2</v>
      </c>
      <c r="BS73" s="18"/>
      <c r="BT73" s="19"/>
    </row>
    <row r="74" spans="1:72" x14ac:dyDescent="0.2">
      <c r="A74" s="14" t="s">
        <v>118</v>
      </c>
      <c r="B74" s="15" t="s">
        <v>8</v>
      </c>
      <c r="C74" s="17" t="s">
        <v>80</v>
      </c>
      <c r="G74">
        <v>65</v>
      </c>
      <c r="H74" s="610">
        <f t="shared" si="97"/>
        <v>12</v>
      </c>
      <c r="I74" s="4" t="str">
        <f t="shared" si="98"/>
        <v>BUCK-BST</v>
      </c>
      <c r="J74">
        <f t="shared" ref="J74:J109" si="136">IF(I74="BOOST",2, IF(I74="BUCK", 1,3))</f>
        <v>3</v>
      </c>
      <c r="K74" s="386">
        <f t="shared" ref="K74:K109" si="137">Iout*G74/100</f>
        <v>2.6</v>
      </c>
      <c r="L74" s="4">
        <f t="shared" si="99"/>
        <v>2.8888888888888888</v>
      </c>
      <c r="M74" s="4">
        <f t="shared" si="56"/>
        <v>2.7527792482795133</v>
      </c>
      <c r="N74" s="386">
        <f t="shared" si="100"/>
        <v>0.94450000000000001</v>
      </c>
      <c r="O74" s="386">
        <f t="shared" si="101"/>
        <v>5.5500000000000028E-2</v>
      </c>
      <c r="P74" s="4">
        <f t="shared" si="102"/>
        <v>0</v>
      </c>
      <c r="Q74" s="4">
        <f t="shared" si="103"/>
        <v>2.7527792482795133</v>
      </c>
      <c r="R74" s="386">
        <f t="shared" ref="R74:R109" si="138">(Q74^2*Rdcr*(1+Ltc*Ta-Ltc*25))/(1-Q74^2*Rdcr*Ltc*ThetaCa)</f>
        <v>0.10083376227873275</v>
      </c>
      <c r="S74" s="386">
        <f t="shared" ref="S74:S109" si="139">7.759*10^-3*Fsw^0.9458*(0.00787*P74)^2.304</f>
        <v>0</v>
      </c>
      <c r="T74" s="386">
        <f t="shared" ref="T74:T109" si="140">R74+S74</f>
        <v>0.10083376227873275</v>
      </c>
      <c r="U74" s="4">
        <f t="shared" si="104"/>
        <v>0.63025871317002347</v>
      </c>
      <c r="V74" s="386">
        <f t="shared" ref="V74:V109" si="141">RCoutEsr*U74^2</f>
        <v>1.0725103229221815E-2</v>
      </c>
      <c r="W74" s="386">
        <f t="shared" ref="W74:W109" si="142">V74</f>
        <v>1.0725103229221815E-2</v>
      </c>
      <c r="X74" s="4">
        <f t="shared" si="105"/>
        <v>0</v>
      </c>
      <c r="Y74" s="386">
        <f t="shared" ref="Y74:Y109" si="143">RCinEsr*X74^2</f>
        <v>0</v>
      </c>
      <c r="Z74" s="603">
        <f t="shared" ref="Z74:Z109" si="144">Y74</f>
        <v>0</v>
      </c>
      <c r="AA74" s="386">
        <f t="shared" si="106"/>
        <v>2.6752992441083552</v>
      </c>
      <c r="AB74" s="386">
        <f t="shared" si="107"/>
        <v>7.1572260455267364E-2</v>
      </c>
      <c r="AC74" s="386">
        <f t="shared" si="108"/>
        <v>6.2693872670178299E-2</v>
      </c>
      <c r="AD74" s="386">
        <f t="shared" si="109"/>
        <v>0</v>
      </c>
      <c r="AE74" s="386">
        <f t="shared" si="110"/>
        <v>0.13653323533444209</v>
      </c>
      <c r="AF74" s="386">
        <f t="shared" si="111"/>
        <v>0.6485117918986415</v>
      </c>
      <c r="AG74" s="386">
        <f t="shared" si="112"/>
        <v>4.2056754423158687E-3</v>
      </c>
      <c r="AH74" s="386">
        <f t="shared" si="113"/>
        <v>6.2530000000000002E-2</v>
      </c>
      <c r="AI74" s="386">
        <f t="shared" si="114"/>
        <v>6.6800854151460559E-2</v>
      </c>
      <c r="AJ74" s="386">
        <f t="shared" si="115"/>
        <v>0.64851179189864161</v>
      </c>
      <c r="AK74" s="386">
        <f t="shared" si="116"/>
        <v>4.2056754423158704E-3</v>
      </c>
      <c r="AL74" s="386">
        <f t="shared" si="117"/>
        <v>0.10612653575380041</v>
      </c>
      <c r="AM74" s="386">
        <f t="shared" si="118"/>
        <v>0</v>
      </c>
      <c r="AN74" s="386">
        <f t="shared" si="119"/>
        <v>0.11043996931881719</v>
      </c>
      <c r="AO74" s="386">
        <f t="shared" ref="AO74:AO109" si="145">CHOOSE(J74, SQRT(K74^2+(P74^2)/12), SQRT(1-O74)*SQRT(L74^2+(P74^2)/12), SQRT(1-O74)*SQRT(M74^2+(P74^2)/12))</f>
        <v>2.6752992441083552</v>
      </c>
      <c r="AP74" s="386">
        <f t="shared" si="120"/>
        <v>7.1572260455267364E-2</v>
      </c>
      <c r="AQ74" s="386">
        <f t="shared" si="121"/>
        <v>6.9477777777777777E-2</v>
      </c>
      <c r="AR74" s="386">
        <f t="shared" si="122"/>
        <v>0.1434316876170964</v>
      </c>
      <c r="AS74" s="386">
        <f t="shared" si="123"/>
        <v>0</v>
      </c>
      <c r="AT74" s="386">
        <f t="shared" si="124"/>
        <v>0</v>
      </c>
      <c r="AU74" s="386">
        <f t="shared" si="125"/>
        <v>3.6598735E-2</v>
      </c>
      <c r="AV74" s="386">
        <f t="shared" si="126"/>
        <v>1.2617026326947608E-2</v>
      </c>
      <c r="AW74" s="386">
        <f t="shared" si="127"/>
        <v>6.5920000000000006E-2</v>
      </c>
      <c r="AX74" s="386">
        <f t="shared" si="128"/>
        <v>3.6000000000000004E-2</v>
      </c>
      <c r="AY74" s="386">
        <f t="shared" si="129"/>
        <v>0.40226399999999995</v>
      </c>
      <c r="AZ74" s="386">
        <f t="shared" si="130"/>
        <v>0.30415082926829268</v>
      </c>
      <c r="BA74" s="386">
        <f t="shared" si="57"/>
        <v>0.43826399999999999</v>
      </c>
      <c r="BB74" s="386">
        <f t="shared" si="58"/>
        <v>1.1221643732567186</v>
      </c>
      <c r="BC74">
        <f t="shared" si="131"/>
        <v>31.200000000000003</v>
      </c>
      <c r="BD74" s="604">
        <f t="shared" ref="BD74:BD109" si="146">BC74/(BC74+BB74)</f>
        <v>0.96528189262643582</v>
      </c>
      <c r="BE74" s="614">
        <f t="shared" si="132"/>
        <v>7.8065177962913985</v>
      </c>
      <c r="BF74" s="614">
        <f t="shared" si="133"/>
        <v>9.0195376696915908</v>
      </c>
      <c r="BG74" s="9"/>
      <c r="BH74" s="4">
        <f t="shared" ref="BH74:BH109" si="147">BD74*100</f>
        <v>96.528189262643579</v>
      </c>
      <c r="BI74" s="386">
        <f t="shared" ref="BI74:BI109" si="148">T74</f>
        <v>0.10083376227873275</v>
      </c>
      <c r="BJ74" s="386">
        <f t="shared" ref="BJ74:BJ109" si="149">AE74+AI74+AN74+AR74+AU74</f>
        <v>0.49380448142181627</v>
      </c>
      <c r="BK74" s="386">
        <f t="shared" si="134"/>
        <v>0.13459513441881721</v>
      </c>
      <c r="BL74" s="386">
        <f t="shared" si="135"/>
        <v>0.1555092701670964</v>
      </c>
      <c r="BM74" s="386">
        <f t="shared" ref="BM74:BM109" si="150">AV74</f>
        <v>1.2617026326947608E-2</v>
      </c>
      <c r="BS74" s="18"/>
      <c r="BT74" s="19"/>
    </row>
    <row r="75" spans="1:72" x14ac:dyDescent="0.2">
      <c r="A75" s="34" t="s">
        <v>119</v>
      </c>
      <c r="B75" s="80">
        <f>BA9</f>
        <v>0.43826399999999999</v>
      </c>
      <c r="C75" s="81" t="s">
        <v>120</v>
      </c>
      <c r="G75">
        <v>66</v>
      </c>
      <c r="H75" s="610">
        <f t="shared" si="97"/>
        <v>12</v>
      </c>
      <c r="I75" s="4" t="str">
        <f t="shared" si="98"/>
        <v>BUCK-BST</v>
      </c>
      <c r="J75">
        <f t="shared" si="136"/>
        <v>3</v>
      </c>
      <c r="K75" s="386">
        <f t="shared" si="137"/>
        <v>2.64</v>
      </c>
      <c r="L75" s="4">
        <f t="shared" si="99"/>
        <v>2.9333333333333331</v>
      </c>
      <c r="M75" s="4">
        <f t="shared" ref="M75:M108" si="151">K75/(1-O75)</f>
        <v>2.795129698253044</v>
      </c>
      <c r="N75" s="386">
        <f t="shared" si="100"/>
        <v>0.94450000000000001</v>
      </c>
      <c r="O75" s="386">
        <f t="shared" si="101"/>
        <v>5.5500000000000028E-2</v>
      </c>
      <c r="P75" s="4">
        <f t="shared" si="102"/>
        <v>0</v>
      </c>
      <c r="Q75" s="4">
        <f t="shared" si="103"/>
        <v>2.795129698253044</v>
      </c>
      <c r="R75" s="386">
        <f t="shared" si="138"/>
        <v>0.10398621411888298</v>
      </c>
      <c r="S75" s="386">
        <f t="shared" si="139"/>
        <v>0</v>
      </c>
      <c r="T75" s="386">
        <f t="shared" si="140"/>
        <v>0.10398621411888298</v>
      </c>
      <c r="U75" s="4">
        <f t="shared" si="104"/>
        <v>0.63995500106494696</v>
      </c>
      <c r="V75" s="386">
        <f t="shared" si="141"/>
        <v>1.1057644891476979E-2</v>
      </c>
      <c r="W75" s="386">
        <f t="shared" si="142"/>
        <v>1.1057644891476979E-2</v>
      </c>
      <c r="X75" s="4">
        <f t="shared" si="105"/>
        <v>0</v>
      </c>
      <c r="Y75" s="386">
        <f t="shared" si="143"/>
        <v>0</v>
      </c>
      <c r="Z75" s="603">
        <f t="shared" si="144"/>
        <v>0</v>
      </c>
      <c r="AA75" s="386">
        <f t="shared" si="106"/>
        <v>2.7164576940177141</v>
      </c>
      <c r="AB75" s="386">
        <f t="shared" si="107"/>
        <v>7.3791424033880365E-2</v>
      </c>
      <c r="AC75" s="386">
        <f t="shared" si="108"/>
        <v>6.3658393788181028E-2</v>
      </c>
      <c r="AD75" s="386">
        <f t="shared" si="109"/>
        <v>0</v>
      </c>
      <c r="AE75" s="386">
        <f t="shared" si="110"/>
        <v>0.13984389074506121</v>
      </c>
      <c r="AF75" s="386">
        <f t="shared" si="111"/>
        <v>0.65848889638938979</v>
      </c>
      <c r="AG75" s="386">
        <f t="shared" si="112"/>
        <v>4.3360762666811653E-3</v>
      </c>
      <c r="AH75" s="386">
        <f t="shared" si="113"/>
        <v>6.3491999999999993E-2</v>
      </c>
      <c r="AI75" s="386">
        <f t="shared" si="114"/>
        <v>6.7896377965237731E-2</v>
      </c>
      <c r="AJ75" s="386">
        <f t="shared" si="115"/>
        <v>0.6584888963893899</v>
      </c>
      <c r="AK75" s="386">
        <f t="shared" si="116"/>
        <v>4.3360762666811662E-3</v>
      </c>
      <c r="AL75" s="386">
        <f t="shared" si="117"/>
        <v>0.10612653575380041</v>
      </c>
      <c r="AM75" s="386">
        <f t="shared" si="118"/>
        <v>0</v>
      </c>
      <c r="AN75" s="386">
        <f t="shared" si="119"/>
        <v>0.11057384595845043</v>
      </c>
      <c r="AO75" s="386">
        <f t="shared" si="145"/>
        <v>2.7164576940177141</v>
      </c>
      <c r="AP75" s="386">
        <f t="shared" si="120"/>
        <v>7.3791424033880365E-2</v>
      </c>
      <c r="AQ75" s="386">
        <f t="shared" si="121"/>
        <v>7.054666666666666E-2</v>
      </c>
      <c r="AR75" s="386">
        <f t="shared" si="122"/>
        <v>0.14685214215713768</v>
      </c>
      <c r="AS75" s="386">
        <f t="shared" si="123"/>
        <v>0</v>
      </c>
      <c r="AT75" s="386">
        <f t="shared" si="124"/>
        <v>0</v>
      </c>
      <c r="AU75" s="386">
        <f t="shared" si="125"/>
        <v>3.6819765599999998E-2</v>
      </c>
      <c r="AV75" s="386">
        <f t="shared" si="126"/>
        <v>1.3008228800043497E-2</v>
      </c>
      <c r="AW75" s="386">
        <f t="shared" si="127"/>
        <v>6.5920000000000006E-2</v>
      </c>
      <c r="AX75" s="386">
        <f t="shared" si="128"/>
        <v>3.6000000000000004E-2</v>
      </c>
      <c r="AY75" s="386">
        <f t="shared" si="129"/>
        <v>0.40226399999999995</v>
      </c>
      <c r="AZ75" s="386">
        <f t="shared" si="130"/>
        <v>0.30415082926829268</v>
      </c>
      <c r="BA75" s="386">
        <f t="shared" ref="BA75:BA109" si="152">SUM(AX75:AY75)</f>
        <v>0.43826399999999999</v>
      </c>
      <c r="BB75" s="386">
        <f t="shared" ref="BB75:BB109" si="153">SUM(T75,W75,Z75,AE75,AI75,AN75,AR75, AT75,AU75,BA75,AV75,AW75)</f>
        <v>1.1342221102362904</v>
      </c>
      <c r="BC75">
        <f t="shared" si="131"/>
        <v>31.68</v>
      </c>
      <c r="BD75" s="604">
        <f t="shared" si="146"/>
        <v>0.96543504501109378</v>
      </c>
      <c r="BE75" s="614">
        <f t="shared" si="132"/>
        <v>7.8227436927581246</v>
      </c>
      <c r="BF75" s="614">
        <f t="shared" si="133"/>
        <v>9.2221545586979872</v>
      </c>
      <c r="BG75" s="9"/>
      <c r="BH75" s="4">
        <f t="shared" si="147"/>
        <v>96.543504501109382</v>
      </c>
      <c r="BI75" s="386">
        <f t="shared" si="148"/>
        <v>0.10398621411888298</v>
      </c>
      <c r="BJ75" s="386">
        <f t="shared" si="149"/>
        <v>0.50198602242588708</v>
      </c>
      <c r="BK75" s="386">
        <f t="shared" si="134"/>
        <v>0.13487489125445043</v>
      </c>
      <c r="BL75" s="386">
        <f t="shared" si="135"/>
        <v>0.15900266480513769</v>
      </c>
      <c r="BM75" s="386">
        <f t="shared" si="150"/>
        <v>1.3008228800043497E-2</v>
      </c>
      <c r="BS75" s="18"/>
      <c r="BT75" s="19"/>
    </row>
    <row r="76" spans="1:72" x14ac:dyDescent="0.2">
      <c r="A76" s="34" t="s">
        <v>123</v>
      </c>
      <c r="B76" s="79">
        <f>B75*B62</f>
        <v>13.147919999999999</v>
      </c>
      <c r="C76" s="482" t="s">
        <v>673</v>
      </c>
      <c r="G76">
        <v>67</v>
      </c>
      <c r="H76" s="610">
        <f t="shared" si="97"/>
        <v>12</v>
      </c>
      <c r="I76" s="4" t="str">
        <f t="shared" si="98"/>
        <v>BUCK-BST</v>
      </c>
      <c r="J76">
        <f t="shared" si="136"/>
        <v>3</v>
      </c>
      <c r="K76" s="386">
        <f t="shared" si="137"/>
        <v>2.68</v>
      </c>
      <c r="L76" s="4">
        <f t="shared" si="99"/>
        <v>2.9777777777777779</v>
      </c>
      <c r="M76" s="4">
        <f t="shared" si="151"/>
        <v>2.8374801482265752</v>
      </c>
      <c r="N76" s="386">
        <f t="shared" si="100"/>
        <v>0.94450000000000001</v>
      </c>
      <c r="O76" s="386">
        <f t="shared" si="101"/>
        <v>5.5500000000000028E-2</v>
      </c>
      <c r="P76" s="4">
        <f t="shared" si="102"/>
        <v>0</v>
      </c>
      <c r="Q76" s="4">
        <f t="shared" si="103"/>
        <v>2.8374801482265752</v>
      </c>
      <c r="R76" s="386">
        <f t="shared" si="138"/>
        <v>0.10718840905946017</v>
      </c>
      <c r="S76" s="386">
        <f t="shared" si="139"/>
        <v>0</v>
      </c>
      <c r="T76" s="386">
        <f t="shared" si="140"/>
        <v>0.10718840905946017</v>
      </c>
      <c r="U76" s="4">
        <f t="shared" si="104"/>
        <v>0.64965128895987034</v>
      </c>
      <c r="V76" s="386">
        <f t="shared" si="141"/>
        <v>1.1395263525674965E-2</v>
      </c>
      <c r="W76" s="386">
        <f t="shared" si="142"/>
        <v>1.1395263525674965E-2</v>
      </c>
      <c r="X76" s="4">
        <f t="shared" si="105"/>
        <v>0</v>
      </c>
      <c r="Y76" s="386">
        <f t="shared" si="143"/>
        <v>0</v>
      </c>
      <c r="Z76" s="603">
        <f t="shared" si="144"/>
        <v>0</v>
      </c>
      <c r="AA76" s="386">
        <f t="shared" si="106"/>
        <v>2.7576161439270739</v>
      </c>
      <c r="AB76" s="386">
        <f t="shared" si="107"/>
        <v>7.6044467972472246E-2</v>
      </c>
      <c r="AC76" s="386">
        <f t="shared" si="108"/>
        <v>6.4622914906183784E-2</v>
      </c>
      <c r="AD76" s="386">
        <f t="shared" si="109"/>
        <v>0</v>
      </c>
      <c r="AE76" s="386">
        <f t="shared" si="110"/>
        <v>0.14319365059317954</v>
      </c>
      <c r="AF76" s="386">
        <f t="shared" si="111"/>
        <v>0.66846600088013819</v>
      </c>
      <c r="AG76" s="386">
        <f t="shared" si="112"/>
        <v>4.4684679433268492E-3</v>
      </c>
      <c r="AH76" s="386">
        <f t="shared" si="113"/>
        <v>6.4453999999999997E-2</v>
      </c>
      <c r="AI76" s="386">
        <f t="shared" si="114"/>
        <v>6.8993992950748387E-2</v>
      </c>
      <c r="AJ76" s="386">
        <f t="shared" si="115"/>
        <v>0.6684660008801383</v>
      </c>
      <c r="AK76" s="386">
        <f t="shared" si="116"/>
        <v>4.4684679433268501E-3</v>
      </c>
      <c r="AL76" s="386">
        <f t="shared" si="117"/>
        <v>0.10612653575380041</v>
      </c>
      <c r="AM76" s="386">
        <f t="shared" si="118"/>
        <v>0</v>
      </c>
      <c r="AN76" s="386">
        <f t="shared" si="119"/>
        <v>0.11070977481163127</v>
      </c>
      <c r="AO76" s="386">
        <f t="shared" si="145"/>
        <v>2.7576161439270739</v>
      </c>
      <c r="AP76" s="386">
        <f t="shared" si="120"/>
        <v>7.6044467972472246E-2</v>
      </c>
      <c r="AQ76" s="386">
        <f t="shared" si="121"/>
        <v>7.1615555555555557E-2</v>
      </c>
      <c r="AR76" s="386">
        <f t="shared" si="122"/>
        <v>0.15031187317882017</v>
      </c>
      <c r="AS76" s="386">
        <f t="shared" si="123"/>
        <v>0</v>
      </c>
      <c r="AT76" s="386">
        <f t="shared" si="124"/>
        <v>0</v>
      </c>
      <c r="AU76" s="386">
        <f t="shared" si="125"/>
        <v>3.70407814E-2</v>
      </c>
      <c r="AV76" s="386">
        <f t="shared" si="126"/>
        <v>1.3405403829980549E-2</v>
      </c>
      <c r="AW76" s="386">
        <f t="shared" si="127"/>
        <v>6.5920000000000006E-2</v>
      </c>
      <c r="AX76" s="386">
        <f t="shared" si="128"/>
        <v>3.6000000000000004E-2</v>
      </c>
      <c r="AY76" s="386">
        <f t="shared" si="129"/>
        <v>0.40226399999999995</v>
      </c>
      <c r="AZ76" s="386">
        <f t="shared" si="130"/>
        <v>0.30415082926829268</v>
      </c>
      <c r="BA76" s="386">
        <f t="shared" si="152"/>
        <v>0.43826399999999999</v>
      </c>
      <c r="BB76" s="386">
        <f t="shared" si="153"/>
        <v>1.146423149349495</v>
      </c>
      <c r="BC76">
        <f t="shared" si="131"/>
        <v>32.160000000000004</v>
      </c>
      <c r="BD76" s="604">
        <f t="shared" si="146"/>
        <v>0.96557951767414907</v>
      </c>
      <c r="BE76" s="614">
        <f t="shared" si="132"/>
        <v>7.8390880510666143</v>
      </c>
      <c r="BF76" s="614">
        <f t="shared" si="133"/>
        <v>9.4270492003675699</v>
      </c>
      <c r="BG76" s="9"/>
      <c r="BH76" s="4">
        <f t="shared" si="147"/>
        <v>96.557951767414906</v>
      </c>
      <c r="BI76" s="386">
        <f t="shared" si="148"/>
        <v>0.10718840905946017</v>
      </c>
      <c r="BJ76" s="386">
        <f t="shared" si="149"/>
        <v>0.5102500729343793</v>
      </c>
      <c r="BK76" s="386">
        <f t="shared" si="134"/>
        <v>0.13515669053563129</v>
      </c>
      <c r="BL76" s="386">
        <f t="shared" si="135"/>
        <v>0.16253533104082016</v>
      </c>
      <c r="BM76" s="386">
        <f t="shared" si="150"/>
        <v>1.3405403829980549E-2</v>
      </c>
      <c r="BS76" s="18"/>
      <c r="BT76" s="19"/>
    </row>
    <row r="77" spans="1:72" x14ac:dyDescent="0.2">
      <c r="A77" s="34" t="s">
        <v>246</v>
      </c>
      <c r="B77" s="79">
        <f>(Qg_Q1+Qg_Q2)*Fsw+Iq</f>
        <v>3.6521999999999999E-2</v>
      </c>
      <c r="C77" s="21" t="s">
        <v>2</v>
      </c>
      <c r="G77">
        <v>68</v>
      </c>
      <c r="H77" s="610">
        <f t="shared" si="97"/>
        <v>12</v>
      </c>
      <c r="I77" s="4" t="str">
        <f t="shared" si="98"/>
        <v>BUCK-BST</v>
      </c>
      <c r="J77">
        <f t="shared" si="136"/>
        <v>3</v>
      </c>
      <c r="K77" s="386">
        <f t="shared" si="137"/>
        <v>2.72</v>
      </c>
      <c r="L77" s="4">
        <f t="shared" si="99"/>
        <v>3.0222222222222221</v>
      </c>
      <c r="M77" s="4">
        <f t="shared" si="151"/>
        <v>2.879830598200106</v>
      </c>
      <c r="N77" s="386">
        <f t="shared" si="100"/>
        <v>0.94450000000000001</v>
      </c>
      <c r="O77" s="386">
        <f t="shared" si="101"/>
        <v>5.5500000000000028E-2</v>
      </c>
      <c r="P77" s="4">
        <f t="shared" si="102"/>
        <v>0</v>
      </c>
      <c r="Q77" s="4">
        <f t="shared" si="103"/>
        <v>2.879830598200106</v>
      </c>
      <c r="R77" s="386">
        <f t="shared" si="138"/>
        <v>0.11044042173500589</v>
      </c>
      <c r="S77" s="386">
        <f t="shared" si="139"/>
        <v>0</v>
      </c>
      <c r="T77" s="386">
        <f t="shared" si="140"/>
        <v>0.11044042173500589</v>
      </c>
      <c r="U77" s="4">
        <f t="shared" si="104"/>
        <v>0.65934757685479384</v>
      </c>
      <c r="V77" s="386">
        <f t="shared" si="141"/>
        <v>1.1737959131815783E-2</v>
      </c>
      <c r="W77" s="386">
        <f t="shared" si="142"/>
        <v>1.1737959131815783E-2</v>
      </c>
      <c r="X77" s="4">
        <f t="shared" si="105"/>
        <v>0</v>
      </c>
      <c r="Y77" s="386">
        <f t="shared" si="143"/>
        <v>0</v>
      </c>
      <c r="Z77" s="603">
        <f t="shared" si="144"/>
        <v>0</v>
      </c>
      <c r="AA77" s="386">
        <f t="shared" si="106"/>
        <v>2.7987745938364328</v>
      </c>
      <c r="AB77" s="386">
        <f t="shared" si="107"/>
        <v>7.8331392271042896E-2</v>
      </c>
      <c r="AC77" s="386">
        <f t="shared" si="108"/>
        <v>6.5587436024186513E-2</v>
      </c>
      <c r="AD77" s="386">
        <f t="shared" si="109"/>
        <v>0</v>
      </c>
      <c r="AE77" s="386">
        <f t="shared" si="110"/>
        <v>0.1465826577860124</v>
      </c>
      <c r="AF77" s="386">
        <f t="shared" si="111"/>
        <v>0.67844310537088637</v>
      </c>
      <c r="AG77" s="386">
        <f t="shared" si="112"/>
        <v>4.6028504722529159E-3</v>
      </c>
      <c r="AH77" s="386">
        <f t="shared" si="113"/>
        <v>6.5416000000000002E-2</v>
      </c>
      <c r="AI77" s="386">
        <f t="shared" si="114"/>
        <v>7.009370082340631E-2</v>
      </c>
      <c r="AJ77" s="386">
        <f t="shared" si="115"/>
        <v>0.67844310537088659</v>
      </c>
      <c r="AK77" s="386">
        <f t="shared" si="116"/>
        <v>4.6028504722529194E-3</v>
      </c>
      <c r="AL77" s="386">
        <f t="shared" si="117"/>
        <v>0.10612653575380041</v>
      </c>
      <c r="AM77" s="386">
        <f t="shared" si="118"/>
        <v>0</v>
      </c>
      <c r="AN77" s="386">
        <f t="shared" si="119"/>
        <v>0.11084775625621117</v>
      </c>
      <c r="AO77" s="386">
        <f t="shared" si="145"/>
        <v>2.7987745938364328</v>
      </c>
      <c r="AP77" s="386">
        <f t="shared" si="120"/>
        <v>7.8331392271042896E-2</v>
      </c>
      <c r="AQ77" s="386">
        <f t="shared" si="121"/>
        <v>7.268444444444444E-2</v>
      </c>
      <c r="AR77" s="386">
        <f t="shared" si="122"/>
        <v>0.15381102650533726</v>
      </c>
      <c r="AS77" s="386">
        <f t="shared" si="123"/>
        <v>0</v>
      </c>
      <c r="AT77" s="386">
        <f t="shared" si="124"/>
        <v>0</v>
      </c>
      <c r="AU77" s="386">
        <f t="shared" si="125"/>
        <v>3.7261782399999999E-2</v>
      </c>
      <c r="AV77" s="386">
        <f t="shared" si="126"/>
        <v>1.3808551416758751E-2</v>
      </c>
      <c r="AW77" s="386">
        <f t="shared" si="127"/>
        <v>6.5920000000000006E-2</v>
      </c>
      <c r="AX77" s="386">
        <f t="shared" si="128"/>
        <v>3.6000000000000004E-2</v>
      </c>
      <c r="AY77" s="386">
        <f t="shared" si="129"/>
        <v>0.40226399999999995</v>
      </c>
      <c r="AZ77" s="386">
        <f t="shared" si="130"/>
        <v>0.30415082926829268</v>
      </c>
      <c r="BA77" s="386">
        <f t="shared" si="152"/>
        <v>0.43826399999999999</v>
      </c>
      <c r="BB77" s="386">
        <f t="shared" si="153"/>
        <v>1.1587678560545476</v>
      </c>
      <c r="BC77">
        <f t="shared" si="131"/>
        <v>32.64</v>
      </c>
      <c r="BD77" s="604">
        <f t="shared" si="146"/>
        <v>0.96571567753624576</v>
      </c>
      <c r="BE77" s="614">
        <f t="shared" si="132"/>
        <v>7.8555508931322473</v>
      </c>
      <c r="BF77" s="614">
        <f t="shared" si="133"/>
        <v>9.6342300524455613</v>
      </c>
      <c r="BG77" s="9"/>
      <c r="BH77" s="4">
        <f t="shared" si="147"/>
        <v>96.571567753624578</v>
      </c>
      <c r="BI77" s="386">
        <f t="shared" si="148"/>
        <v>0.11044042173500589</v>
      </c>
      <c r="BJ77" s="386">
        <f t="shared" si="149"/>
        <v>0.51859692377096711</v>
      </c>
      <c r="BK77" s="386">
        <f t="shared" si="134"/>
        <v>0.13544053264021116</v>
      </c>
      <c r="BL77" s="386">
        <f t="shared" si="135"/>
        <v>0.16610741469733725</v>
      </c>
      <c r="BM77" s="386">
        <f t="shared" si="150"/>
        <v>1.3808551416758751E-2</v>
      </c>
      <c r="BS77" s="18"/>
      <c r="BT77" s="19"/>
    </row>
    <row r="78" spans="1:72" x14ac:dyDescent="0.2">
      <c r="A78" s="34" t="s">
        <v>247</v>
      </c>
      <c r="B78" s="78">
        <f>Qrr_Q2*Fsw</f>
        <v>3.7000000000000002E-3</v>
      </c>
      <c r="C78" s="21" t="s">
        <v>2</v>
      </c>
      <c r="G78">
        <v>69</v>
      </c>
      <c r="H78" s="610">
        <f t="shared" si="97"/>
        <v>12</v>
      </c>
      <c r="I78" s="4" t="str">
        <f t="shared" si="98"/>
        <v>BUCK-BST</v>
      </c>
      <c r="J78">
        <f t="shared" si="136"/>
        <v>3</v>
      </c>
      <c r="K78" s="386">
        <f t="shared" si="137"/>
        <v>2.76</v>
      </c>
      <c r="L78" s="4">
        <f t="shared" si="99"/>
        <v>3.0666666666666664</v>
      </c>
      <c r="M78" s="4">
        <f t="shared" si="151"/>
        <v>2.9221810481736368</v>
      </c>
      <c r="N78" s="386">
        <f t="shared" si="100"/>
        <v>0.94450000000000001</v>
      </c>
      <c r="O78" s="386">
        <f t="shared" si="101"/>
        <v>5.5500000000000028E-2</v>
      </c>
      <c r="P78" s="4">
        <f t="shared" si="102"/>
        <v>0</v>
      </c>
      <c r="Q78" s="4">
        <f t="shared" si="103"/>
        <v>2.9221810481736368</v>
      </c>
      <c r="R78" s="386">
        <f t="shared" si="138"/>
        <v>0.1137423279990793</v>
      </c>
      <c r="S78" s="386">
        <f t="shared" si="139"/>
        <v>0</v>
      </c>
      <c r="T78" s="386">
        <f t="shared" si="140"/>
        <v>0.1137423279990793</v>
      </c>
      <c r="U78" s="4">
        <f t="shared" si="104"/>
        <v>0.66904386474971711</v>
      </c>
      <c r="V78" s="386">
        <f t="shared" si="141"/>
        <v>1.2085731709899419E-2</v>
      </c>
      <c r="W78" s="386">
        <f t="shared" si="142"/>
        <v>1.2085731709899419E-2</v>
      </c>
      <c r="X78" s="4">
        <f t="shared" si="105"/>
        <v>0</v>
      </c>
      <c r="Y78" s="386">
        <f t="shared" si="143"/>
        <v>0</v>
      </c>
      <c r="Z78" s="603">
        <f t="shared" si="144"/>
        <v>0</v>
      </c>
      <c r="AA78" s="386">
        <f t="shared" si="106"/>
        <v>2.8399330437457921</v>
      </c>
      <c r="AB78" s="386">
        <f t="shared" si="107"/>
        <v>8.0652196929592398E-2</v>
      </c>
      <c r="AC78" s="386">
        <f t="shared" si="108"/>
        <v>6.6551957142189241E-2</v>
      </c>
      <c r="AD78" s="386">
        <f t="shared" si="109"/>
        <v>0</v>
      </c>
      <c r="AE78" s="386">
        <f t="shared" si="110"/>
        <v>0.15001105742381277</v>
      </c>
      <c r="AF78" s="386">
        <f t="shared" si="111"/>
        <v>0.68842020986163466</v>
      </c>
      <c r="AG78" s="386">
        <f t="shared" si="112"/>
        <v>4.7392238534593716E-3</v>
      </c>
      <c r="AH78" s="386">
        <f t="shared" si="113"/>
        <v>6.6377999999999993E-2</v>
      </c>
      <c r="AI78" s="386">
        <f t="shared" si="114"/>
        <v>7.1195503304644109E-2</v>
      </c>
      <c r="AJ78" s="386">
        <f t="shared" si="115"/>
        <v>0.68842020986163488</v>
      </c>
      <c r="AK78" s="386">
        <f t="shared" si="116"/>
        <v>4.7392238534593742E-3</v>
      </c>
      <c r="AL78" s="386">
        <f t="shared" si="117"/>
        <v>0.10612653575380041</v>
      </c>
      <c r="AM78" s="386">
        <f t="shared" si="118"/>
        <v>0</v>
      </c>
      <c r="AN78" s="386">
        <f t="shared" si="119"/>
        <v>0.11098779067578289</v>
      </c>
      <c r="AO78" s="386">
        <f t="shared" si="145"/>
        <v>2.8399330437457921</v>
      </c>
      <c r="AP78" s="386">
        <f t="shared" si="120"/>
        <v>8.0652196929592398E-2</v>
      </c>
      <c r="AQ78" s="386">
        <f t="shared" si="121"/>
        <v>7.3753333333333324E-2</v>
      </c>
      <c r="AR78" s="386">
        <f t="shared" si="122"/>
        <v>0.15734975016758826</v>
      </c>
      <c r="AS78" s="386">
        <f t="shared" si="123"/>
        <v>0</v>
      </c>
      <c r="AT78" s="386">
        <f t="shared" si="124"/>
        <v>0</v>
      </c>
      <c r="AU78" s="386">
        <f t="shared" si="125"/>
        <v>3.7482768600000001E-2</v>
      </c>
      <c r="AV78" s="386">
        <f t="shared" si="126"/>
        <v>1.4217671560378117E-2</v>
      </c>
      <c r="AW78" s="386">
        <f t="shared" si="127"/>
        <v>6.5920000000000006E-2</v>
      </c>
      <c r="AX78" s="386">
        <f t="shared" si="128"/>
        <v>3.6000000000000004E-2</v>
      </c>
      <c r="AY78" s="386">
        <f t="shared" si="129"/>
        <v>0.40226399999999995</v>
      </c>
      <c r="AZ78" s="386">
        <f t="shared" si="130"/>
        <v>0.30415082926829268</v>
      </c>
      <c r="BA78" s="386">
        <f t="shared" si="152"/>
        <v>0.43826399999999999</v>
      </c>
      <c r="BB78" s="386">
        <f t="shared" si="153"/>
        <v>1.1712566014411849</v>
      </c>
      <c r="BC78">
        <f t="shared" si="131"/>
        <v>33.119999999999997</v>
      </c>
      <c r="BD78" s="604">
        <f t="shared" si="146"/>
        <v>0.96584387049286602</v>
      </c>
      <c r="BE78" s="614">
        <f t="shared" si="132"/>
        <v>7.872132241203408</v>
      </c>
      <c r="BF78" s="614">
        <f t="shared" si="133"/>
        <v>9.8437057007241187</v>
      </c>
      <c r="BG78" s="9"/>
      <c r="BH78" s="4">
        <f t="shared" si="147"/>
        <v>96.584387049286605</v>
      </c>
      <c r="BI78" s="386">
        <f t="shared" si="148"/>
        <v>0.1137423279990793</v>
      </c>
      <c r="BJ78" s="386">
        <f t="shared" si="149"/>
        <v>0.52702687017182803</v>
      </c>
      <c r="BK78" s="386">
        <f t="shared" si="134"/>
        <v>0.13572641795178289</v>
      </c>
      <c r="BL78" s="386">
        <f t="shared" si="135"/>
        <v>0.16971906380558827</v>
      </c>
      <c r="BM78" s="386">
        <f t="shared" si="150"/>
        <v>1.4217671560378117E-2</v>
      </c>
      <c r="BS78" s="18"/>
      <c r="BT78" s="19"/>
    </row>
    <row r="79" spans="1:72" x14ac:dyDescent="0.2">
      <c r="A79" s="34" t="s">
        <v>248</v>
      </c>
      <c r="B79" s="78" t="e">
        <f>C79/Vin</f>
        <v>#NAME?</v>
      </c>
      <c r="C79" s="21" t="e">
        <f>Deadtime*Fsw*(Iripple_Vinnom/2)*(VsdTop+VsdBot)</f>
        <v>#NAME?</v>
      </c>
      <c r="G79">
        <v>70</v>
      </c>
      <c r="H79" s="610">
        <f t="shared" si="97"/>
        <v>12</v>
      </c>
      <c r="I79" s="4" t="str">
        <f t="shared" si="98"/>
        <v>BUCK-BST</v>
      </c>
      <c r="J79">
        <f t="shared" si="136"/>
        <v>3</v>
      </c>
      <c r="K79" s="386">
        <f t="shared" si="137"/>
        <v>2.8</v>
      </c>
      <c r="L79" s="4">
        <f t="shared" si="99"/>
        <v>3.1111111111111103</v>
      </c>
      <c r="M79" s="4">
        <f t="shared" si="151"/>
        <v>2.9645314981471675</v>
      </c>
      <c r="N79" s="386">
        <f t="shared" si="100"/>
        <v>0.94450000000000001</v>
      </c>
      <c r="O79" s="386">
        <f t="shared" si="101"/>
        <v>5.5500000000000028E-2</v>
      </c>
      <c r="P79" s="4">
        <f t="shared" si="102"/>
        <v>0</v>
      </c>
      <c r="Q79" s="4">
        <f t="shared" si="103"/>
        <v>2.9645314981471675</v>
      </c>
      <c r="R79" s="386">
        <f t="shared" si="138"/>
        <v>0.1170942049287305</v>
      </c>
      <c r="S79" s="386">
        <f t="shared" si="139"/>
        <v>0</v>
      </c>
      <c r="T79" s="386">
        <f t="shared" si="140"/>
        <v>0.1170942049287305</v>
      </c>
      <c r="U79" s="4">
        <f t="shared" si="104"/>
        <v>0.6787401526446406</v>
      </c>
      <c r="V79" s="386">
        <f t="shared" si="141"/>
        <v>1.243858125992589E-2</v>
      </c>
      <c r="W79" s="386">
        <f t="shared" si="142"/>
        <v>1.243858125992589E-2</v>
      </c>
      <c r="X79" s="4">
        <f t="shared" si="105"/>
        <v>0</v>
      </c>
      <c r="Y79" s="386">
        <f t="shared" si="143"/>
        <v>0</v>
      </c>
      <c r="Z79" s="603">
        <f t="shared" si="144"/>
        <v>0</v>
      </c>
      <c r="AA79" s="386">
        <f t="shared" si="106"/>
        <v>2.881091493655151</v>
      </c>
      <c r="AB79" s="386">
        <f t="shared" si="107"/>
        <v>8.3006881948120698E-2</v>
      </c>
      <c r="AC79" s="386">
        <f t="shared" si="108"/>
        <v>6.7516478260191984E-2</v>
      </c>
      <c r="AD79" s="386">
        <f t="shared" si="109"/>
        <v>0</v>
      </c>
      <c r="AE79" s="386">
        <f t="shared" si="110"/>
        <v>0.15347899681743171</v>
      </c>
      <c r="AF79" s="386">
        <f t="shared" si="111"/>
        <v>0.69839731435238295</v>
      </c>
      <c r="AG79" s="386">
        <f t="shared" si="112"/>
        <v>4.8775880869462119E-3</v>
      </c>
      <c r="AH79" s="386">
        <f t="shared" si="113"/>
        <v>6.7339999999999997E-2</v>
      </c>
      <c r="AI79" s="386">
        <f t="shared" si="114"/>
        <v>7.2299402121922318E-2</v>
      </c>
      <c r="AJ79" s="386">
        <f t="shared" si="115"/>
        <v>0.69839731435238317</v>
      </c>
      <c r="AK79" s="386">
        <f t="shared" si="116"/>
        <v>4.8775880869462154E-3</v>
      </c>
      <c r="AL79" s="386">
        <f t="shared" si="117"/>
        <v>0.10612653575380041</v>
      </c>
      <c r="AM79" s="386">
        <f t="shared" si="118"/>
        <v>0</v>
      </c>
      <c r="AN79" s="386">
        <f t="shared" si="119"/>
        <v>0.11112987845968329</v>
      </c>
      <c r="AO79" s="386">
        <f t="shared" si="145"/>
        <v>2.881091493655151</v>
      </c>
      <c r="AP79" s="386">
        <f t="shared" si="120"/>
        <v>8.3006881948120698E-2</v>
      </c>
      <c r="AQ79" s="386">
        <f t="shared" si="121"/>
        <v>7.4822222222222193E-2</v>
      </c>
      <c r="AR79" s="386">
        <f t="shared" si="122"/>
        <v>0.16092819442201375</v>
      </c>
      <c r="AS79" s="386">
        <f t="shared" si="123"/>
        <v>0</v>
      </c>
      <c r="AT79" s="386">
        <f t="shared" si="124"/>
        <v>0</v>
      </c>
      <c r="AU79" s="386">
        <f t="shared" si="125"/>
        <v>3.7703739999999999E-2</v>
      </c>
      <c r="AV79" s="386">
        <f t="shared" si="126"/>
        <v>1.463276426083864E-2</v>
      </c>
      <c r="AW79" s="386">
        <f t="shared" si="127"/>
        <v>6.5920000000000006E-2</v>
      </c>
      <c r="AX79" s="386">
        <f t="shared" si="128"/>
        <v>3.6000000000000004E-2</v>
      </c>
      <c r="AY79" s="386">
        <f t="shared" si="129"/>
        <v>0.40226399999999995</v>
      </c>
      <c r="AZ79" s="386">
        <f t="shared" si="130"/>
        <v>0.30415082926829268</v>
      </c>
      <c r="BA79" s="386">
        <f t="shared" si="152"/>
        <v>0.43826399999999999</v>
      </c>
      <c r="BB79" s="386">
        <f t="shared" si="153"/>
        <v>1.183889762270546</v>
      </c>
      <c r="BC79">
        <f t="shared" si="131"/>
        <v>33.599999999999994</v>
      </c>
      <c r="BD79" s="604">
        <f t="shared" si="146"/>
        <v>0.96596442288766993</v>
      </c>
      <c r="BE79" s="614">
        <f t="shared" si="132"/>
        <v>7.8888321178616314</v>
      </c>
      <c r="BF79" s="614">
        <f t="shared" si="133"/>
        <v>10.055484860076799</v>
      </c>
      <c r="BG79" s="9"/>
      <c r="BH79" s="4">
        <f t="shared" si="147"/>
        <v>96.596442288766994</v>
      </c>
      <c r="BI79" s="386">
        <f t="shared" si="148"/>
        <v>0.1170942049287305</v>
      </c>
      <c r="BJ79" s="386">
        <f t="shared" si="149"/>
        <v>0.53554021182105105</v>
      </c>
      <c r="BK79" s="386">
        <f t="shared" si="134"/>
        <v>0.1360143468596833</v>
      </c>
      <c r="BL79" s="386">
        <f t="shared" si="135"/>
        <v>0.17337042862201377</v>
      </c>
      <c r="BM79" s="386">
        <f t="shared" si="150"/>
        <v>1.463276426083864E-2</v>
      </c>
      <c r="BS79" s="18"/>
      <c r="BT79" s="19"/>
    </row>
    <row r="80" spans="1:72" x14ac:dyDescent="0.2">
      <c r="A80" s="34" t="s">
        <v>49</v>
      </c>
      <c r="B80" s="78" t="e">
        <f>SUM(B77:B79)</f>
        <v>#NAME?</v>
      </c>
      <c r="C80" s="21" t="s">
        <v>2</v>
      </c>
      <c r="G80">
        <v>71</v>
      </c>
      <c r="H80" s="610">
        <f t="shared" si="97"/>
        <v>12</v>
      </c>
      <c r="I80" s="4" t="str">
        <f t="shared" si="98"/>
        <v>BUCK-BST</v>
      </c>
      <c r="J80">
        <f t="shared" si="136"/>
        <v>3</v>
      </c>
      <c r="K80" s="386">
        <f t="shared" si="137"/>
        <v>2.84</v>
      </c>
      <c r="L80" s="4">
        <f t="shared" si="99"/>
        <v>3.155555555555555</v>
      </c>
      <c r="M80" s="4">
        <f t="shared" si="151"/>
        <v>3.0068819481206988</v>
      </c>
      <c r="N80" s="386">
        <f t="shared" si="100"/>
        <v>0.94450000000000001</v>
      </c>
      <c r="O80" s="386">
        <f t="shared" si="101"/>
        <v>5.5500000000000028E-2</v>
      </c>
      <c r="P80" s="4">
        <f t="shared" si="102"/>
        <v>0</v>
      </c>
      <c r="Q80" s="4">
        <f t="shared" si="103"/>
        <v>3.0068819481206988</v>
      </c>
      <c r="R80" s="386">
        <f t="shared" si="138"/>
        <v>0.12049613082905088</v>
      </c>
      <c r="S80" s="386">
        <f t="shared" si="139"/>
        <v>0</v>
      </c>
      <c r="T80" s="386">
        <f t="shared" si="140"/>
        <v>0.12049613082905088</v>
      </c>
      <c r="U80" s="4">
        <f t="shared" si="104"/>
        <v>0.68843644053956399</v>
      </c>
      <c r="V80" s="386">
        <f t="shared" si="141"/>
        <v>1.2796507781895184E-2</v>
      </c>
      <c r="W80" s="386">
        <f t="shared" si="142"/>
        <v>1.2796507781895184E-2</v>
      </c>
      <c r="X80" s="4">
        <f t="shared" si="105"/>
        <v>0</v>
      </c>
      <c r="Y80" s="386">
        <f t="shared" si="143"/>
        <v>0</v>
      </c>
      <c r="Z80" s="603">
        <f t="shared" si="144"/>
        <v>0</v>
      </c>
      <c r="AA80" s="386">
        <f t="shared" si="106"/>
        <v>2.9222499435645104</v>
      </c>
      <c r="AB80" s="386">
        <f t="shared" si="107"/>
        <v>8.5395447326627849E-2</v>
      </c>
      <c r="AC80" s="386">
        <f t="shared" si="108"/>
        <v>6.848099937819474E-2</v>
      </c>
      <c r="AD80" s="386">
        <f t="shared" si="109"/>
        <v>0</v>
      </c>
      <c r="AE80" s="386">
        <f t="shared" si="110"/>
        <v>0.1569866255062034</v>
      </c>
      <c r="AF80" s="386">
        <f t="shared" si="111"/>
        <v>0.70837441884313135</v>
      </c>
      <c r="AG80" s="386">
        <f t="shared" si="112"/>
        <v>5.0179431727134403E-3</v>
      </c>
      <c r="AH80" s="386">
        <f t="shared" si="113"/>
        <v>6.8301999999999988E-2</v>
      </c>
      <c r="AI80" s="386">
        <f t="shared" si="114"/>
        <v>7.3405399008738145E-2</v>
      </c>
      <c r="AJ80" s="386">
        <f t="shared" si="115"/>
        <v>0.70837441884313157</v>
      </c>
      <c r="AK80" s="386">
        <f t="shared" si="116"/>
        <v>5.0179431727134438E-3</v>
      </c>
      <c r="AL80" s="386">
        <f t="shared" si="117"/>
        <v>0.10612653575380041</v>
      </c>
      <c r="AM80" s="386">
        <f t="shared" si="118"/>
        <v>0</v>
      </c>
      <c r="AN80" s="386">
        <f t="shared" si="119"/>
        <v>0.11127402000299591</v>
      </c>
      <c r="AO80" s="386">
        <f t="shared" si="145"/>
        <v>2.9222499435645104</v>
      </c>
      <c r="AP80" s="386">
        <f t="shared" si="120"/>
        <v>8.5395447326627849E-2</v>
      </c>
      <c r="AQ80" s="386">
        <f t="shared" si="121"/>
        <v>7.589111111111109E-2</v>
      </c>
      <c r="AR80" s="386">
        <f t="shared" si="122"/>
        <v>0.16454651176875773</v>
      </c>
      <c r="AS80" s="386">
        <f t="shared" si="123"/>
        <v>0</v>
      </c>
      <c r="AT80" s="386">
        <f t="shared" si="124"/>
        <v>0</v>
      </c>
      <c r="AU80" s="386">
        <f t="shared" si="125"/>
        <v>3.7924696600000002E-2</v>
      </c>
      <c r="AV80" s="386">
        <f t="shared" si="126"/>
        <v>1.5053829518140324E-2</v>
      </c>
      <c r="AW80" s="386">
        <f t="shared" si="127"/>
        <v>6.5920000000000006E-2</v>
      </c>
      <c r="AX80" s="386">
        <f t="shared" si="128"/>
        <v>3.6000000000000004E-2</v>
      </c>
      <c r="AY80" s="386">
        <f t="shared" si="129"/>
        <v>0.40226399999999995</v>
      </c>
      <c r="AZ80" s="386">
        <f t="shared" si="130"/>
        <v>0.30415082926829268</v>
      </c>
      <c r="BA80" s="386">
        <f t="shared" si="152"/>
        <v>0.43826399999999999</v>
      </c>
      <c r="BB80" s="386">
        <f t="shared" si="153"/>
        <v>1.1966677210157817</v>
      </c>
      <c r="BC80">
        <f t="shared" si="131"/>
        <v>34.08</v>
      </c>
      <c r="BD80" s="604">
        <f t="shared" si="146"/>
        <v>0.96607764286356124</v>
      </c>
      <c r="BE80" s="614">
        <f t="shared" si="132"/>
        <v>7.9056505460217625</v>
      </c>
      <c r="BF80" s="614">
        <f t="shared" si="133"/>
        <v>10.269576375511949</v>
      </c>
      <c r="BG80" s="9"/>
      <c r="BH80" s="4">
        <f t="shared" si="147"/>
        <v>96.607764286356129</v>
      </c>
      <c r="BI80" s="386">
        <f t="shared" si="148"/>
        <v>0.12049613082905088</v>
      </c>
      <c r="BJ80" s="386">
        <f t="shared" si="149"/>
        <v>0.54413725288669523</v>
      </c>
      <c r="BK80" s="386">
        <f t="shared" si="134"/>
        <v>0.1363043197589959</v>
      </c>
      <c r="BL80" s="386">
        <f t="shared" si="135"/>
        <v>0.17706166164675774</v>
      </c>
      <c r="BM80" s="386">
        <f t="shared" si="150"/>
        <v>1.5053829518140324E-2</v>
      </c>
      <c r="BS80" s="18"/>
      <c r="BT80" s="19"/>
    </row>
    <row r="81" spans="1:72" x14ac:dyDescent="0.2">
      <c r="A81" s="2"/>
      <c r="G81">
        <v>72</v>
      </c>
      <c r="H81" s="610">
        <f t="shared" si="97"/>
        <v>12</v>
      </c>
      <c r="I81" s="4" t="str">
        <f t="shared" si="98"/>
        <v>BUCK-BST</v>
      </c>
      <c r="J81">
        <f t="shared" si="136"/>
        <v>3</v>
      </c>
      <c r="K81" s="386">
        <f t="shared" si="137"/>
        <v>2.88</v>
      </c>
      <c r="L81" s="4">
        <f t="shared" si="99"/>
        <v>3.2</v>
      </c>
      <c r="M81" s="4">
        <f t="shared" si="151"/>
        <v>3.0492323980942295</v>
      </c>
      <c r="N81" s="386">
        <f t="shared" si="100"/>
        <v>0.94450000000000001</v>
      </c>
      <c r="O81" s="386">
        <f t="shared" si="101"/>
        <v>5.5500000000000028E-2</v>
      </c>
      <c r="P81" s="4">
        <f t="shared" si="102"/>
        <v>0</v>
      </c>
      <c r="Q81" s="4">
        <f t="shared" si="103"/>
        <v>3.0492323980942295</v>
      </c>
      <c r="R81" s="386">
        <f t="shared" si="138"/>
        <v>0.12394818523780123</v>
      </c>
      <c r="S81" s="386">
        <f t="shared" si="139"/>
        <v>0</v>
      </c>
      <c r="T81" s="386">
        <f t="shared" si="140"/>
        <v>0.12394818523780123</v>
      </c>
      <c r="U81" s="4">
        <f t="shared" si="104"/>
        <v>0.69813272843448748</v>
      </c>
      <c r="V81" s="386">
        <f t="shared" si="141"/>
        <v>1.315951127580731E-2</v>
      </c>
      <c r="W81" s="386">
        <f t="shared" si="142"/>
        <v>1.315951127580731E-2</v>
      </c>
      <c r="X81" s="4">
        <f t="shared" si="105"/>
        <v>0</v>
      </c>
      <c r="Y81" s="386">
        <f t="shared" si="143"/>
        <v>0</v>
      </c>
      <c r="Z81" s="603">
        <f t="shared" si="144"/>
        <v>0</v>
      </c>
      <c r="AA81" s="386">
        <f t="shared" si="106"/>
        <v>2.9634083934738698</v>
      </c>
      <c r="AB81" s="386">
        <f t="shared" si="107"/>
        <v>8.7817893065113811E-2</v>
      </c>
      <c r="AC81" s="386">
        <f t="shared" si="108"/>
        <v>6.9445520496197483E-2</v>
      </c>
      <c r="AD81" s="386">
        <f t="shared" si="109"/>
        <v>0</v>
      </c>
      <c r="AE81" s="386">
        <f t="shared" si="110"/>
        <v>0.16053409527615708</v>
      </c>
      <c r="AF81" s="386">
        <f t="shared" si="111"/>
        <v>0.71835152333387964</v>
      </c>
      <c r="AG81" s="386">
        <f t="shared" si="112"/>
        <v>5.1602891107610542E-3</v>
      </c>
      <c r="AH81" s="386">
        <f t="shared" si="113"/>
        <v>6.9263999999999992E-2</v>
      </c>
      <c r="AI81" s="386">
        <f t="shared" si="114"/>
        <v>7.4513495704634572E-2</v>
      </c>
      <c r="AJ81" s="386">
        <f t="shared" si="115"/>
        <v>0.71835152333387986</v>
      </c>
      <c r="AK81" s="386">
        <f t="shared" si="116"/>
        <v>5.1602891107610576E-3</v>
      </c>
      <c r="AL81" s="386">
        <f t="shared" si="117"/>
        <v>0.10612653575380041</v>
      </c>
      <c r="AM81" s="386">
        <f t="shared" si="118"/>
        <v>0</v>
      </c>
      <c r="AN81" s="386">
        <f t="shared" si="119"/>
        <v>0.11142021570655382</v>
      </c>
      <c r="AO81" s="386">
        <f t="shared" si="145"/>
        <v>2.9634083934738698</v>
      </c>
      <c r="AP81" s="386">
        <f t="shared" si="120"/>
        <v>8.7817893065113811E-2</v>
      </c>
      <c r="AQ81" s="386">
        <f t="shared" si="121"/>
        <v>7.6960000000000001E-2</v>
      </c>
      <c r="AR81" s="386">
        <f t="shared" si="122"/>
        <v>0.16820485697015949</v>
      </c>
      <c r="AS81" s="386">
        <f t="shared" si="123"/>
        <v>0</v>
      </c>
      <c r="AT81" s="386">
        <f t="shared" si="124"/>
        <v>0</v>
      </c>
      <c r="AU81" s="386">
        <f t="shared" si="125"/>
        <v>3.8145638400000001E-2</v>
      </c>
      <c r="AV81" s="386">
        <f t="shared" si="126"/>
        <v>1.5480867332283167E-2</v>
      </c>
      <c r="AW81" s="386">
        <f t="shared" si="127"/>
        <v>6.5920000000000006E-2</v>
      </c>
      <c r="AX81" s="386">
        <f t="shared" si="128"/>
        <v>3.6000000000000004E-2</v>
      </c>
      <c r="AY81" s="386">
        <f t="shared" si="129"/>
        <v>0.40226399999999995</v>
      </c>
      <c r="AZ81" s="386">
        <f t="shared" si="130"/>
        <v>0.30415082926829268</v>
      </c>
      <c r="BA81" s="386">
        <f t="shared" si="152"/>
        <v>0.43826399999999999</v>
      </c>
      <c r="BB81" s="386">
        <f t="shared" si="153"/>
        <v>1.2095908659033967</v>
      </c>
      <c r="BC81">
        <f t="shared" si="131"/>
        <v>34.56</v>
      </c>
      <c r="BD81" s="604">
        <f t="shared" si="146"/>
        <v>0.9661838216031593</v>
      </c>
      <c r="BE81" s="614">
        <f t="shared" si="132"/>
        <v>7.922587548932122</v>
      </c>
      <c r="BF81" s="614">
        <f t="shared" si="133"/>
        <v>10.48598922324525</v>
      </c>
      <c r="BG81" s="9"/>
      <c r="BH81" s="4">
        <f t="shared" si="147"/>
        <v>96.618382160315932</v>
      </c>
      <c r="BI81" s="386">
        <f t="shared" si="148"/>
        <v>0.12394818523780123</v>
      </c>
      <c r="BJ81" s="386">
        <f t="shared" si="149"/>
        <v>0.55281830205750493</v>
      </c>
      <c r="BK81" s="386">
        <f t="shared" si="134"/>
        <v>0.13659633705055382</v>
      </c>
      <c r="BL81" s="386">
        <f t="shared" si="135"/>
        <v>0.18079291764215949</v>
      </c>
      <c r="BM81" s="386">
        <f t="shared" si="150"/>
        <v>1.5480867332283167E-2</v>
      </c>
      <c r="BS81" s="18"/>
      <c r="BT81" s="19"/>
    </row>
    <row r="82" spans="1:72" x14ac:dyDescent="0.2">
      <c r="A82" s="2"/>
      <c r="G82">
        <v>73</v>
      </c>
      <c r="H82" s="610">
        <f t="shared" si="97"/>
        <v>12</v>
      </c>
      <c r="I82" s="4" t="str">
        <f t="shared" si="98"/>
        <v>BUCK-BST</v>
      </c>
      <c r="J82">
        <f t="shared" si="136"/>
        <v>3</v>
      </c>
      <c r="K82" s="386">
        <f t="shared" si="137"/>
        <v>2.92</v>
      </c>
      <c r="L82" s="4">
        <f t="shared" si="99"/>
        <v>3.244444444444444</v>
      </c>
      <c r="M82" s="4">
        <f t="shared" si="151"/>
        <v>3.0915828480677607</v>
      </c>
      <c r="N82" s="386">
        <f t="shared" si="100"/>
        <v>0.94450000000000001</v>
      </c>
      <c r="O82" s="386">
        <f t="shared" si="101"/>
        <v>5.5500000000000028E-2</v>
      </c>
      <c r="P82" s="4">
        <f t="shared" si="102"/>
        <v>0</v>
      </c>
      <c r="Q82" s="4">
        <f t="shared" si="103"/>
        <v>3.0915828480677607</v>
      </c>
      <c r="R82" s="386">
        <f t="shared" si="138"/>
        <v>0.12745044893011834</v>
      </c>
      <c r="S82" s="386">
        <f t="shared" si="139"/>
        <v>0</v>
      </c>
      <c r="T82" s="386">
        <f t="shared" si="140"/>
        <v>0.12745044893011834</v>
      </c>
      <c r="U82" s="4">
        <f t="shared" si="104"/>
        <v>0.70782901632941098</v>
      </c>
      <c r="V82" s="386">
        <f t="shared" si="141"/>
        <v>1.3527591741662261E-2</v>
      </c>
      <c r="W82" s="386">
        <f t="shared" si="142"/>
        <v>1.3527591741662261E-2</v>
      </c>
      <c r="X82" s="4">
        <f t="shared" si="105"/>
        <v>0</v>
      </c>
      <c r="Y82" s="386">
        <f t="shared" si="143"/>
        <v>0</v>
      </c>
      <c r="Z82" s="603">
        <f t="shared" si="144"/>
        <v>0</v>
      </c>
      <c r="AA82" s="386">
        <f t="shared" si="106"/>
        <v>3.0045668433832291</v>
      </c>
      <c r="AB82" s="386">
        <f t="shared" si="107"/>
        <v>9.0274219163578612E-2</v>
      </c>
      <c r="AC82" s="386">
        <f t="shared" si="108"/>
        <v>7.0410041614200225E-2</v>
      </c>
      <c r="AD82" s="386">
        <f t="shared" si="109"/>
        <v>0</v>
      </c>
      <c r="AE82" s="386">
        <f t="shared" si="110"/>
        <v>0.1641215601785613</v>
      </c>
      <c r="AF82" s="386">
        <f t="shared" si="111"/>
        <v>0.72832862782462804</v>
      </c>
      <c r="AG82" s="386">
        <f t="shared" si="112"/>
        <v>5.3046259010890552E-3</v>
      </c>
      <c r="AH82" s="386">
        <f t="shared" si="113"/>
        <v>7.0225999999999997E-2</v>
      </c>
      <c r="AI82" s="386">
        <f t="shared" si="114"/>
        <v>7.5623693955209334E-2</v>
      </c>
      <c r="AJ82" s="386">
        <f t="shared" si="115"/>
        <v>0.72832862782462826</v>
      </c>
      <c r="AK82" s="386">
        <f t="shared" si="116"/>
        <v>5.3046259010890587E-3</v>
      </c>
      <c r="AL82" s="386">
        <f t="shared" si="117"/>
        <v>0.10612653575380041</v>
      </c>
      <c r="AM82" s="386">
        <f t="shared" si="118"/>
        <v>0</v>
      </c>
      <c r="AN82" s="386">
        <f t="shared" si="119"/>
        <v>0.11156846597694239</v>
      </c>
      <c r="AO82" s="386">
        <f t="shared" si="145"/>
        <v>3.0045668433832291</v>
      </c>
      <c r="AP82" s="386">
        <f t="shared" si="120"/>
        <v>9.0274219163578612E-2</v>
      </c>
      <c r="AQ82" s="386">
        <f t="shared" si="121"/>
        <v>7.802888888888887E-2</v>
      </c>
      <c r="AR82" s="386">
        <f t="shared" si="122"/>
        <v>0.17190338706958061</v>
      </c>
      <c r="AS82" s="386">
        <f t="shared" si="123"/>
        <v>0</v>
      </c>
      <c r="AT82" s="386">
        <f t="shared" si="124"/>
        <v>0</v>
      </c>
      <c r="AU82" s="386">
        <f t="shared" si="125"/>
        <v>3.8366565399999997E-2</v>
      </c>
      <c r="AV82" s="386">
        <f t="shared" si="126"/>
        <v>1.591387770326717E-2</v>
      </c>
      <c r="AW82" s="386">
        <f t="shared" si="127"/>
        <v>6.5920000000000006E-2</v>
      </c>
      <c r="AX82" s="386">
        <f t="shared" si="128"/>
        <v>3.6000000000000004E-2</v>
      </c>
      <c r="AY82" s="386">
        <f t="shared" si="129"/>
        <v>0.40226399999999995</v>
      </c>
      <c r="AZ82" s="386">
        <f t="shared" si="130"/>
        <v>0.30415082926829268</v>
      </c>
      <c r="BA82" s="386">
        <f t="shared" si="152"/>
        <v>0.43826399999999999</v>
      </c>
      <c r="BB82" s="386">
        <f t="shared" si="153"/>
        <v>1.2226595909553415</v>
      </c>
      <c r="BC82">
        <f t="shared" si="131"/>
        <v>35.04</v>
      </c>
      <c r="BD82" s="604">
        <f t="shared" si="146"/>
        <v>0.96628323446909292</v>
      </c>
      <c r="BE82" s="614">
        <f t="shared" si="132"/>
        <v>7.9396431501746587</v>
      </c>
      <c r="BF82" s="614">
        <f t="shared" si="133"/>
        <v>10.704732511791676</v>
      </c>
      <c r="BG82" s="9"/>
      <c r="BH82" s="4">
        <f t="shared" si="147"/>
        <v>96.628323446909292</v>
      </c>
      <c r="BI82" s="386">
        <f t="shared" si="148"/>
        <v>0.12745044893011834</v>
      </c>
      <c r="BJ82" s="386">
        <f t="shared" si="149"/>
        <v>0.56158367258029362</v>
      </c>
      <c r="BK82" s="386">
        <f t="shared" si="134"/>
        <v>0.13689039914094239</v>
      </c>
      <c r="BL82" s="386">
        <f t="shared" si="135"/>
        <v>0.18456435365158061</v>
      </c>
      <c r="BM82" s="386">
        <f t="shared" si="150"/>
        <v>1.591387770326717E-2</v>
      </c>
      <c r="BS82" s="18"/>
      <c r="BT82" s="19"/>
    </row>
    <row r="83" spans="1:72" x14ac:dyDescent="0.2">
      <c r="A83" s="2"/>
      <c r="G83">
        <v>74</v>
      </c>
      <c r="H83" s="610">
        <f t="shared" si="97"/>
        <v>12</v>
      </c>
      <c r="I83" s="4" t="str">
        <f t="shared" si="98"/>
        <v>BUCK-BST</v>
      </c>
      <c r="J83">
        <f t="shared" si="136"/>
        <v>3</v>
      </c>
      <c r="K83" s="386">
        <f t="shared" si="137"/>
        <v>2.96</v>
      </c>
      <c r="L83" s="4">
        <f t="shared" si="99"/>
        <v>3.2888888888888883</v>
      </c>
      <c r="M83" s="4">
        <f t="shared" si="151"/>
        <v>3.1339332980412915</v>
      </c>
      <c r="N83" s="386">
        <f t="shared" si="100"/>
        <v>0.94450000000000001</v>
      </c>
      <c r="O83" s="386">
        <f t="shared" si="101"/>
        <v>5.5500000000000028E-2</v>
      </c>
      <c r="P83" s="4">
        <f t="shared" si="102"/>
        <v>0</v>
      </c>
      <c r="Q83" s="4">
        <f t="shared" si="103"/>
        <v>3.1339332980412915</v>
      </c>
      <c r="R83" s="386">
        <f t="shared" si="138"/>
        <v>0.13100300392329964</v>
      </c>
      <c r="S83" s="386">
        <f t="shared" si="139"/>
        <v>0</v>
      </c>
      <c r="T83" s="386">
        <f t="shared" si="140"/>
        <v>0.13100300392329964</v>
      </c>
      <c r="U83" s="4">
        <f t="shared" si="104"/>
        <v>0.71752530422433436</v>
      </c>
      <c r="V83" s="386">
        <f t="shared" si="141"/>
        <v>1.3900749179460036E-2</v>
      </c>
      <c r="W83" s="386">
        <f t="shared" si="142"/>
        <v>1.3900749179460036E-2</v>
      </c>
      <c r="X83" s="4">
        <f t="shared" si="105"/>
        <v>0</v>
      </c>
      <c r="Y83" s="386">
        <f t="shared" si="143"/>
        <v>0</v>
      </c>
      <c r="Z83" s="603">
        <f t="shared" si="144"/>
        <v>0</v>
      </c>
      <c r="AA83" s="386">
        <f t="shared" si="106"/>
        <v>3.0457252932925885</v>
      </c>
      <c r="AB83" s="386">
        <f t="shared" si="107"/>
        <v>9.2764425622022237E-2</v>
      </c>
      <c r="AC83" s="386">
        <f t="shared" si="108"/>
        <v>7.1374562732202954E-2</v>
      </c>
      <c r="AD83" s="386">
        <f t="shared" si="109"/>
        <v>0</v>
      </c>
      <c r="AE83" s="386">
        <f t="shared" si="110"/>
        <v>0.16774917654880434</v>
      </c>
      <c r="AF83" s="386">
        <f t="shared" si="111"/>
        <v>0.73830573231537633</v>
      </c>
      <c r="AG83" s="386">
        <f t="shared" si="112"/>
        <v>5.4509535436974409E-3</v>
      </c>
      <c r="AH83" s="386">
        <f t="shared" si="113"/>
        <v>7.1188000000000001E-2</v>
      </c>
      <c r="AI83" s="386">
        <f t="shared" si="114"/>
        <v>7.6735995512123942E-2</v>
      </c>
      <c r="AJ83" s="386">
        <f t="shared" si="115"/>
        <v>0.73830573231537644</v>
      </c>
      <c r="AK83" s="386">
        <f t="shared" si="116"/>
        <v>5.4509535436974435E-3</v>
      </c>
      <c r="AL83" s="386">
        <f t="shared" si="117"/>
        <v>0.10612653575380041</v>
      </c>
      <c r="AM83" s="386">
        <f t="shared" si="118"/>
        <v>0</v>
      </c>
      <c r="AN83" s="386">
        <f t="shared" si="119"/>
        <v>0.11171877122650203</v>
      </c>
      <c r="AO83" s="386">
        <f t="shared" si="145"/>
        <v>3.0457252932925885</v>
      </c>
      <c r="AP83" s="386">
        <f t="shared" si="120"/>
        <v>9.2764425622022237E-2</v>
      </c>
      <c r="AQ83" s="386">
        <f t="shared" si="121"/>
        <v>7.9097777777777753E-2</v>
      </c>
      <c r="AR83" s="386">
        <f t="shared" si="122"/>
        <v>0.17564226141057149</v>
      </c>
      <c r="AS83" s="386">
        <f t="shared" si="123"/>
        <v>0</v>
      </c>
      <c r="AT83" s="386">
        <f t="shared" si="124"/>
        <v>0</v>
      </c>
      <c r="AU83" s="386">
        <f t="shared" si="125"/>
        <v>3.8587477600000003E-2</v>
      </c>
      <c r="AV83" s="386">
        <f t="shared" si="126"/>
        <v>1.6352860631092325E-2</v>
      </c>
      <c r="AW83" s="386">
        <f t="shared" si="127"/>
        <v>6.5920000000000006E-2</v>
      </c>
      <c r="AX83" s="386">
        <f t="shared" si="128"/>
        <v>3.6000000000000004E-2</v>
      </c>
      <c r="AY83" s="386">
        <f t="shared" si="129"/>
        <v>0.40226399999999995</v>
      </c>
      <c r="AZ83" s="386">
        <f t="shared" si="130"/>
        <v>0.30415082926829268</v>
      </c>
      <c r="BA83" s="386">
        <f t="shared" si="152"/>
        <v>0.43826399999999999</v>
      </c>
      <c r="BB83" s="386">
        <f t="shared" si="153"/>
        <v>1.2358742960318536</v>
      </c>
      <c r="BC83">
        <f t="shared" si="131"/>
        <v>35.519999999999996</v>
      </c>
      <c r="BD83" s="604">
        <f t="shared" si="146"/>
        <v>0.96637614205342748</v>
      </c>
      <c r="BE83" s="614">
        <f t="shared" si="132"/>
        <v>7.9568173736651184</v>
      </c>
      <c r="BF83" s="614">
        <f t="shared" si="133"/>
        <v>10.925815483077146</v>
      </c>
      <c r="BG83" s="9"/>
      <c r="BH83" s="4">
        <f t="shared" si="147"/>
        <v>96.637614205342743</v>
      </c>
      <c r="BI83" s="386">
        <f t="shared" si="148"/>
        <v>0.13100300392329964</v>
      </c>
      <c r="BJ83" s="386">
        <f t="shared" si="149"/>
        <v>0.57043368229800184</v>
      </c>
      <c r="BK83" s="386">
        <f t="shared" si="134"/>
        <v>0.13718650644250205</v>
      </c>
      <c r="BL83" s="386">
        <f t="shared" si="135"/>
        <v>0.18837612901857148</v>
      </c>
      <c r="BM83" s="386">
        <f t="shared" si="150"/>
        <v>1.6352860631092325E-2</v>
      </c>
      <c r="BS83" s="18"/>
      <c r="BT83" s="19"/>
    </row>
    <row r="84" spans="1:72" x14ac:dyDescent="0.2">
      <c r="G84">
        <v>75</v>
      </c>
      <c r="H84" s="610">
        <f t="shared" si="97"/>
        <v>12</v>
      </c>
      <c r="I84" s="4" t="str">
        <f t="shared" si="98"/>
        <v>BUCK-BST</v>
      </c>
      <c r="J84">
        <f t="shared" si="136"/>
        <v>3</v>
      </c>
      <c r="K84" s="386">
        <f t="shared" si="137"/>
        <v>3</v>
      </c>
      <c r="L84" s="4">
        <f t="shared" si="99"/>
        <v>3.333333333333333</v>
      </c>
      <c r="M84" s="4">
        <f t="shared" si="151"/>
        <v>3.1762837480148227</v>
      </c>
      <c r="N84" s="386">
        <f t="shared" si="100"/>
        <v>0.94450000000000001</v>
      </c>
      <c r="O84" s="386">
        <f t="shared" si="101"/>
        <v>5.5500000000000028E-2</v>
      </c>
      <c r="P84" s="4">
        <f t="shared" si="102"/>
        <v>0</v>
      </c>
      <c r="Q84" s="4">
        <f t="shared" si="103"/>
        <v>3.1762837480148227</v>
      </c>
      <c r="R84" s="386">
        <f t="shared" si="138"/>
        <v>0.13460593348166802</v>
      </c>
      <c r="S84" s="386">
        <f t="shared" si="139"/>
        <v>0</v>
      </c>
      <c r="T84" s="386">
        <f t="shared" si="140"/>
        <v>0.13460593348166802</v>
      </c>
      <c r="U84" s="4">
        <f t="shared" si="104"/>
        <v>0.72722159211925785</v>
      </c>
      <c r="V84" s="386">
        <f t="shared" si="141"/>
        <v>1.4278983589200643E-2</v>
      </c>
      <c r="W84" s="386">
        <f t="shared" si="142"/>
        <v>1.4278983589200643E-2</v>
      </c>
      <c r="X84" s="4">
        <f t="shared" si="105"/>
        <v>0</v>
      </c>
      <c r="Y84" s="386">
        <f t="shared" si="143"/>
        <v>0</v>
      </c>
      <c r="Z84" s="603">
        <f t="shared" si="144"/>
        <v>0</v>
      </c>
      <c r="AA84" s="386">
        <f t="shared" si="106"/>
        <v>3.0868837432019478</v>
      </c>
      <c r="AB84" s="386">
        <f t="shared" si="107"/>
        <v>9.52885124404447E-2</v>
      </c>
      <c r="AC84" s="386">
        <f t="shared" si="108"/>
        <v>7.233908385020571E-2</v>
      </c>
      <c r="AD84" s="386">
        <f t="shared" si="109"/>
        <v>0</v>
      </c>
      <c r="AE84" s="386">
        <f t="shared" si="110"/>
        <v>0.17141710302561586</v>
      </c>
      <c r="AF84" s="386">
        <f t="shared" si="111"/>
        <v>0.74828283680612473</v>
      </c>
      <c r="AG84" s="386">
        <f t="shared" si="112"/>
        <v>5.5992720385862147E-3</v>
      </c>
      <c r="AH84" s="386">
        <f t="shared" si="113"/>
        <v>7.2149999999999992E-2</v>
      </c>
      <c r="AI84" s="386">
        <f t="shared" si="114"/>
        <v>7.785040213311295E-2</v>
      </c>
      <c r="AJ84" s="386">
        <f t="shared" si="115"/>
        <v>0.74828283680612484</v>
      </c>
      <c r="AK84" s="386">
        <f t="shared" si="116"/>
        <v>5.5992720385862173E-3</v>
      </c>
      <c r="AL84" s="386">
        <f t="shared" si="117"/>
        <v>0.10612653575380041</v>
      </c>
      <c r="AM84" s="386">
        <f t="shared" si="118"/>
        <v>0</v>
      </c>
      <c r="AN84" s="386">
        <f t="shared" si="119"/>
        <v>0.11187113187333124</v>
      </c>
      <c r="AO84" s="386">
        <f t="shared" si="145"/>
        <v>3.0868837432019478</v>
      </c>
      <c r="AP84" s="386">
        <f t="shared" si="120"/>
        <v>9.52885124404447E-2</v>
      </c>
      <c r="AQ84" s="386">
        <f t="shared" si="121"/>
        <v>8.016666666666665E-2</v>
      </c>
      <c r="AR84" s="386">
        <f t="shared" si="122"/>
        <v>0.17942164165638105</v>
      </c>
      <c r="AS84" s="386">
        <f t="shared" si="123"/>
        <v>0</v>
      </c>
      <c r="AT84" s="386">
        <f t="shared" si="124"/>
        <v>0</v>
      </c>
      <c r="AU84" s="386">
        <f t="shared" si="125"/>
        <v>3.8808375000000006E-2</v>
      </c>
      <c r="AV84" s="386">
        <f t="shared" si="126"/>
        <v>1.6797816115758646E-2</v>
      </c>
      <c r="AW84" s="386">
        <f t="shared" si="127"/>
        <v>6.5920000000000006E-2</v>
      </c>
      <c r="AX84" s="386">
        <f t="shared" si="128"/>
        <v>3.6000000000000004E-2</v>
      </c>
      <c r="AY84" s="386">
        <f t="shared" si="129"/>
        <v>0.40226399999999995</v>
      </c>
      <c r="AZ84" s="386">
        <f t="shared" si="130"/>
        <v>0.30415082926829268</v>
      </c>
      <c r="BA84" s="386">
        <f t="shared" si="152"/>
        <v>0.43826399999999999</v>
      </c>
      <c r="BB84" s="386">
        <f t="shared" si="153"/>
        <v>1.2492353868750685</v>
      </c>
      <c r="BC84">
        <f t="shared" si="131"/>
        <v>36</v>
      </c>
      <c r="BD84" s="604">
        <f t="shared" si="146"/>
        <v>0.96646279114456013</v>
      </c>
      <c r="BE84" s="614">
        <f t="shared" si="132"/>
        <v>7.9741102436532119</v>
      </c>
      <c r="BF84" s="614">
        <f t="shared" si="133"/>
        <v>11.149247513570101</v>
      </c>
      <c r="BG84" s="9"/>
      <c r="BH84" s="4">
        <f t="shared" si="147"/>
        <v>96.646279114456007</v>
      </c>
      <c r="BI84" s="386">
        <f t="shared" si="148"/>
        <v>0.13460593348166802</v>
      </c>
      <c r="BJ84" s="386">
        <f t="shared" si="149"/>
        <v>0.57936865368844115</v>
      </c>
      <c r="BK84" s="386">
        <f t="shared" si="134"/>
        <v>0.13748465937333124</v>
      </c>
      <c r="BL84" s="386">
        <f t="shared" si="135"/>
        <v>0.19222840540638106</v>
      </c>
      <c r="BM84" s="386">
        <f t="shared" si="150"/>
        <v>1.6797816115758646E-2</v>
      </c>
      <c r="BS84" s="18"/>
      <c r="BT84" s="19"/>
    </row>
    <row r="85" spans="1:72" x14ac:dyDescent="0.2">
      <c r="G85">
        <v>76</v>
      </c>
      <c r="H85" s="610">
        <f t="shared" si="97"/>
        <v>12</v>
      </c>
      <c r="I85" s="4" t="str">
        <f t="shared" si="98"/>
        <v>BUCK-BST</v>
      </c>
      <c r="J85">
        <f t="shared" si="136"/>
        <v>3</v>
      </c>
      <c r="K85" s="386">
        <f t="shared" si="137"/>
        <v>3.04</v>
      </c>
      <c r="L85" s="4">
        <f t="shared" si="99"/>
        <v>3.3777777777777778</v>
      </c>
      <c r="M85" s="4">
        <f t="shared" si="151"/>
        <v>3.2186341979883535</v>
      </c>
      <c r="N85" s="386">
        <f t="shared" si="100"/>
        <v>0.94450000000000001</v>
      </c>
      <c r="O85" s="386">
        <f t="shared" si="101"/>
        <v>5.5500000000000028E-2</v>
      </c>
      <c r="P85" s="4">
        <f t="shared" si="102"/>
        <v>0</v>
      </c>
      <c r="Q85" s="4">
        <f t="shared" si="103"/>
        <v>3.2186341979883535</v>
      </c>
      <c r="R85" s="386">
        <f t="shared" si="138"/>
        <v>0.13825932212151543</v>
      </c>
      <c r="S85" s="386">
        <f t="shared" si="139"/>
        <v>0</v>
      </c>
      <c r="T85" s="386">
        <f t="shared" si="140"/>
        <v>0.13825932212151543</v>
      </c>
      <c r="U85" s="4">
        <f t="shared" si="104"/>
        <v>0.73691788001418124</v>
      </c>
      <c r="V85" s="386">
        <f t="shared" si="141"/>
        <v>1.4662294970884072E-2</v>
      </c>
      <c r="W85" s="386">
        <f t="shared" si="142"/>
        <v>1.4662294970884072E-2</v>
      </c>
      <c r="X85" s="4">
        <f t="shared" si="105"/>
        <v>0</v>
      </c>
      <c r="Y85" s="386">
        <f t="shared" si="143"/>
        <v>0</v>
      </c>
      <c r="Z85" s="603">
        <f t="shared" si="144"/>
        <v>0</v>
      </c>
      <c r="AA85" s="386">
        <f t="shared" si="106"/>
        <v>3.1280421931113072</v>
      </c>
      <c r="AB85" s="386">
        <f t="shared" si="107"/>
        <v>9.7846479618845961E-2</v>
      </c>
      <c r="AC85" s="386">
        <f t="shared" si="108"/>
        <v>7.3303604968208466E-2</v>
      </c>
      <c r="AD85" s="386">
        <f t="shared" si="109"/>
        <v>0</v>
      </c>
      <c r="AE85" s="386">
        <f t="shared" si="110"/>
        <v>0.17512550057063378</v>
      </c>
      <c r="AF85" s="386">
        <f t="shared" si="111"/>
        <v>0.75825994129687302</v>
      </c>
      <c r="AG85" s="386">
        <f t="shared" si="112"/>
        <v>5.749581385755374E-3</v>
      </c>
      <c r="AH85" s="386">
        <f t="shared" si="113"/>
        <v>7.3111999999999996E-2</v>
      </c>
      <c r="AI85" s="386">
        <f t="shared" si="114"/>
        <v>7.896691558199298E-2</v>
      </c>
      <c r="AJ85" s="386">
        <f t="shared" si="115"/>
        <v>0.75825994129687313</v>
      </c>
      <c r="AK85" s="386">
        <f t="shared" si="116"/>
        <v>5.7495813857553748E-3</v>
      </c>
      <c r="AL85" s="386">
        <f t="shared" si="117"/>
        <v>0.10612653575380041</v>
      </c>
      <c r="AM85" s="386">
        <f t="shared" si="118"/>
        <v>0</v>
      </c>
      <c r="AN85" s="386">
        <f t="shared" si="119"/>
        <v>0.11202554834128932</v>
      </c>
      <c r="AO85" s="386">
        <f t="shared" si="145"/>
        <v>3.1280421931113072</v>
      </c>
      <c r="AP85" s="386">
        <f t="shared" si="120"/>
        <v>9.7846479618845961E-2</v>
      </c>
      <c r="AQ85" s="386">
        <f t="shared" si="121"/>
        <v>8.1235555555555547E-2</v>
      </c>
      <c r="AR85" s="386">
        <f t="shared" si="122"/>
        <v>0.18324169180981567</v>
      </c>
      <c r="AS85" s="386">
        <f t="shared" si="123"/>
        <v>0</v>
      </c>
      <c r="AT85" s="386">
        <f t="shared" si="124"/>
        <v>0</v>
      </c>
      <c r="AU85" s="386">
        <f t="shared" si="125"/>
        <v>3.9029257600000006E-2</v>
      </c>
      <c r="AV85" s="386">
        <f t="shared" si="126"/>
        <v>1.724874415726612E-2</v>
      </c>
      <c r="AW85" s="386">
        <f t="shared" si="127"/>
        <v>6.5920000000000006E-2</v>
      </c>
      <c r="AX85" s="386">
        <f t="shared" si="128"/>
        <v>3.6000000000000004E-2</v>
      </c>
      <c r="AY85" s="386">
        <f t="shared" si="129"/>
        <v>0.40226399999999995</v>
      </c>
      <c r="AZ85" s="386">
        <f t="shared" si="130"/>
        <v>0.30415082926829268</v>
      </c>
      <c r="BA85" s="386">
        <f t="shared" si="152"/>
        <v>0.43826399999999999</v>
      </c>
      <c r="BB85" s="386">
        <f t="shared" si="153"/>
        <v>1.2627432751533973</v>
      </c>
      <c r="BC85">
        <f t="shared" si="131"/>
        <v>36.480000000000004</v>
      </c>
      <c r="BD85" s="604">
        <f t="shared" si="146"/>
        <v>0.9665434156190581</v>
      </c>
      <c r="BE85" s="614">
        <f t="shared" si="132"/>
        <v>7.9915217847227806</v>
      </c>
      <c r="BF85" s="614">
        <f t="shared" si="133"/>
        <v>11.375038115433309</v>
      </c>
      <c r="BG85" s="9"/>
      <c r="BH85" s="4">
        <f t="shared" si="147"/>
        <v>96.654341561905809</v>
      </c>
      <c r="BI85" s="386">
        <f t="shared" si="148"/>
        <v>0.13825932212151543</v>
      </c>
      <c r="BJ85" s="386">
        <f t="shared" si="149"/>
        <v>0.58838891390373171</v>
      </c>
      <c r="BK85" s="386">
        <f t="shared" si="134"/>
        <v>0.13778485835728932</v>
      </c>
      <c r="BL85" s="386">
        <f t="shared" si="135"/>
        <v>0.19612134681781568</v>
      </c>
      <c r="BM85" s="386">
        <f t="shared" si="150"/>
        <v>1.724874415726612E-2</v>
      </c>
      <c r="BS85" s="18"/>
      <c r="BT85" s="19"/>
    </row>
    <row r="86" spans="1:72" x14ac:dyDescent="0.2">
      <c r="G86">
        <v>77</v>
      </c>
      <c r="H86" s="610">
        <f t="shared" si="97"/>
        <v>12</v>
      </c>
      <c r="I86" s="4" t="str">
        <f t="shared" si="98"/>
        <v>BUCK-BST</v>
      </c>
      <c r="J86">
        <f t="shared" si="136"/>
        <v>3</v>
      </c>
      <c r="K86" s="386">
        <f t="shared" si="137"/>
        <v>3.08</v>
      </c>
      <c r="L86" s="4">
        <f t="shared" si="99"/>
        <v>3.4222222222222221</v>
      </c>
      <c r="M86" s="4">
        <f t="shared" si="151"/>
        <v>3.2609846479618847</v>
      </c>
      <c r="N86" s="386">
        <f t="shared" si="100"/>
        <v>0.94450000000000001</v>
      </c>
      <c r="O86" s="386">
        <f t="shared" si="101"/>
        <v>5.5500000000000028E-2</v>
      </c>
      <c r="P86" s="4">
        <f t="shared" si="102"/>
        <v>0</v>
      </c>
      <c r="Q86" s="4">
        <f t="shared" si="103"/>
        <v>3.2609846479618847</v>
      </c>
      <c r="R86" s="386">
        <f t="shared" si="138"/>
        <v>0.14196325561612774</v>
      </c>
      <c r="S86" s="386">
        <f t="shared" si="139"/>
        <v>0</v>
      </c>
      <c r="T86" s="386">
        <f t="shared" si="140"/>
        <v>0.14196325561612774</v>
      </c>
      <c r="U86" s="4">
        <f t="shared" si="104"/>
        <v>0.74661416790910473</v>
      </c>
      <c r="V86" s="386">
        <f t="shared" si="141"/>
        <v>1.5050683324510332E-2</v>
      </c>
      <c r="W86" s="386">
        <f t="shared" si="142"/>
        <v>1.5050683324510332E-2</v>
      </c>
      <c r="X86" s="4">
        <f t="shared" si="105"/>
        <v>0</v>
      </c>
      <c r="Y86" s="386">
        <f t="shared" si="143"/>
        <v>0</v>
      </c>
      <c r="Z86" s="603">
        <f t="shared" si="144"/>
        <v>0</v>
      </c>
      <c r="AA86" s="386">
        <f t="shared" si="106"/>
        <v>3.1692006430206665</v>
      </c>
      <c r="AB86" s="386">
        <f t="shared" si="107"/>
        <v>0.10043832715722607</v>
      </c>
      <c r="AC86" s="386">
        <f t="shared" si="108"/>
        <v>7.4268126086211195E-2</v>
      </c>
      <c r="AD86" s="386">
        <f t="shared" si="109"/>
        <v>0</v>
      </c>
      <c r="AE86" s="386">
        <f t="shared" si="110"/>
        <v>0.17887453248832191</v>
      </c>
      <c r="AF86" s="386">
        <f t="shared" si="111"/>
        <v>0.76823704578762142</v>
      </c>
      <c r="AG86" s="386">
        <f t="shared" si="112"/>
        <v>5.9018815852049187E-3</v>
      </c>
      <c r="AH86" s="386">
        <f t="shared" si="113"/>
        <v>7.4074000000000001E-2</v>
      </c>
      <c r="AI86" s="386">
        <f t="shared" si="114"/>
        <v>8.0085537628672002E-2</v>
      </c>
      <c r="AJ86" s="386">
        <f t="shared" si="115"/>
        <v>0.76823704578762153</v>
      </c>
      <c r="AK86" s="386">
        <f t="shared" si="116"/>
        <v>5.9018815852049213E-3</v>
      </c>
      <c r="AL86" s="386">
        <f t="shared" si="117"/>
        <v>0.10612653575380041</v>
      </c>
      <c r="AM86" s="386">
        <f t="shared" si="118"/>
        <v>0</v>
      </c>
      <c r="AN86" s="386">
        <f t="shared" si="119"/>
        <v>0.11218202105999947</v>
      </c>
      <c r="AO86" s="386">
        <f t="shared" si="145"/>
        <v>3.1692006430206665</v>
      </c>
      <c r="AP86" s="386">
        <f t="shared" si="120"/>
        <v>0.10043832715722607</v>
      </c>
      <c r="AQ86" s="386">
        <f t="shared" si="121"/>
        <v>8.230444444444443E-2</v>
      </c>
      <c r="AR86" s="386">
        <f t="shared" si="122"/>
        <v>0.18710257823345119</v>
      </c>
      <c r="AS86" s="386">
        <f t="shared" si="123"/>
        <v>0</v>
      </c>
      <c r="AT86" s="386">
        <f t="shared" si="124"/>
        <v>0</v>
      </c>
      <c r="AU86" s="386">
        <f t="shared" si="125"/>
        <v>3.9250125400000002E-2</v>
      </c>
      <c r="AV86" s="386">
        <f t="shared" si="126"/>
        <v>1.7705644755614758E-2</v>
      </c>
      <c r="AW86" s="386">
        <f t="shared" si="127"/>
        <v>6.5920000000000006E-2</v>
      </c>
      <c r="AX86" s="386">
        <f t="shared" si="128"/>
        <v>3.6000000000000004E-2</v>
      </c>
      <c r="AY86" s="386">
        <f t="shared" si="129"/>
        <v>0.40226399999999995</v>
      </c>
      <c r="AZ86" s="386">
        <f t="shared" si="130"/>
        <v>0.30415082926829268</v>
      </c>
      <c r="BA86" s="386">
        <f t="shared" si="152"/>
        <v>0.43826399999999999</v>
      </c>
      <c r="BB86" s="386">
        <f t="shared" si="153"/>
        <v>1.2763983785066975</v>
      </c>
      <c r="BC86">
        <f t="shared" si="131"/>
        <v>36.96</v>
      </c>
      <c r="BD86" s="604">
        <f t="shared" si="146"/>
        <v>0.96661823726514517</v>
      </c>
      <c r="BE86" s="614">
        <f t="shared" si="132"/>
        <v>8.0090520217919696</v>
      </c>
      <c r="BF86" s="614">
        <f t="shared" si="133"/>
        <v>11.603196937696168</v>
      </c>
      <c r="BG86" s="9"/>
      <c r="BH86" s="4">
        <f t="shared" si="147"/>
        <v>96.661823726514513</v>
      </c>
      <c r="BI86" s="386">
        <f t="shared" si="148"/>
        <v>0.14196325561612774</v>
      </c>
      <c r="BJ86" s="386">
        <f t="shared" si="149"/>
        <v>0.59749479481044454</v>
      </c>
      <c r="BK86" s="386">
        <f t="shared" si="134"/>
        <v>0.13808710382399947</v>
      </c>
      <c r="BL86" s="386">
        <f t="shared" si="135"/>
        <v>0.20005511961545119</v>
      </c>
      <c r="BM86" s="386">
        <f t="shared" si="150"/>
        <v>1.7705644755614758E-2</v>
      </c>
      <c r="BS86" s="18"/>
      <c r="BT86" s="19"/>
    </row>
    <row r="87" spans="1:72" x14ac:dyDescent="0.2">
      <c r="G87">
        <v>78</v>
      </c>
      <c r="H87" s="610">
        <f t="shared" si="97"/>
        <v>12</v>
      </c>
      <c r="I87" s="4" t="str">
        <f t="shared" si="98"/>
        <v>BUCK-BST</v>
      </c>
      <c r="J87">
        <f t="shared" si="136"/>
        <v>3</v>
      </c>
      <c r="K87" s="386">
        <f t="shared" si="137"/>
        <v>3.12</v>
      </c>
      <c r="L87" s="4">
        <f t="shared" si="99"/>
        <v>3.4666666666666663</v>
      </c>
      <c r="M87" s="4">
        <f t="shared" si="151"/>
        <v>3.3033350979354155</v>
      </c>
      <c r="N87" s="386">
        <f t="shared" si="100"/>
        <v>0.94450000000000001</v>
      </c>
      <c r="O87" s="386">
        <f t="shared" si="101"/>
        <v>5.5500000000000028E-2</v>
      </c>
      <c r="P87" s="4">
        <f t="shared" si="102"/>
        <v>0</v>
      </c>
      <c r="Q87" s="4">
        <f t="shared" si="103"/>
        <v>3.3033350979354155</v>
      </c>
      <c r="R87" s="386">
        <f t="shared" si="138"/>
        <v>0.1457178210008899</v>
      </c>
      <c r="S87" s="386">
        <f t="shared" si="139"/>
        <v>0</v>
      </c>
      <c r="T87" s="386">
        <f t="shared" si="140"/>
        <v>0.1457178210008899</v>
      </c>
      <c r="U87" s="4">
        <f t="shared" si="104"/>
        <v>0.75631045580402811</v>
      </c>
      <c r="V87" s="386">
        <f t="shared" si="141"/>
        <v>1.5444148650079412E-2</v>
      </c>
      <c r="W87" s="386">
        <f t="shared" si="142"/>
        <v>1.5444148650079412E-2</v>
      </c>
      <c r="X87" s="4">
        <f t="shared" si="105"/>
        <v>0</v>
      </c>
      <c r="Y87" s="386">
        <f t="shared" si="143"/>
        <v>0</v>
      </c>
      <c r="Z87" s="603">
        <f t="shared" si="144"/>
        <v>0</v>
      </c>
      <c r="AA87" s="386">
        <f t="shared" si="106"/>
        <v>3.2103590929300254</v>
      </c>
      <c r="AB87" s="386">
        <f t="shared" si="107"/>
        <v>0.10306405505558497</v>
      </c>
      <c r="AC87" s="386">
        <f t="shared" si="108"/>
        <v>7.5232647204213937E-2</v>
      </c>
      <c r="AD87" s="386">
        <f t="shared" si="109"/>
        <v>0</v>
      </c>
      <c r="AE87" s="386">
        <f t="shared" si="110"/>
        <v>0.18266436444624248</v>
      </c>
      <c r="AF87" s="386">
        <f t="shared" si="111"/>
        <v>0.7782141502783696</v>
      </c>
      <c r="AG87" s="386">
        <f t="shared" si="112"/>
        <v>6.056172636934848E-3</v>
      </c>
      <c r="AH87" s="386">
        <f t="shared" si="113"/>
        <v>7.5035999999999992E-2</v>
      </c>
      <c r="AI87" s="386">
        <f t="shared" si="114"/>
        <v>8.1206270049158508E-2</v>
      </c>
      <c r="AJ87" s="386">
        <f t="shared" si="115"/>
        <v>0.77821415027836982</v>
      </c>
      <c r="AK87" s="386">
        <f t="shared" si="116"/>
        <v>6.0561726369348515E-3</v>
      </c>
      <c r="AL87" s="386">
        <f t="shared" si="117"/>
        <v>0.10612653575380041</v>
      </c>
      <c r="AM87" s="386">
        <f t="shared" si="118"/>
        <v>0</v>
      </c>
      <c r="AN87" s="386">
        <f t="shared" si="119"/>
        <v>0.11234055046485174</v>
      </c>
      <c r="AO87" s="386">
        <f t="shared" si="145"/>
        <v>3.2103590929300254</v>
      </c>
      <c r="AP87" s="386">
        <f t="shared" si="120"/>
        <v>0.10306405505558497</v>
      </c>
      <c r="AQ87" s="386">
        <f t="shared" si="121"/>
        <v>8.3373333333333327E-2</v>
      </c>
      <c r="AR87" s="386">
        <f t="shared" si="122"/>
        <v>0.19100446967020332</v>
      </c>
      <c r="AS87" s="386">
        <f t="shared" si="123"/>
        <v>0</v>
      </c>
      <c r="AT87" s="386">
        <f t="shared" si="124"/>
        <v>0</v>
      </c>
      <c r="AU87" s="386">
        <f t="shared" si="125"/>
        <v>3.9470978400000002E-2</v>
      </c>
      <c r="AV87" s="386">
        <f t="shared" si="126"/>
        <v>1.8168517910804545E-2</v>
      </c>
      <c r="AW87" s="386">
        <f t="shared" si="127"/>
        <v>6.5920000000000006E-2</v>
      </c>
      <c r="AX87" s="386">
        <f t="shared" si="128"/>
        <v>3.6000000000000004E-2</v>
      </c>
      <c r="AY87" s="386">
        <f t="shared" si="129"/>
        <v>0.40226399999999995</v>
      </c>
      <c r="AZ87" s="386">
        <f t="shared" si="130"/>
        <v>0.30415082926829268</v>
      </c>
      <c r="BA87" s="386">
        <f t="shared" si="152"/>
        <v>0.43826399999999999</v>
      </c>
      <c r="BB87" s="386">
        <f t="shared" si="153"/>
        <v>1.2902011205922299</v>
      </c>
      <c r="BC87">
        <f t="shared" si="131"/>
        <v>37.44</v>
      </c>
      <c r="BD87" s="604">
        <f t="shared" si="146"/>
        <v>0.96668746654387372</v>
      </c>
      <c r="BE87" s="614">
        <f t="shared" si="132"/>
        <v>8.0267009801134002</v>
      </c>
      <c r="BF87" s="614">
        <f t="shared" si="133"/>
        <v>11.833733767447793</v>
      </c>
      <c r="BG87" s="9"/>
      <c r="BH87" s="4">
        <f t="shared" si="147"/>
        <v>96.668746654387377</v>
      </c>
      <c r="BI87" s="386">
        <f t="shared" si="148"/>
        <v>0.1457178210008899</v>
      </c>
      <c r="BJ87" s="386">
        <f t="shared" si="149"/>
        <v>0.60668663303045611</v>
      </c>
      <c r="BK87" s="386">
        <f t="shared" si="134"/>
        <v>0.13839139620885174</v>
      </c>
      <c r="BL87" s="386">
        <f t="shared" si="135"/>
        <v>0.20402989254220333</v>
      </c>
      <c r="BM87" s="386">
        <f t="shared" si="150"/>
        <v>1.8168517910804545E-2</v>
      </c>
      <c r="BS87" s="18"/>
      <c r="BT87" s="19"/>
    </row>
    <row r="88" spans="1:72" x14ac:dyDescent="0.2">
      <c r="G88">
        <v>79</v>
      </c>
      <c r="H88" s="610">
        <f t="shared" si="97"/>
        <v>12</v>
      </c>
      <c r="I88" s="4" t="str">
        <f t="shared" si="98"/>
        <v>BUCK-BST</v>
      </c>
      <c r="J88">
        <f t="shared" si="136"/>
        <v>3</v>
      </c>
      <c r="K88" s="386">
        <f t="shared" si="137"/>
        <v>3.16</v>
      </c>
      <c r="L88" s="4">
        <f t="shared" si="99"/>
        <v>3.5111111111111111</v>
      </c>
      <c r="M88" s="4">
        <f t="shared" si="151"/>
        <v>3.3456855479089467</v>
      </c>
      <c r="N88" s="386">
        <f t="shared" si="100"/>
        <v>0.94450000000000001</v>
      </c>
      <c r="O88" s="386">
        <f t="shared" si="101"/>
        <v>5.5500000000000028E-2</v>
      </c>
      <c r="P88" s="4">
        <f t="shared" si="102"/>
        <v>0</v>
      </c>
      <c r="Q88" s="4">
        <f t="shared" si="103"/>
        <v>3.3456855479089467</v>
      </c>
      <c r="R88" s="386">
        <f t="shared" si="138"/>
        <v>0.14952310657847298</v>
      </c>
      <c r="S88" s="386">
        <f t="shared" si="139"/>
        <v>0</v>
      </c>
      <c r="T88" s="386">
        <f t="shared" si="140"/>
        <v>0.14952310657847298</v>
      </c>
      <c r="U88" s="4">
        <f t="shared" si="104"/>
        <v>0.76600674369895161</v>
      </c>
      <c r="V88" s="386">
        <f t="shared" si="141"/>
        <v>1.5842690947591324E-2</v>
      </c>
      <c r="W88" s="386">
        <f t="shared" si="142"/>
        <v>1.5842690947591324E-2</v>
      </c>
      <c r="X88" s="4">
        <f t="shared" si="105"/>
        <v>0</v>
      </c>
      <c r="Y88" s="386">
        <f t="shared" si="143"/>
        <v>0</v>
      </c>
      <c r="Z88" s="603">
        <f t="shared" si="144"/>
        <v>0</v>
      </c>
      <c r="AA88" s="386">
        <f t="shared" si="106"/>
        <v>3.2515175428393852</v>
      </c>
      <c r="AB88" s="386">
        <f t="shared" si="107"/>
        <v>0.10572366331392273</v>
      </c>
      <c r="AC88" s="386">
        <f t="shared" si="108"/>
        <v>7.619716832221668E-2</v>
      </c>
      <c r="AD88" s="386">
        <f t="shared" si="109"/>
        <v>0</v>
      </c>
      <c r="AE88" s="386">
        <f t="shared" si="110"/>
        <v>0.18649516449568893</v>
      </c>
      <c r="AF88" s="386">
        <f t="shared" si="111"/>
        <v>0.788191254769118</v>
      </c>
      <c r="AG88" s="386">
        <f t="shared" si="112"/>
        <v>6.2124545409451672E-3</v>
      </c>
      <c r="AH88" s="386">
        <f t="shared" si="113"/>
        <v>7.5997999999999996E-2</v>
      </c>
      <c r="AI88" s="386">
        <f t="shared" si="114"/>
        <v>8.2329114625570937E-2</v>
      </c>
      <c r="AJ88" s="386">
        <f t="shared" si="115"/>
        <v>0.78819125476911822</v>
      </c>
      <c r="AK88" s="386">
        <f t="shared" si="116"/>
        <v>6.2124545409451707E-3</v>
      </c>
      <c r="AL88" s="386">
        <f t="shared" si="117"/>
        <v>0.10612653575380041</v>
      </c>
      <c r="AM88" s="386">
        <f t="shared" si="118"/>
        <v>0</v>
      </c>
      <c r="AN88" s="386">
        <f t="shared" si="119"/>
        <v>0.11250113699700603</v>
      </c>
      <c r="AO88" s="386">
        <f t="shared" si="145"/>
        <v>3.2515175428393852</v>
      </c>
      <c r="AP88" s="386">
        <f t="shared" si="120"/>
        <v>0.10572366331392273</v>
      </c>
      <c r="AQ88" s="386">
        <f t="shared" si="121"/>
        <v>8.444222222222221E-2</v>
      </c>
      <c r="AR88" s="386">
        <f t="shared" si="122"/>
        <v>0.19494753726426134</v>
      </c>
      <c r="AS88" s="386">
        <f t="shared" si="123"/>
        <v>0</v>
      </c>
      <c r="AT88" s="386">
        <f t="shared" si="124"/>
        <v>0</v>
      </c>
      <c r="AU88" s="386">
        <f t="shared" si="125"/>
        <v>3.9691816599999999E-2</v>
      </c>
      <c r="AV88" s="386">
        <f t="shared" si="126"/>
        <v>1.8637363622835506E-2</v>
      </c>
      <c r="AW88" s="386">
        <f t="shared" si="127"/>
        <v>6.5920000000000006E-2</v>
      </c>
      <c r="AX88" s="386">
        <f t="shared" si="128"/>
        <v>3.6000000000000004E-2</v>
      </c>
      <c r="AY88" s="386">
        <f t="shared" si="129"/>
        <v>0.40226399999999995</v>
      </c>
      <c r="AZ88" s="386">
        <f t="shared" si="130"/>
        <v>0.30415082926829268</v>
      </c>
      <c r="BA88" s="386">
        <f t="shared" si="152"/>
        <v>0.43826399999999999</v>
      </c>
      <c r="BB88" s="386">
        <f t="shared" si="153"/>
        <v>1.3041519311314269</v>
      </c>
      <c r="BC88">
        <f t="shared" si="131"/>
        <v>37.92</v>
      </c>
      <c r="BD88" s="604">
        <f t="shared" si="146"/>
        <v>0.96675130329340919</v>
      </c>
      <c r="BE88" s="614">
        <f t="shared" si="132"/>
        <v>8.0444686852743494</v>
      </c>
      <c r="BF88" s="614">
        <f t="shared" si="133"/>
        <v>12.066658531051159</v>
      </c>
      <c r="BG88" s="9"/>
      <c r="BH88" s="4">
        <f t="shared" si="147"/>
        <v>96.675130329340917</v>
      </c>
      <c r="BI88" s="386">
        <f t="shared" si="148"/>
        <v>0.14952310657847298</v>
      </c>
      <c r="BJ88" s="386">
        <f t="shared" si="149"/>
        <v>0.61596476998252725</v>
      </c>
      <c r="BK88" s="386">
        <f t="shared" si="134"/>
        <v>0.13869773595300602</v>
      </c>
      <c r="BL88" s="386">
        <f t="shared" si="135"/>
        <v>0.20804583674226135</v>
      </c>
      <c r="BM88" s="386">
        <f t="shared" si="150"/>
        <v>1.8637363622835506E-2</v>
      </c>
      <c r="BS88" s="18"/>
      <c r="BT88" s="19"/>
    </row>
    <row r="89" spans="1:72" x14ac:dyDescent="0.2">
      <c r="G89">
        <v>80</v>
      </c>
      <c r="H89" s="610">
        <f t="shared" si="97"/>
        <v>12</v>
      </c>
      <c r="I89" s="4" t="str">
        <f t="shared" si="98"/>
        <v>BUCK-BST</v>
      </c>
      <c r="J89">
        <f t="shared" si="136"/>
        <v>3</v>
      </c>
      <c r="K89" s="386">
        <f t="shared" si="137"/>
        <v>3.2</v>
      </c>
      <c r="L89" s="4">
        <f t="shared" si="99"/>
        <v>3.5555555555555558</v>
      </c>
      <c r="M89" s="4">
        <f t="shared" si="151"/>
        <v>3.3880359978824774</v>
      </c>
      <c r="N89" s="386">
        <f t="shared" si="100"/>
        <v>0.94450000000000001</v>
      </c>
      <c r="O89" s="386">
        <f t="shared" si="101"/>
        <v>5.5500000000000028E-2</v>
      </c>
      <c r="P89" s="4">
        <f t="shared" si="102"/>
        <v>0</v>
      </c>
      <c r="Q89" s="4">
        <f t="shared" si="103"/>
        <v>3.3880359978824774</v>
      </c>
      <c r="R89" s="386">
        <f t="shared" si="138"/>
        <v>0.15337920192410284</v>
      </c>
      <c r="S89" s="386">
        <f t="shared" si="139"/>
        <v>0</v>
      </c>
      <c r="T89" s="386">
        <f t="shared" si="140"/>
        <v>0.15337920192410284</v>
      </c>
      <c r="U89" s="4">
        <f t="shared" si="104"/>
        <v>0.7757030315938751</v>
      </c>
      <c r="V89" s="386">
        <f t="shared" si="141"/>
        <v>1.6246310217046069E-2</v>
      </c>
      <c r="W89" s="386">
        <f t="shared" si="142"/>
        <v>1.6246310217046069E-2</v>
      </c>
      <c r="X89" s="4">
        <f t="shared" si="105"/>
        <v>0</v>
      </c>
      <c r="Y89" s="386">
        <f t="shared" si="143"/>
        <v>0</v>
      </c>
      <c r="Z89" s="603">
        <f t="shared" si="144"/>
        <v>0</v>
      </c>
      <c r="AA89" s="386">
        <f t="shared" si="106"/>
        <v>3.2926759927487441</v>
      </c>
      <c r="AB89" s="386">
        <f t="shared" si="107"/>
        <v>0.10841715193223929</v>
      </c>
      <c r="AC89" s="386">
        <f t="shared" si="108"/>
        <v>7.7161689440219436E-2</v>
      </c>
      <c r="AD89" s="386">
        <f t="shared" si="109"/>
        <v>0</v>
      </c>
      <c r="AE89" s="386">
        <f t="shared" si="110"/>
        <v>0.19036710309268345</v>
      </c>
      <c r="AF89" s="386">
        <f t="shared" si="111"/>
        <v>0.79816835925986629</v>
      </c>
      <c r="AG89" s="386">
        <f t="shared" si="112"/>
        <v>6.3707272972358701E-3</v>
      </c>
      <c r="AH89" s="386">
        <f t="shared" si="113"/>
        <v>7.6960000000000001E-2</v>
      </c>
      <c r="AI89" s="386">
        <f t="shared" si="114"/>
        <v>8.3454073146146848E-2</v>
      </c>
      <c r="AJ89" s="386">
        <f t="shared" si="115"/>
        <v>0.79816835925986651</v>
      </c>
      <c r="AK89" s="386">
        <f t="shared" si="116"/>
        <v>6.3707272972358736E-3</v>
      </c>
      <c r="AL89" s="386">
        <f t="shared" si="117"/>
        <v>0.10612653575380041</v>
      </c>
      <c r="AM89" s="386">
        <f t="shared" si="118"/>
        <v>0</v>
      </c>
      <c r="AN89" s="386">
        <f t="shared" si="119"/>
        <v>0.11266378110339524</v>
      </c>
      <c r="AO89" s="386">
        <f t="shared" si="145"/>
        <v>3.2926759927487441</v>
      </c>
      <c r="AP89" s="386">
        <f t="shared" si="120"/>
        <v>0.10841715193223929</v>
      </c>
      <c r="AQ89" s="386">
        <f t="shared" si="121"/>
        <v>8.5511111111111107E-2</v>
      </c>
      <c r="AR89" s="386">
        <f t="shared" si="122"/>
        <v>0.19893195458239002</v>
      </c>
      <c r="AS89" s="386">
        <f t="shared" si="123"/>
        <v>0</v>
      </c>
      <c r="AT89" s="386">
        <f t="shared" si="124"/>
        <v>0</v>
      </c>
      <c r="AU89" s="386">
        <f t="shared" si="125"/>
        <v>3.9912639999999999E-2</v>
      </c>
      <c r="AV89" s="386">
        <f t="shared" si="126"/>
        <v>1.9112181891707616E-2</v>
      </c>
      <c r="AW89" s="386">
        <f t="shared" si="127"/>
        <v>6.5920000000000006E-2</v>
      </c>
      <c r="AX89" s="386">
        <f t="shared" si="128"/>
        <v>3.6000000000000004E-2</v>
      </c>
      <c r="AY89" s="386">
        <f t="shared" si="129"/>
        <v>0.40226399999999995</v>
      </c>
      <c r="AZ89" s="386">
        <f t="shared" si="130"/>
        <v>0.30415082926829268</v>
      </c>
      <c r="BA89" s="386">
        <f t="shared" si="152"/>
        <v>0.43826399999999999</v>
      </c>
      <c r="BB89" s="386">
        <f t="shared" si="153"/>
        <v>1.318251245957472</v>
      </c>
      <c r="BC89">
        <f t="shared" si="131"/>
        <v>38.400000000000006</v>
      </c>
      <c r="BD89" s="604">
        <f t="shared" si="146"/>
        <v>0.96680993738132814</v>
      </c>
      <c r="BE89" s="614">
        <f t="shared" si="132"/>
        <v>8.0623551631969246</v>
      </c>
      <c r="BF89" s="614">
        <f t="shared" si="133"/>
        <v>12.301981295378621</v>
      </c>
      <c r="BG89" s="9"/>
      <c r="BH89" s="4">
        <f t="shared" si="147"/>
        <v>96.680993738132813</v>
      </c>
      <c r="BI89" s="386">
        <f t="shared" si="148"/>
        <v>0.15337920192410284</v>
      </c>
      <c r="BJ89" s="386">
        <f t="shared" si="149"/>
        <v>0.62532955192461559</v>
      </c>
      <c r="BK89" s="386">
        <f t="shared" si="134"/>
        <v>0.13900612350339525</v>
      </c>
      <c r="BL89" s="386">
        <f t="shared" si="135"/>
        <v>0.21210312578239002</v>
      </c>
      <c r="BM89" s="386">
        <f t="shared" si="150"/>
        <v>1.9112181891707616E-2</v>
      </c>
      <c r="BS89" s="18"/>
      <c r="BT89" s="19"/>
    </row>
    <row r="90" spans="1:72" x14ac:dyDescent="0.2">
      <c r="G90">
        <v>81</v>
      </c>
      <c r="H90" s="610">
        <f t="shared" si="97"/>
        <v>12</v>
      </c>
      <c r="I90" s="4" t="str">
        <f t="shared" si="98"/>
        <v>BUCK-BST</v>
      </c>
      <c r="J90">
        <f t="shared" si="136"/>
        <v>3</v>
      </c>
      <c r="K90" s="386">
        <f t="shared" si="137"/>
        <v>3.24</v>
      </c>
      <c r="L90" s="4">
        <f t="shared" si="99"/>
        <v>3.6</v>
      </c>
      <c r="M90" s="4">
        <f t="shared" si="151"/>
        <v>3.4303864478560087</v>
      </c>
      <c r="N90" s="386">
        <f t="shared" si="100"/>
        <v>0.94450000000000001</v>
      </c>
      <c r="O90" s="386">
        <f t="shared" si="101"/>
        <v>5.5500000000000028E-2</v>
      </c>
      <c r="P90" s="4">
        <f t="shared" si="102"/>
        <v>0</v>
      </c>
      <c r="Q90" s="4">
        <f t="shared" si="103"/>
        <v>3.4303864478560087</v>
      </c>
      <c r="R90" s="386">
        <f t="shared" si="138"/>
        <v>0.1572861978909123</v>
      </c>
      <c r="S90" s="386">
        <f t="shared" si="139"/>
        <v>0</v>
      </c>
      <c r="T90" s="386">
        <f t="shared" si="140"/>
        <v>0.1572861978909123</v>
      </c>
      <c r="U90" s="4">
        <f t="shared" si="104"/>
        <v>0.78539931948879849</v>
      </c>
      <c r="V90" s="386">
        <f t="shared" si="141"/>
        <v>1.6655006458443627E-2</v>
      </c>
      <c r="W90" s="386">
        <f t="shared" si="142"/>
        <v>1.6655006458443627E-2</v>
      </c>
      <c r="X90" s="4">
        <f t="shared" si="105"/>
        <v>0</v>
      </c>
      <c r="Y90" s="386">
        <f t="shared" si="143"/>
        <v>0</v>
      </c>
      <c r="Z90" s="603">
        <f t="shared" si="144"/>
        <v>0</v>
      </c>
      <c r="AA90" s="386">
        <f t="shared" si="106"/>
        <v>3.3338344426581039</v>
      </c>
      <c r="AB90" s="386">
        <f t="shared" si="107"/>
        <v>0.11114452091053471</v>
      </c>
      <c r="AC90" s="386">
        <f t="shared" si="108"/>
        <v>7.8126210558222178E-2</v>
      </c>
      <c r="AD90" s="386">
        <f t="shared" si="109"/>
        <v>0</v>
      </c>
      <c r="AE90" s="386">
        <f t="shared" si="110"/>
        <v>0.19428035311934566</v>
      </c>
      <c r="AF90" s="386">
        <f t="shared" si="111"/>
        <v>0.80814546375061469</v>
      </c>
      <c r="AG90" s="386">
        <f t="shared" si="112"/>
        <v>6.5309909058069602E-3</v>
      </c>
      <c r="AH90" s="386">
        <f t="shared" si="113"/>
        <v>7.7922000000000005E-2</v>
      </c>
      <c r="AI90" s="386">
        <f t="shared" si="114"/>
        <v>8.4581147405252452E-2</v>
      </c>
      <c r="AJ90" s="386">
        <f t="shared" si="115"/>
        <v>0.80814546375061491</v>
      </c>
      <c r="AK90" s="386">
        <f t="shared" si="116"/>
        <v>6.5309909058069646E-3</v>
      </c>
      <c r="AL90" s="386">
        <f t="shared" si="117"/>
        <v>0.10612653575380041</v>
      </c>
      <c r="AM90" s="386">
        <f t="shared" si="118"/>
        <v>0</v>
      </c>
      <c r="AN90" s="386">
        <f t="shared" si="119"/>
        <v>0.11282848323672831</v>
      </c>
      <c r="AO90" s="386">
        <f t="shared" si="145"/>
        <v>3.3338344426581039</v>
      </c>
      <c r="AP90" s="386">
        <f t="shared" si="120"/>
        <v>0.11114452091053471</v>
      </c>
      <c r="AQ90" s="386">
        <f t="shared" si="121"/>
        <v>8.657999999999999E-2</v>
      </c>
      <c r="AR90" s="386">
        <f t="shared" si="122"/>
        <v>0.20295789763560546</v>
      </c>
      <c r="AS90" s="386">
        <f t="shared" si="123"/>
        <v>0</v>
      </c>
      <c r="AT90" s="386">
        <f t="shared" si="124"/>
        <v>0</v>
      </c>
      <c r="AU90" s="386">
        <f t="shared" si="125"/>
        <v>4.0133448600000003E-2</v>
      </c>
      <c r="AV90" s="386">
        <f t="shared" si="126"/>
        <v>1.9592972717420887E-2</v>
      </c>
      <c r="AW90" s="386">
        <f t="shared" si="127"/>
        <v>6.5920000000000006E-2</v>
      </c>
      <c r="AX90" s="386">
        <f t="shared" si="128"/>
        <v>3.6000000000000004E-2</v>
      </c>
      <c r="AY90" s="386">
        <f t="shared" si="129"/>
        <v>0.40226399999999995</v>
      </c>
      <c r="AZ90" s="386">
        <f t="shared" si="130"/>
        <v>0.30415082926829268</v>
      </c>
      <c r="BA90" s="386">
        <f t="shared" si="152"/>
        <v>0.43826399999999999</v>
      </c>
      <c r="BB90" s="386">
        <f t="shared" si="153"/>
        <v>1.3324995070637087</v>
      </c>
      <c r="BC90">
        <f t="shared" si="131"/>
        <v>38.880000000000003</v>
      </c>
      <c r="BD90" s="604">
        <f t="shared" si="146"/>
        <v>0.96686354930934737</v>
      </c>
      <c r="BE90" s="614">
        <f t="shared" si="132"/>
        <v>8.080360440138243</v>
      </c>
      <c r="BF90" s="614">
        <f t="shared" si="133"/>
        <v>12.539712269069117</v>
      </c>
      <c r="BG90" s="9"/>
      <c r="BH90" s="4">
        <f t="shared" si="147"/>
        <v>96.686354930934741</v>
      </c>
      <c r="BI90" s="386">
        <f t="shared" si="148"/>
        <v>0.1572861978909123</v>
      </c>
      <c r="BJ90" s="386">
        <f t="shared" si="149"/>
        <v>0.63478132999693193</v>
      </c>
      <c r="BK90" s="386">
        <f t="shared" si="134"/>
        <v>0.13931655931272832</v>
      </c>
      <c r="BL90" s="386">
        <f t="shared" si="135"/>
        <v>0.21620193567360546</v>
      </c>
      <c r="BM90" s="386">
        <f t="shared" si="150"/>
        <v>1.9592972717420887E-2</v>
      </c>
      <c r="BS90" s="18"/>
      <c r="BT90" s="19"/>
    </row>
    <row r="91" spans="1:72" x14ac:dyDescent="0.2">
      <c r="G91">
        <v>82</v>
      </c>
      <c r="H91" s="610">
        <f t="shared" si="97"/>
        <v>12</v>
      </c>
      <c r="I91" s="4" t="str">
        <f t="shared" si="98"/>
        <v>BUCK-BST</v>
      </c>
      <c r="J91">
        <f t="shared" si="136"/>
        <v>3</v>
      </c>
      <c r="K91" s="386">
        <f t="shared" si="137"/>
        <v>3.28</v>
      </c>
      <c r="L91" s="4">
        <f t="shared" si="99"/>
        <v>3.6444444444444439</v>
      </c>
      <c r="M91" s="4">
        <f t="shared" si="151"/>
        <v>3.4727368978295394</v>
      </c>
      <c r="N91" s="386">
        <f t="shared" si="100"/>
        <v>0.94450000000000001</v>
      </c>
      <c r="O91" s="386">
        <f t="shared" si="101"/>
        <v>5.5500000000000028E-2</v>
      </c>
      <c r="P91" s="4">
        <f t="shared" si="102"/>
        <v>0</v>
      </c>
      <c r="Q91" s="4">
        <f t="shared" si="103"/>
        <v>3.4727368978295394</v>
      </c>
      <c r="R91" s="386">
        <f t="shared" si="138"/>
        <v>0.16124418661537535</v>
      </c>
      <c r="S91" s="386">
        <f t="shared" si="139"/>
        <v>0</v>
      </c>
      <c r="T91" s="386">
        <f t="shared" si="140"/>
        <v>0.16124418661537535</v>
      </c>
      <c r="U91" s="4">
        <f t="shared" si="104"/>
        <v>0.79509560738372187</v>
      </c>
      <c r="V91" s="386">
        <f t="shared" si="141"/>
        <v>1.7068779671784017E-2</v>
      </c>
      <c r="W91" s="386">
        <f t="shared" si="142"/>
        <v>1.7068779671784017E-2</v>
      </c>
      <c r="X91" s="4">
        <f t="shared" si="105"/>
        <v>0</v>
      </c>
      <c r="Y91" s="386">
        <f t="shared" si="143"/>
        <v>0</v>
      </c>
      <c r="Z91" s="603">
        <f t="shared" si="144"/>
        <v>0</v>
      </c>
      <c r="AA91" s="386">
        <f t="shared" si="106"/>
        <v>3.3749928925674628</v>
      </c>
      <c r="AB91" s="386">
        <f t="shared" si="107"/>
        <v>0.11390577024880889</v>
      </c>
      <c r="AC91" s="386">
        <f t="shared" si="108"/>
        <v>7.9090731676224907E-2</v>
      </c>
      <c r="AD91" s="386">
        <f t="shared" si="109"/>
        <v>0</v>
      </c>
      <c r="AE91" s="386">
        <f t="shared" si="110"/>
        <v>0.19823508990563588</v>
      </c>
      <c r="AF91" s="386">
        <f t="shared" si="111"/>
        <v>0.81812256824136298</v>
      </c>
      <c r="AG91" s="386">
        <f t="shared" si="112"/>
        <v>6.6932453666584358E-3</v>
      </c>
      <c r="AH91" s="386">
        <f t="shared" si="113"/>
        <v>7.8883999999999996E-2</v>
      </c>
      <c r="AI91" s="386">
        <f t="shared" si="114"/>
        <v>8.5710339203391939E-2</v>
      </c>
      <c r="AJ91" s="386">
        <f t="shared" si="115"/>
        <v>0.8181225682413632</v>
      </c>
      <c r="AK91" s="386">
        <f t="shared" si="116"/>
        <v>6.6932453666584402E-3</v>
      </c>
      <c r="AL91" s="386">
        <f t="shared" si="117"/>
        <v>0.10612653575380041</v>
      </c>
      <c r="AM91" s="386">
        <f t="shared" si="118"/>
        <v>0</v>
      </c>
      <c r="AN91" s="386">
        <f t="shared" si="119"/>
        <v>0.11299524385549338</v>
      </c>
      <c r="AO91" s="386">
        <f t="shared" si="145"/>
        <v>3.3749928925674628</v>
      </c>
      <c r="AP91" s="386">
        <f t="shared" si="120"/>
        <v>0.11390577024880889</v>
      </c>
      <c r="AQ91" s="386">
        <f t="shared" si="121"/>
        <v>8.7648888888888873E-2</v>
      </c>
      <c r="AR91" s="386">
        <f t="shared" si="122"/>
        <v>0.20702554490122949</v>
      </c>
      <c r="AS91" s="386">
        <f t="shared" si="123"/>
        <v>0</v>
      </c>
      <c r="AT91" s="386">
        <f t="shared" si="124"/>
        <v>0</v>
      </c>
      <c r="AU91" s="386">
        <f t="shared" si="125"/>
        <v>4.0354242400000004E-2</v>
      </c>
      <c r="AV91" s="386">
        <f t="shared" si="126"/>
        <v>2.0079736099975314E-2</v>
      </c>
      <c r="AW91" s="386">
        <f t="shared" si="127"/>
        <v>6.5920000000000006E-2</v>
      </c>
      <c r="AX91" s="386">
        <f t="shared" si="128"/>
        <v>3.6000000000000004E-2</v>
      </c>
      <c r="AY91" s="386">
        <f t="shared" si="129"/>
        <v>0.40226399999999995</v>
      </c>
      <c r="AZ91" s="386">
        <f t="shared" si="130"/>
        <v>0.30415082926829268</v>
      </c>
      <c r="BA91" s="386">
        <f t="shared" si="152"/>
        <v>0.43826399999999999</v>
      </c>
      <c r="BB91" s="386">
        <f t="shared" si="153"/>
        <v>1.3468971626528854</v>
      </c>
      <c r="BC91">
        <f t="shared" si="131"/>
        <v>39.36</v>
      </c>
      <c r="BD91" s="604">
        <f t="shared" si="146"/>
        <v>0.96691231077448425</v>
      </c>
      <c r="BE91" s="614">
        <f t="shared" si="132"/>
        <v>8.0984845426906151</v>
      </c>
      <c r="BF91" s="614">
        <f t="shared" si="133"/>
        <v>12.779861803807311</v>
      </c>
      <c r="BG91" s="9"/>
      <c r="BH91" s="4">
        <f t="shared" si="147"/>
        <v>96.691231077448421</v>
      </c>
      <c r="BI91" s="386">
        <f t="shared" si="148"/>
        <v>0.16124418661537535</v>
      </c>
      <c r="BJ91" s="386">
        <f t="shared" si="149"/>
        <v>0.64432046026575063</v>
      </c>
      <c r="BK91" s="386">
        <f t="shared" si="134"/>
        <v>0.13962904383949337</v>
      </c>
      <c r="BL91" s="386">
        <f t="shared" si="135"/>
        <v>0.22034244489322949</v>
      </c>
      <c r="BM91" s="386">
        <f t="shared" si="150"/>
        <v>2.0079736099975314E-2</v>
      </c>
      <c r="BS91" s="18"/>
      <c r="BT91" s="19"/>
    </row>
    <row r="92" spans="1:72" x14ac:dyDescent="0.2">
      <c r="G92">
        <v>83</v>
      </c>
      <c r="H92" s="610">
        <f t="shared" si="97"/>
        <v>12</v>
      </c>
      <c r="I92" s="4" t="str">
        <f t="shared" si="98"/>
        <v>BUCK-BST</v>
      </c>
      <c r="J92">
        <f t="shared" si="136"/>
        <v>3</v>
      </c>
      <c r="K92" s="386">
        <f t="shared" si="137"/>
        <v>3.32</v>
      </c>
      <c r="L92" s="4">
        <f t="shared" si="99"/>
        <v>3.6888888888888882</v>
      </c>
      <c r="M92" s="4">
        <f t="shared" si="151"/>
        <v>3.5150873478030702</v>
      </c>
      <c r="N92" s="386">
        <f t="shared" si="100"/>
        <v>0.94450000000000001</v>
      </c>
      <c r="O92" s="386">
        <f t="shared" si="101"/>
        <v>5.5500000000000028E-2</v>
      </c>
      <c r="P92" s="4">
        <f t="shared" si="102"/>
        <v>0</v>
      </c>
      <c r="Q92" s="4">
        <f t="shared" si="103"/>
        <v>3.5150873478030702</v>
      </c>
      <c r="R92" s="386">
        <f t="shared" si="138"/>
        <v>0.16525326152282657</v>
      </c>
      <c r="S92" s="386">
        <f t="shared" si="139"/>
        <v>0</v>
      </c>
      <c r="T92" s="386">
        <f t="shared" si="140"/>
        <v>0.16525326152282657</v>
      </c>
      <c r="U92" s="4">
        <f t="shared" si="104"/>
        <v>0.80479189527864525</v>
      </c>
      <c r="V92" s="386">
        <f t="shared" si="141"/>
        <v>1.7487629857067234E-2</v>
      </c>
      <c r="W92" s="386">
        <f t="shared" si="142"/>
        <v>1.7487629857067234E-2</v>
      </c>
      <c r="X92" s="4">
        <f t="shared" si="105"/>
        <v>0</v>
      </c>
      <c r="Y92" s="386">
        <f t="shared" si="143"/>
        <v>0</v>
      </c>
      <c r="Z92" s="603">
        <f t="shared" si="144"/>
        <v>0</v>
      </c>
      <c r="AA92" s="386">
        <f t="shared" si="106"/>
        <v>3.4161513424768222</v>
      </c>
      <c r="AB92" s="386">
        <f t="shared" si="107"/>
        <v>0.11670089994706194</v>
      </c>
      <c r="AC92" s="386">
        <f t="shared" si="108"/>
        <v>8.0055252794227649E-2</v>
      </c>
      <c r="AD92" s="386">
        <f t="shared" si="109"/>
        <v>0</v>
      </c>
      <c r="AE92" s="386">
        <f t="shared" si="110"/>
        <v>0.20223149125148032</v>
      </c>
      <c r="AF92" s="386">
        <f t="shared" si="111"/>
        <v>0.82809967273211127</v>
      </c>
      <c r="AG92" s="386">
        <f t="shared" si="112"/>
        <v>6.8574906797902978E-3</v>
      </c>
      <c r="AH92" s="386">
        <f t="shared" si="113"/>
        <v>7.9845999999999986E-2</v>
      </c>
      <c r="AI92" s="386">
        <f t="shared" si="114"/>
        <v>8.684165034721697E-2</v>
      </c>
      <c r="AJ92" s="386">
        <f t="shared" si="115"/>
        <v>0.82809967273211149</v>
      </c>
      <c r="AK92" s="386">
        <f t="shared" si="116"/>
        <v>6.8574906797903012E-3</v>
      </c>
      <c r="AL92" s="386">
        <f t="shared" si="117"/>
        <v>0.10612653575380041</v>
      </c>
      <c r="AM92" s="386">
        <f t="shared" si="118"/>
        <v>0</v>
      </c>
      <c r="AN92" s="386">
        <f t="shared" si="119"/>
        <v>0.11316406342396106</v>
      </c>
      <c r="AO92" s="386">
        <f t="shared" si="145"/>
        <v>3.4161513424768222</v>
      </c>
      <c r="AP92" s="386">
        <f t="shared" si="120"/>
        <v>0.11670089994706194</v>
      </c>
      <c r="AQ92" s="386">
        <f t="shared" si="121"/>
        <v>8.8717777777777757E-2</v>
      </c>
      <c r="AR92" s="386">
        <f t="shared" si="122"/>
        <v>0.21113507734532913</v>
      </c>
      <c r="AS92" s="386">
        <f t="shared" si="123"/>
        <v>0</v>
      </c>
      <c r="AT92" s="386">
        <f t="shared" si="124"/>
        <v>0</v>
      </c>
      <c r="AU92" s="386">
        <f t="shared" si="125"/>
        <v>4.0575021400000001E-2</v>
      </c>
      <c r="AV92" s="386">
        <f t="shared" si="126"/>
        <v>2.0572472039370897E-2</v>
      </c>
      <c r="AW92" s="386">
        <f t="shared" si="127"/>
        <v>6.5920000000000006E-2</v>
      </c>
      <c r="AX92" s="386">
        <f t="shared" si="128"/>
        <v>3.6000000000000004E-2</v>
      </c>
      <c r="AY92" s="386">
        <f t="shared" si="129"/>
        <v>0.40226399999999995</v>
      </c>
      <c r="AZ92" s="386">
        <f t="shared" si="130"/>
        <v>0.30415082926829268</v>
      </c>
      <c r="BA92" s="386">
        <f t="shared" si="152"/>
        <v>0.43826399999999999</v>
      </c>
      <c r="BB92" s="386">
        <f t="shared" si="153"/>
        <v>1.3614446671872522</v>
      </c>
      <c r="BC92">
        <f t="shared" si="131"/>
        <v>39.839999999999996</v>
      </c>
      <c r="BD92" s="604">
        <f t="shared" si="146"/>
        <v>0.9669563851902625</v>
      </c>
      <c r="BE92" s="614">
        <f t="shared" si="132"/>
        <v>8.1167274977817403</v>
      </c>
      <c r="BF92" s="614">
        <f t="shared" si="133"/>
        <v>13.02244039562509</v>
      </c>
      <c r="BG92" s="9"/>
      <c r="BH92" s="4">
        <f t="shared" si="147"/>
        <v>96.695638519026247</v>
      </c>
      <c r="BI92" s="386">
        <f t="shared" si="148"/>
        <v>0.16525326152282657</v>
      </c>
      <c r="BJ92" s="386">
        <f t="shared" si="149"/>
        <v>0.65394730376798749</v>
      </c>
      <c r="BK92" s="386">
        <f t="shared" si="134"/>
        <v>0.13994357754796105</v>
      </c>
      <c r="BL92" s="386">
        <f t="shared" si="135"/>
        <v>0.22452483440732912</v>
      </c>
      <c r="BM92" s="386">
        <f t="shared" si="150"/>
        <v>2.0572472039370897E-2</v>
      </c>
      <c r="BS92" s="18"/>
      <c r="BT92" s="19"/>
    </row>
    <row r="93" spans="1:72" x14ac:dyDescent="0.2">
      <c r="G93">
        <v>84</v>
      </c>
      <c r="H93" s="610">
        <f t="shared" si="97"/>
        <v>12</v>
      </c>
      <c r="I93" s="4" t="str">
        <f t="shared" si="98"/>
        <v>BUCK-BST</v>
      </c>
      <c r="J93">
        <f t="shared" si="136"/>
        <v>3</v>
      </c>
      <c r="K93" s="386">
        <f t="shared" si="137"/>
        <v>3.36</v>
      </c>
      <c r="L93" s="4">
        <f t="shared" si="99"/>
        <v>3.7333333333333329</v>
      </c>
      <c r="M93" s="4">
        <f t="shared" si="151"/>
        <v>3.5574377977766014</v>
      </c>
      <c r="N93" s="386">
        <f t="shared" si="100"/>
        <v>0.94450000000000001</v>
      </c>
      <c r="O93" s="386">
        <f t="shared" si="101"/>
        <v>5.5500000000000028E-2</v>
      </c>
      <c r="P93" s="4">
        <f t="shared" si="102"/>
        <v>0</v>
      </c>
      <c r="Q93" s="4">
        <f t="shared" si="103"/>
        <v>3.5574377977766014</v>
      </c>
      <c r="R93" s="386">
        <f t="shared" si="138"/>
        <v>0.16931351733306421</v>
      </c>
      <c r="S93" s="386">
        <f t="shared" si="139"/>
        <v>0</v>
      </c>
      <c r="T93" s="386">
        <f t="shared" si="140"/>
        <v>0.16931351733306421</v>
      </c>
      <c r="U93" s="4">
        <f t="shared" si="104"/>
        <v>0.81448818317356875</v>
      </c>
      <c r="V93" s="386">
        <f t="shared" si="141"/>
        <v>1.7911557014293283E-2</v>
      </c>
      <c r="W93" s="386">
        <f t="shared" si="142"/>
        <v>1.7911557014293283E-2</v>
      </c>
      <c r="X93" s="4">
        <f t="shared" si="105"/>
        <v>0</v>
      </c>
      <c r="Y93" s="386">
        <f t="shared" si="143"/>
        <v>0</v>
      </c>
      <c r="Z93" s="603">
        <f t="shared" si="144"/>
        <v>0</v>
      </c>
      <c r="AA93" s="386">
        <f t="shared" si="106"/>
        <v>3.4573097923861815</v>
      </c>
      <c r="AB93" s="386">
        <f t="shared" si="107"/>
        <v>0.11952991000529382</v>
      </c>
      <c r="AC93" s="386">
        <f t="shared" si="108"/>
        <v>8.1019773912230392E-2</v>
      </c>
      <c r="AD93" s="386">
        <f t="shared" si="109"/>
        <v>0</v>
      </c>
      <c r="AE93" s="386">
        <f t="shared" si="110"/>
        <v>0.20626973744928195</v>
      </c>
      <c r="AF93" s="386">
        <f t="shared" si="111"/>
        <v>0.83807677722285967</v>
      </c>
      <c r="AG93" s="386">
        <f t="shared" si="112"/>
        <v>7.0237268452025478E-3</v>
      </c>
      <c r="AH93" s="386">
        <f t="shared" si="113"/>
        <v>8.0807999999999991E-2</v>
      </c>
      <c r="AI93" s="386">
        <f t="shared" si="114"/>
        <v>8.7975082649536296E-2</v>
      </c>
      <c r="AJ93" s="386">
        <f t="shared" si="115"/>
        <v>0.83807677722285989</v>
      </c>
      <c r="AK93" s="386">
        <f t="shared" si="116"/>
        <v>7.0237268452025513E-3</v>
      </c>
      <c r="AL93" s="386">
        <f t="shared" si="117"/>
        <v>0.10612653575380041</v>
      </c>
      <c r="AM93" s="386">
        <f t="shared" si="118"/>
        <v>0</v>
      </c>
      <c r="AN93" s="386">
        <f t="shared" si="119"/>
        <v>0.11333494241218758</v>
      </c>
      <c r="AO93" s="386">
        <f t="shared" si="145"/>
        <v>3.4573097923861815</v>
      </c>
      <c r="AP93" s="386">
        <f t="shared" si="120"/>
        <v>0.11952991000529382</v>
      </c>
      <c r="AQ93" s="386">
        <f t="shared" si="121"/>
        <v>8.9786666666666654E-2</v>
      </c>
      <c r="AR93" s="386">
        <f t="shared" si="122"/>
        <v>0.2152866784455453</v>
      </c>
      <c r="AS93" s="386">
        <f t="shared" si="123"/>
        <v>0</v>
      </c>
      <c r="AT93" s="386">
        <f t="shared" si="124"/>
        <v>0</v>
      </c>
      <c r="AU93" s="386">
        <f t="shared" si="125"/>
        <v>4.0795785599999995E-2</v>
      </c>
      <c r="AV93" s="386">
        <f t="shared" si="126"/>
        <v>2.1071180535607647E-2</v>
      </c>
      <c r="AW93" s="386">
        <f t="shared" si="127"/>
        <v>6.5920000000000006E-2</v>
      </c>
      <c r="AX93" s="386">
        <f t="shared" si="128"/>
        <v>3.6000000000000004E-2</v>
      </c>
      <c r="AY93" s="386">
        <f t="shared" si="129"/>
        <v>0.40226399999999995</v>
      </c>
      <c r="AZ93" s="386">
        <f t="shared" si="130"/>
        <v>0.30415082926829268</v>
      </c>
      <c r="BA93" s="386">
        <f t="shared" si="152"/>
        <v>0.43826399999999999</v>
      </c>
      <c r="BB93" s="386">
        <f t="shared" si="153"/>
        <v>1.3761424814395162</v>
      </c>
      <c r="BC93">
        <f t="shared" si="131"/>
        <v>40.32</v>
      </c>
      <c r="BD93" s="604">
        <f t="shared" si="146"/>
        <v>0.96699592817124302</v>
      </c>
      <c r="BE93" s="614">
        <f t="shared" si="132"/>
        <v>8.1350893326748785</v>
      </c>
      <c r="BF93" s="614">
        <f t="shared" si="133"/>
        <v>13.267458686225627</v>
      </c>
      <c r="BG93" s="9"/>
      <c r="BH93" s="4">
        <f t="shared" si="147"/>
        <v>96.699592817124298</v>
      </c>
      <c r="BI93" s="386">
        <f t="shared" si="148"/>
        <v>0.16931351733306421</v>
      </c>
      <c r="BJ93" s="386">
        <f t="shared" si="149"/>
        <v>0.66366222655655105</v>
      </c>
      <c r="BK93" s="386">
        <f t="shared" si="134"/>
        <v>0.14026016090818758</v>
      </c>
      <c r="BL93" s="386">
        <f t="shared" si="135"/>
        <v>0.2287492876935453</v>
      </c>
      <c r="BM93" s="386">
        <f t="shared" si="150"/>
        <v>2.1071180535607647E-2</v>
      </c>
      <c r="BS93" s="18"/>
      <c r="BT93" s="19"/>
    </row>
    <row r="94" spans="1:72" x14ac:dyDescent="0.2">
      <c r="G94">
        <v>85</v>
      </c>
      <c r="H94" s="610">
        <f t="shared" si="97"/>
        <v>12</v>
      </c>
      <c r="I94" s="4" t="str">
        <f t="shared" si="98"/>
        <v>BUCK-BST</v>
      </c>
      <c r="J94">
        <f t="shared" si="136"/>
        <v>3</v>
      </c>
      <c r="K94" s="386">
        <f t="shared" si="137"/>
        <v>3.4</v>
      </c>
      <c r="L94" s="4">
        <f t="shared" si="99"/>
        <v>3.7777777777777772</v>
      </c>
      <c r="M94" s="4">
        <f t="shared" si="151"/>
        <v>3.5997882477501322</v>
      </c>
      <c r="N94" s="386">
        <f t="shared" si="100"/>
        <v>0.94450000000000001</v>
      </c>
      <c r="O94" s="386">
        <f t="shared" si="101"/>
        <v>5.5500000000000028E-2</v>
      </c>
      <c r="P94" s="4">
        <f t="shared" si="102"/>
        <v>0</v>
      </c>
      <c r="Q94" s="4">
        <f t="shared" si="103"/>
        <v>3.5997882477501322</v>
      </c>
      <c r="R94" s="386">
        <f t="shared" si="138"/>
        <v>0.17342505006603848</v>
      </c>
      <c r="S94" s="386">
        <f t="shared" si="139"/>
        <v>0</v>
      </c>
      <c r="T94" s="386">
        <f t="shared" si="140"/>
        <v>0.17342505006603848</v>
      </c>
      <c r="U94" s="4">
        <f t="shared" si="104"/>
        <v>0.82418447106849213</v>
      </c>
      <c r="V94" s="386">
        <f t="shared" si="141"/>
        <v>1.8340561143462154E-2</v>
      </c>
      <c r="W94" s="386">
        <f t="shared" si="142"/>
        <v>1.8340561143462154E-2</v>
      </c>
      <c r="X94" s="4">
        <f t="shared" si="105"/>
        <v>0</v>
      </c>
      <c r="Y94" s="386">
        <f t="shared" si="143"/>
        <v>0</v>
      </c>
      <c r="Z94" s="603">
        <f t="shared" si="144"/>
        <v>0</v>
      </c>
      <c r="AA94" s="386">
        <f t="shared" si="106"/>
        <v>3.4984682422955409</v>
      </c>
      <c r="AB94" s="386">
        <f t="shared" si="107"/>
        <v>0.12239280042350452</v>
      </c>
      <c r="AC94" s="386">
        <f t="shared" si="108"/>
        <v>8.1984295030233134E-2</v>
      </c>
      <c r="AD94" s="386">
        <f t="shared" si="109"/>
        <v>0</v>
      </c>
      <c r="AE94" s="386">
        <f t="shared" si="110"/>
        <v>0.21035001130682393</v>
      </c>
      <c r="AF94" s="386">
        <f t="shared" si="111"/>
        <v>0.84805388171360796</v>
      </c>
      <c r="AG94" s="386">
        <f t="shared" si="112"/>
        <v>7.1919538628951816E-3</v>
      </c>
      <c r="AH94" s="386">
        <f t="shared" si="113"/>
        <v>8.1769999999999995E-2</v>
      </c>
      <c r="AI94" s="386">
        <f t="shared" si="114"/>
        <v>8.9110637929325137E-2</v>
      </c>
      <c r="AJ94" s="386">
        <f t="shared" si="115"/>
        <v>0.84805388171360818</v>
      </c>
      <c r="AK94" s="386">
        <f t="shared" si="116"/>
        <v>7.1919538628951851E-3</v>
      </c>
      <c r="AL94" s="386">
        <f t="shared" si="117"/>
        <v>0.10612653575380041</v>
      </c>
      <c r="AM94" s="386">
        <f t="shared" si="118"/>
        <v>0</v>
      </c>
      <c r="AN94" s="386">
        <f t="shared" si="119"/>
        <v>0.11350788129601817</v>
      </c>
      <c r="AO94" s="386">
        <f t="shared" si="145"/>
        <v>3.4984682422955409</v>
      </c>
      <c r="AP94" s="386">
        <f t="shared" si="120"/>
        <v>0.12239280042350452</v>
      </c>
      <c r="AQ94" s="386">
        <f t="shared" si="121"/>
        <v>9.0855555555555537E-2</v>
      </c>
      <c r="AR94" s="386">
        <f t="shared" si="122"/>
        <v>0.21948053421431749</v>
      </c>
      <c r="AS94" s="386">
        <f t="shared" si="123"/>
        <v>0</v>
      </c>
      <c r="AT94" s="386">
        <f t="shared" si="124"/>
        <v>0</v>
      </c>
      <c r="AU94" s="386">
        <f t="shared" si="125"/>
        <v>4.1016535E-2</v>
      </c>
      <c r="AV94" s="386">
        <f t="shared" si="126"/>
        <v>2.157586158868555E-2</v>
      </c>
      <c r="AW94" s="386">
        <f t="shared" si="127"/>
        <v>6.5920000000000006E-2</v>
      </c>
      <c r="AX94" s="386">
        <f t="shared" si="128"/>
        <v>3.6000000000000004E-2</v>
      </c>
      <c r="AY94" s="386">
        <f t="shared" si="129"/>
        <v>0.40226399999999995</v>
      </c>
      <c r="AZ94" s="386">
        <f t="shared" si="130"/>
        <v>0.30415082926829268</v>
      </c>
      <c r="BA94" s="386">
        <f t="shared" si="152"/>
        <v>0.43826399999999999</v>
      </c>
      <c r="BB94" s="386">
        <f t="shared" si="153"/>
        <v>1.390991072544671</v>
      </c>
      <c r="BC94">
        <f t="shared" si="131"/>
        <v>40.799999999999997</v>
      </c>
      <c r="BD94" s="604">
        <f t="shared" si="146"/>
        <v>0.96703108798385529</v>
      </c>
      <c r="BE94" s="614">
        <f t="shared" si="132"/>
        <v>8.1535700749690534</v>
      </c>
      <c r="BF94" s="614">
        <f t="shared" si="133"/>
        <v>13.514927464330414</v>
      </c>
      <c r="BG94" s="9"/>
      <c r="BH94" s="4">
        <f t="shared" si="147"/>
        <v>96.703108798385529</v>
      </c>
      <c r="BI94" s="386">
        <f t="shared" si="148"/>
        <v>0.17342505006603848</v>
      </c>
      <c r="BJ94" s="386">
        <f t="shared" si="149"/>
        <v>0.67346559974648479</v>
      </c>
      <c r="BK94" s="386">
        <f t="shared" si="134"/>
        <v>0.14057879439601817</v>
      </c>
      <c r="BL94" s="386">
        <f t="shared" si="135"/>
        <v>0.23301599076431748</v>
      </c>
      <c r="BM94" s="386">
        <f t="shared" si="150"/>
        <v>2.157586158868555E-2</v>
      </c>
      <c r="BS94" s="18"/>
      <c r="BT94" s="19"/>
    </row>
    <row r="95" spans="1:72" x14ac:dyDescent="0.2">
      <c r="G95">
        <v>86</v>
      </c>
      <c r="H95" s="610">
        <f t="shared" si="97"/>
        <v>12</v>
      </c>
      <c r="I95" s="4" t="str">
        <f t="shared" si="98"/>
        <v>BUCK-BST</v>
      </c>
      <c r="J95">
        <f t="shared" si="136"/>
        <v>3</v>
      </c>
      <c r="K95" s="386">
        <f t="shared" si="137"/>
        <v>3.44</v>
      </c>
      <c r="L95" s="4">
        <f t="shared" si="99"/>
        <v>3.822222222222222</v>
      </c>
      <c r="M95" s="4">
        <f t="shared" si="151"/>
        <v>3.6421386977236634</v>
      </c>
      <c r="N95" s="386">
        <f t="shared" si="100"/>
        <v>0.94450000000000001</v>
      </c>
      <c r="O95" s="386">
        <f t="shared" si="101"/>
        <v>5.5500000000000028E-2</v>
      </c>
      <c r="P95" s="4">
        <f t="shared" si="102"/>
        <v>0</v>
      </c>
      <c r="Q95" s="4">
        <f t="shared" si="103"/>
        <v>3.6421386977236634</v>
      </c>
      <c r="R95" s="386">
        <f t="shared" si="138"/>
        <v>0.17758795704762645</v>
      </c>
      <c r="S95" s="386">
        <f t="shared" si="139"/>
        <v>0</v>
      </c>
      <c r="T95" s="386">
        <f t="shared" si="140"/>
        <v>0.17758795704762645</v>
      </c>
      <c r="U95" s="4">
        <f t="shared" si="104"/>
        <v>0.83388075896341562</v>
      </c>
      <c r="V95" s="386">
        <f t="shared" si="141"/>
        <v>1.8774642244573855E-2</v>
      </c>
      <c r="W95" s="386">
        <f t="shared" si="142"/>
        <v>1.8774642244573855E-2</v>
      </c>
      <c r="X95" s="4">
        <f t="shared" si="105"/>
        <v>0</v>
      </c>
      <c r="Y95" s="386">
        <f t="shared" si="143"/>
        <v>0</v>
      </c>
      <c r="Z95" s="603">
        <f t="shared" si="144"/>
        <v>0</v>
      </c>
      <c r="AA95" s="386">
        <f t="shared" si="106"/>
        <v>3.5396266922049002</v>
      </c>
      <c r="AB95" s="386">
        <f t="shared" si="107"/>
        <v>0.12528957120169404</v>
      </c>
      <c r="AC95" s="386">
        <f t="shared" si="108"/>
        <v>8.2948816148235877E-2</v>
      </c>
      <c r="AD95" s="386">
        <f t="shared" si="109"/>
        <v>0</v>
      </c>
      <c r="AE95" s="386">
        <f t="shared" si="110"/>
        <v>0.21447249817057037</v>
      </c>
      <c r="AF95" s="386">
        <f t="shared" si="111"/>
        <v>0.85803098620435636</v>
      </c>
      <c r="AG95" s="386">
        <f t="shared" si="112"/>
        <v>7.3621717328682034E-3</v>
      </c>
      <c r="AH95" s="386">
        <f t="shared" si="113"/>
        <v>8.2732E-2</v>
      </c>
      <c r="AI95" s="386">
        <f t="shared" si="114"/>
        <v>9.0248318011734927E-2</v>
      </c>
      <c r="AJ95" s="386">
        <f t="shared" si="115"/>
        <v>0.85803098620435658</v>
      </c>
      <c r="AK95" s="386">
        <f t="shared" si="116"/>
        <v>7.3621717328682078E-3</v>
      </c>
      <c r="AL95" s="386">
        <f t="shared" si="117"/>
        <v>0.10612653575380041</v>
      </c>
      <c r="AM95" s="386">
        <f t="shared" si="118"/>
        <v>0</v>
      </c>
      <c r="AN95" s="386">
        <f t="shared" si="119"/>
        <v>0.11368288055709025</v>
      </c>
      <c r="AO95" s="386">
        <f t="shared" si="145"/>
        <v>3.5396266922049002</v>
      </c>
      <c r="AP95" s="386">
        <f t="shared" si="120"/>
        <v>0.12528957120169404</v>
      </c>
      <c r="AQ95" s="386">
        <f t="shared" si="121"/>
        <v>9.1924444444444434E-2</v>
      </c>
      <c r="AR95" s="386">
        <f t="shared" si="122"/>
        <v>0.22371683322250985</v>
      </c>
      <c r="AS95" s="386">
        <f t="shared" si="123"/>
        <v>0</v>
      </c>
      <c r="AT95" s="386">
        <f t="shared" si="124"/>
        <v>0</v>
      </c>
      <c r="AU95" s="386">
        <f t="shared" si="125"/>
        <v>4.1237269600000001E-2</v>
      </c>
      <c r="AV95" s="386">
        <f t="shared" si="126"/>
        <v>2.2086515198604616E-2</v>
      </c>
      <c r="AW95" s="386">
        <f t="shared" si="127"/>
        <v>6.5920000000000006E-2</v>
      </c>
      <c r="AX95" s="386">
        <f t="shared" si="128"/>
        <v>3.6000000000000004E-2</v>
      </c>
      <c r="AY95" s="386">
        <f t="shared" si="129"/>
        <v>0.40226399999999995</v>
      </c>
      <c r="AZ95" s="386">
        <f t="shared" si="130"/>
        <v>0.30415082926829268</v>
      </c>
      <c r="BA95" s="386">
        <f t="shared" si="152"/>
        <v>0.43826399999999999</v>
      </c>
      <c r="BB95" s="386">
        <f t="shared" si="153"/>
        <v>1.4059909140527105</v>
      </c>
      <c r="BC95">
        <f t="shared" si="131"/>
        <v>41.28</v>
      </c>
      <c r="BD95" s="604">
        <f t="shared" si="146"/>
        <v>0.96706200596622816</v>
      </c>
      <c r="BE95" s="614">
        <f t="shared" si="132"/>
        <v>8.1721697525992347</v>
      </c>
      <c r="BF95" s="614">
        <f t="shared" si="133"/>
        <v>13.764857667049572</v>
      </c>
      <c r="BG95" s="9"/>
      <c r="BH95" s="4">
        <f t="shared" si="147"/>
        <v>96.706200596622821</v>
      </c>
      <c r="BI95" s="386">
        <f t="shared" si="148"/>
        <v>0.17758795704762645</v>
      </c>
      <c r="BJ95" s="386">
        <f t="shared" si="149"/>
        <v>0.68335779956190534</v>
      </c>
      <c r="BK95" s="386">
        <f t="shared" si="134"/>
        <v>0.14089947849309026</v>
      </c>
      <c r="BL95" s="386">
        <f t="shared" si="135"/>
        <v>0.23732513219050985</v>
      </c>
      <c r="BM95" s="386">
        <f t="shared" si="150"/>
        <v>2.2086515198604616E-2</v>
      </c>
      <c r="BS95" s="18"/>
      <c r="BT95" s="19"/>
    </row>
    <row r="96" spans="1:72" x14ac:dyDescent="0.2">
      <c r="G96">
        <v>87</v>
      </c>
      <c r="H96" s="610">
        <f t="shared" si="97"/>
        <v>12</v>
      </c>
      <c r="I96" s="4" t="str">
        <f t="shared" si="98"/>
        <v>BUCK-BST</v>
      </c>
      <c r="J96">
        <f t="shared" si="136"/>
        <v>3</v>
      </c>
      <c r="K96" s="386">
        <f t="shared" si="137"/>
        <v>3.48</v>
      </c>
      <c r="L96" s="4">
        <f t="shared" si="99"/>
        <v>3.8666666666666663</v>
      </c>
      <c r="M96" s="4">
        <f t="shared" si="151"/>
        <v>3.6844891476971942</v>
      </c>
      <c r="N96" s="386">
        <f t="shared" si="100"/>
        <v>0.94450000000000001</v>
      </c>
      <c r="O96" s="386">
        <f t="shared" si="101"/>
        <v>5.5500000000000028E-2</v>
      </c>
      <c r="P96" s="4">
        <f t="shared" si="102"/>
        <v>0</v>
      </c>
      <c r="Q96" s="4">
        <f t="shared" si="103"/>
        <v>3.6844891476971942</v>
      </c>
      <c r="R96" s="386">
        <f t="shared" si="138"/>
        <v>0.18180233691549197</v>
      </c>
      <c r="S96" s="386">
        <f t="shared" si="139"/>
        <v>0</v>
      </c>
      <c r="T96" s="386">
        <f t="shared" si="140"/>
        <v>0.18180233691549197</v>
      </c>
      <c r="U96" s="4">
        <f t="shared" si="104"/>
        <v>0.84357704685833912</v>
      </c>
      <c r="V96" s="386">
        <f t="shared" si="141"/>
        <v>1.9213800317628385E-2</v>
      </c>
      <c r="W96" s="386">
        <f t="shared" si="142"/>
        <v>1.9213800317628385E-2</v>
      </c>
      <c r="X96" s="4">
        <f t="shared" si="105"/>
        <v>0</v>
      </c>
      <c r="Y96" s="386">
        <f t="shared" si="143"/>
        <v>0</v>
      </c>
      <c r="Z96" s="603">
        <f t="shared" si="144"/>
        <v>0</v>
      </c>
      <c r="AA96" s="386">
        <f t="shared" si="106"/>
        <v>3.5807851421142591</v>
      </c>
      <c r="AB96" s="386">
        <f t="shared" si="107"/>
        <v>0.12822022233986236</v>
      </c>
      <c r="AC96" s="386">
        <f t="shared" si="108"/>
        <v>8.3913337266238633E-2</v>
      </c>
      <c r="AD96" s="386">
        <f t="shared" si="109"/>
        <v>0</v>
      </c>
      <c r="AE96" s="386">
        <f t="shared" si="110"/>
        <v>0.21863738594937143</v>
      </c>
      <c r="AF96" s="386">
        <f t="shared" si="111"/>
        <v>0.86800809069510465</v>
      </c>
      <c r="AG96" s="386">
        <f t="shared" si="112"/>
        <v>7.5343804551216099E-3</v>
      </c>
      <c r="AH96" s="386">
        <f t="shared" si="113"/>
        <v>8.3693999999999991E-2</v>
      </c>
      <c r="AI96" s="386">
        <f t="shared" si="114"/>
        <v>9.138812472810294E-2</v>
      </c>
      <c r="AJ96" s="386">
        <f t="shared" si="115"/>
        <v>0.86800809069510476</v>
      </c>
      <c r="AK96" s="386">
        <f t="shared" si="116"/>
        <v>7.5343804551216125E-3</v>
      </c>
      <c r="AL96" s="386">
        <f t="shared" si="117"/>
        <v>0.10612653575380041</v>
      </c>
      <c r="AM96" s="386">
        <f t="shared" si="118"/>
        <v>0</v>
      </c>
      <c r="AN96" s="386">
        <f t="shared" si="119"/>
        <v>0.1138599406828369</v>
      </c>
      <c r="AO96" s="386">
        <f t="shared" si="145"/>
        <v>3.5807851421142591</v>
      </c>
      <c r="AP96" s="386">
        <f t="shared" si="120"/>
        <v>0.12822022233986236</v>
      </c>
      <c r="AQ96" s="386">
        <f t="shared" si="121"/>
        <v>9.2993333333333317E-2</v>
      </c>
      <c r="AR96" s="386">
        <f t="shared" si="122"/>
        <v>0.22799576662344495</v>
      </c>
      <c r="AS96" s="386">
        <f t="shared" si="123"/>
        <v>0</v>
      </c>
      <c r="AT96" s="386">
        <f t="shared" si="124"/>
        <v>0</v>
      </c>
      <c r="AU96" s="386">
        <f t="shared" si="125"/>
        <v>4.1457989399999999E-2</v>
      </c>
      <c r="AV96" s="386">
        <f t="shared" si="126"/>
        <v>2.2603141365364832E-2</v>
      </c>
      <c r="AW96" s="386">
        <f t="shared" si="127"/>
        <v>6.5920000000000006E-2</v>
      </c>
      <c r="AX96" s="386">
        <f t="shared" si="128"/>
        <v>3.6000000000000004E-2</v>
      </c>
      <c r="AY96" s="386">
        <f t="shared" si="129"/>
        <v>0.40226399999999995</v>
      </c>
      <c r="AZ96" s="386">
        <f t="shared" si="130"/>
        <v>0.30415082926829268</v>
      </c>
      <c r="BA96" s="386">
        <f t="shared" si="152"/>
        <v>0.43826399999999999</v>
      </c>
      <c r="BB96" s="386">
        <f t="shared" si="153"/>
        <v>1.4211424859822415</v>
      </c>
      <c r="BC96">
        <f t="shared" si="131"/>
        <v>41.76</v>
      </c>
      <c r="BD96" s="604">
        <f t="shared" si="146"/>
        <v>0.96708881691947857</v>
      </c>
      <c r="BE96" s="614">
        <f t="shared" si="132"/>
        <v>8.1908883938365413</v>
      </c>
      <c r="BF96" s="614">
        <f t="shared" si="133"/>
        <v>14.017260381275808</v>
      </c>
      <c r="BG96" s="9"/>
      <c r="BH96" s="4">
        <f t="shared" si="147"/>
        <v>96.708881691947852</v>
      </c>
      <c r="BI96" s="386">
        <f t="shared" si="148"/>
        <v>0.18180233691549197</v>
      </c>
      <c r="BJ96" s="386">
        <f t="shared" si="149"/>
        <v>0.69333920738375621</v>
      </c>
      <c r="BK96" s="386">
        <f t="shared" si="134"/>
        <v>0.14122221368683691</v>
      </c>
      <c r="BL96" s="386">
        <f t="shared" si="135"/>
        <v>0.24167690312544496</v>
      </c>
      <c r="BM96" s="386">
        <f t="shared" si="150"/>
        <v>2.2603141365364832E-2</v>
      </c>
      <c r="BS96" s="18"/>
      <c r="BT96" s="19"/>
    </row>
    <row r="97" spans="7:72" x14ac:dyDescent="0.2">
      <c r="G97">
        <v>88</v>
      </c>
      <c r="H97" s="610">
        <f t="shared" si="97"/>
        <v>12</v>
      </c>
      <c r="I97" s="4" t="str">
        <f t="shared" si="98"/>
        <v>BUCK-BST</v>
      </c>
      <c r="J97">
        <f t="shared" si="136"/>
        <v>3</v>
      </c>
      <c r="K97" s="386">
        <f t="shared" si="137"/>
        <v>3.52</v>
      </c>
      <c r="L97" s="4">
        <f t="shared" si="99"/>
        <v>3.911111111111111</v>
      </c>
      <c r="M97" s="4">
        <f t="shared" si="151"/>
        <v>3.7268395976707254</v>
      </c>
      <c r="N97" s="386">
        <f t="shared" si="100"/>
        <v>0.94450000000000001</v>
      </c>
      <c r="O97" s="386">
        <f t="shared" si="101"/>
        <v>5.5500000000000028E-2</v>
      </c>
      <c r="P97" s="4">
        <f t="shared" si="102"/>
        <v>0</v>
      </c>
      <c r="Q97" s="4">
        <f t="shared" si="103"/>
        <v>3.7268395976707254</v>
      </c>
      <c r="R97" s="386">
        <f t="shared" si="138"/>
        <v>0.18606828962503449</v>
      </c>
      <c r="S97" s="386">
        <f t="shared" si="139"/>
        <v>0</v>
      </c>
      <c r="T97" s="386">
        <f t="shared" si="140"/>
        <v>0.18606828962503449</v>
      </c>
      <c r="U97" s="4">
        <f t="shared" si="104"/>
        <v>0.8532733347532625</v>
      </c>
      <c r="V97" s="386">
        <f t="shared" si="141"/>
        <v>1.9658035362625736E-2</v>
      </c>
      <c r="W97" s="386">
        <f t="shared" si="142"/>
        <v>1.9658035362625736E-2</v>
      </c>
      <c r="X97" s="4">
        <f t="shared" si="105"/>
        <v>0</v>
      </c>
      <c r="Y97" s="386">
        <f t="shared" si="143"/>
        <v>0</v>
      </c>
      <c r="Z97" s="603">
        <f t="shared" si="144"/>
        <v>0</v>
      </c>
      <c r="AA97" s="386">
        <f t="shared" si="106"/>
        <v>3.6219435920236189</v>
      </c>
      <c r="AB97" s="386">
        <f t="shared" si="107"/>
        <v>0.13118475383800957</v>
      </c>
      <c r="AC97" s="386">
        <f t="shared" si="108"/>
        <v>8.4877858384241375E-2</v>
      </c>
      <c r="AD97" s="386">
        <f t="shared" si="109"/>
        <v>0</v>
      </c>
      <c r="AE97" s="386">
        <f t="shared" si="110"/>
        <v>0.22284486513857726</v>
      </c>
      <c r="AF97" s="386">
        <f t="shared" si="111"/>
        <v>0.87798519518585305</v>
      </c>
      <c r="AG97" s="386">
        <f t="shared" si="112"/>
        <v>7.7085800296554053E-3</v>
      </c>
      <c r="AH97" s="386">
        <f t="shared" si="113"/>
        <v>8.4655999999999995E-2</v>
      </c>
      <c r="AI97" s="386">
        <f t="shared" si="114"/>
        <v>9.2530059915961957E-2</v>
      </c>
      <c r="AJ97" s="386">
        <f t="shared" si="115"/>
        <v>0.87798519518585316</v>
      </c>
      <c r="AK97" s="386">
        <f t="shared" si="116"/>
        <v>7.7085800296554062E-3</v>
      </c>
      <c r="AL97" s="386">
        <f t="shared" si="117"/>
        <v>0.10612653575380041</v>
      </c>
      <c r="AM97" s="386">
        <f t="shared" si="118"/>
        <v>0</v>
      </c>
      <c r="AN97" s="386">
        <f t="shared" si="119"/>
        <v>0.11403906216649022</v>
      </c>
      <c r="AO97" s="386">
        <f t="shared" si="145"/>
        <v>3.6219435920236189</v>
      </c>
      <c r="AP97" s="386">
        <f t="shared" si="120"/>
        <v>0.13118475383800957</v>
      </c>
      <c r="AQ97" s="386">
        <f t="shared" si="121"/>
        <v>9.4062222222222214E-2</v>
      </c>
      <c r="AR97" s="386">
        <f t="shared" si="122"/>
        <v>0.2323175281773503</v>
      </c>
      <c r="AS97" s="386">
        <f t="shared" si="123"/>
        <v>0</v>
      </c>
      <c r="AT97" s="386">
        <f t="shared" si="124"/>
        <v>0</v>
      </c>
      <c r="AU97" s="386">
        <f t="shared" si="125"/>
        <v>4.1678694400000008E-2</v>
      </c>
      <c r="AV97" s="386">
        <f t="shared" si="126"/>
        <v>2.3125740088966215E-2</v>
      </c>
      <c r="AW97" s="386">
        <f t="shared" si="127"/>
        <v>6.5920000000000006E-2</v>
      </c>
      <c r="AX97" s="386">
        <f t="shared" si="128"/>
        <v>3.6000000000000004E-2</v>
      </c>
      <c r="AY97" s="386">
        <f t="shared" si="129"/>
        <v>0.40226399999999995</v>
      </c>
      <c r="AZ97" s="386">
        <f t="shared" si="130"/>
        <v>0.30415082926829268</v>
      </c>
      <c r="BA97" s="386">
        <f t="shared" si="152"/>
        <v>0.43826399999999999</v>
      </c>
      <c r="BB97" s="386">
        <f t="shared" si="153"/>
        <v>1.436446274875006</v>
      </c>
      <c r="BC97">
        <f t="shared" si="131"/>
        <v>42.24</v>
      </c>
      <c r="BD97" s="604">
        <f t="shared" si="146"/>
        <v>0.96711164947269712</v>
      </c>
      <c r="BE97" s="614">
        <f t="shared" si="132"/>
        <v>8.2097260272884345</v>
      </c>
      <c r="BF97" s="614">
        <f t="shared" si="133"/>
        <v>14.272146845102316</v>
      </c>
      <c r="BG97" s="9"/>
      <c r="BH97" s="4">
        <f t="shared" si="147"/>
        <v>96.711164947269708</v>
      </c>
      <c r="BI97" s="386">
        <f t="shared" si="148"/>
        <v>0.18606828962503449</v>
      </c>
      <c r="BJ97" s="386">
        <f t="shared" si="149"/>
        <v>0.70341020979837987</v>
      </c>
      <c r="BK97" s="386">
        <f t="shared" si="134"/>
        <v>0.14154700047049024</v>
      </c>
      <c r="BL97" s="386">
        <f t="shared" si="135"/>
        <v>0.2460714973293503</v>
      </c>
      <c r="BM97" s="386">
        <f t="shared" si="150"/>
        <v>2.3125740088966215E-2</v>
      </c>
      <c r="BS97" s="18"/>
      <c r="BT97" s="19"/>
    </row>
    <row r="98" spans="7:72" x14ac:dyDescent="0.2">
      <c r="G98">
        <v>89</v>
      </c>
      <c r="H98" s="610">
        <f t="shared" si="97"/>
        <v>12</v>
      </c>
      <c r="I98" s="4" t="str">
        <f t="shared" si="98"/>
        <v>BUCK-BST</v>
      </c>
      <c r="J98">
        <f t="shared" si="136"/>
        <v>3</v>
      </c>
      <c r="K98" s="386">
        <f t="shared" si="137"/>
        <v>3.56</v>
      </c>
      <c r="L98" s="4">
        <f t="shared" si="99"/>
        <v>3.9555555555555553</v>
      </c>
      <c r="M98" s="4">
        <f t="shared" si="151"/>
        <v>3.7691900476442561</v>
      </c>
      <c r="N98" s="386">
        <f t="shared" si="100"/>
        <v>0.94450000000000001</v>
      </c>
      <c r="O98" s="386">
        <f t="shared" si="101"/>
        <v>5.5500000000000028E-2</v>
      </c>
      <c r="P98" s="4">
        <f t="shared" si="102"/>
        <v>0</v>
      </c>
      <c r="Q98" s="4">
        <f t="shared" si="103"/>
        <v>3.7691900476442561</v>
      </c>
      <c r="R98" s="386">
        <f t="shared" si="138"/>
        <v>0.19038591645542391</v>
      </c>
      <c r="S98" s="386">
        <f t="shared" si="139"/>
        <v>0</v>
      </c>
      <c r="T98" s="386">
        <f t="shared" si="140"/>
        <v>0.19038591645542391</v>
      </c>
      <c r="U98" s="4">
        <f t="shared" si="104"/>
        <v>0.862969622648186</v>
      </c>
      <c r="V98" s="386">
        <f t="shared" si="141"/>
        <v>2.0107347379565918E-2</v>
      </c>
      <c r="W98" s="386">
        <f t="shared" si="142"/>
        <v>2.0107347379565918E-2</v>
      </c>
      <c r="X98" s="4">
        <f t="shared" si="105"/>
        <v>0</v>
      </c>
      <c r="Y98" s="386">
        <f t="shared" si="143"/>
        <v>0</v>
      </c>
      <c r="Z98" s="603">
        <f t="shared" si="144"/>
        <v>0</v>
      </c>
      <c r="AA98" s="386">
        <f t="shared" si="106"/>
        <v>3.6631020419329778</v>
      </c>
      <c r="AB98" s="386">
        <f t="shared" si="107"/>
        <v>0.13418316569613553</v>
      </c>
      <c r="AC98" s="386">
        <f t="shared" si="108"/>
        <v>8.5842379502244118E-2</v>
      </c>
      <c r="AD98" s="386">
        <f t="shared" si="109"/>
        <v>0</v>
      </c>
      <c r="AE98" s="386">
        <f t="shared" si="110"/>
        <v>0.22709512884456795</v>
      </c>
      <c r="AF98" s="386">
        <f t="shared" si="111"/>
        <v>0.88796229967660123</v>
      </c>
      <c r="AG98" s="386">
        <f t="shared" si="112"/>
        <v>7.8847704564695819E-3</v>
      </c>
      <c r="AH98" s="386">
        <f t="shared" si="113"/>
        <v>8.5618E-2</v>
      </c>
      <c r="AI98" s="386">
        <f t="shared" si="114"/>
        <v>9.367412541905E-2</v>
      </c>
      <c r="AJ98" s="386">
        <f t="shared" si="115"/>
        <v>0.88796229967660145</v>
      </c>
      <c r="AK98" s="386">
        <f t="shared" si="116"/>
        <v>7.8847704564695854E-3</v>
      </c>
      <c r="AL98" s="386">
        <f t="shared" si="117"/>
        <v>0.10612653575380041</v>
      </c>
      <c r="AM98" s="386">
        <f t="shared" si="118"/>
        <v>0</v>
      </c>
      <c r="AN98" s="386">
        <f t="shared" si="119"/>
        <v>0.11422024550708473</v>
      </c>
      <c r="AO98" s="386">
        <f t="shared" si="145"/>
        <v>3.6631020419329778</v>
      </c>
      <c r="AP98" s="386">
        <f t="shared" si="120"/>
        <v>0.13418316569613553</v>
      </c>
      <c r="AQ98" s="386">
        <f t="shared" si="121"/>
        <v>9.5131111111111097E-2</v>
      </c>
      <c r="AR98" s="386">
        <f t="shared" si="122"/>
        <v>0.23668231427622483</v>
      </c>
      <c r="AS98" s="386">
        <f t="shared" si="123"/>
        <v>0</v>
      </c>
      <c r="AT98" s="386">
        <f t="shared" si="124"/>
        <v>0</v>
      </c>
      <c r="AU98" s="386">
        <f t="shared" si="125"/>
        <v>4.1899384599999999E-2</v>
      </c>
      <c r="AV98" s="386">
        <f t="shared" si="126"/>
        <v>2.3654311369408747E-2</v>
      </c>
      <c r="AW98" s="386">
        <f t="shared" si="127"/>
        <v>6.5920000000000006E-2</v>
      </c>
      <c r="AX98" s="386">
        <f t="shared" si="128"/>
        <v>3.6000000000000004E-2</v>
      </c>
      <c r="AY98" s="386">
        <f t="shared" si="129"/>
        <v>0.40226399999999995</v>
      </c>
      <c r="AZ98" s="386">
        <f t="shared" si="130"/>
        <v>0.30415082926829268</v>
      </c>
      <c r="BA98" s="386">
        <f t="shared" si="152"/>
        <v>0.43826399999999999</v>
      </c>
      <c r="BB98" s="386">
        <f t="shared" si="153"/>
        <v>1.4519027738513262</v>
      </c>
      <c r="BC98">
        <f t="shared" si="131"/>
        <v>42.72</v>
      </c>
      <c r="BD98" s="604">
        <f t="shared" si="146"/>
        <v>0.96713062642366376</v>
      </c>
      <c r="BE98" s="614">
        <f t="shared" si="132"/>
        <v>8.2286826818989134</v>
      </c>
      <c r="BF98" s="614">
        <f t="shared" si="133"/>
        <v>14.529528449265039</v>
      </c>
      <c r="BG98" s="9"/>
      <c r="BH98" s="4">
        <f t="shared" si="147"/>
        <v>96.713062642366381</v>
      </c>
      <c r="BI98" s="386">
        <f t="shared" si="148"/>
        <v>0.19038591645542391</v>
      </c>
      <c r="BJ98" s="386">
        <f t="shared" si="149"/>
        <v>0.71357119864692753</v>
      </c>
      <c r="BK98" s="386">
        <f t="shared" si="134"/>
        <v>0.14187383934308473</v>
      </c>
      <c r="BL98" s="386">
        <f t="shared" si="135"/>
        <v>0.25050911119422481</v>
      </c>
      <c r="BM98" s="386">
        <f t="shared" si="150"/>
        <v>2.3654311369408747E-2</v>
      </c>
      <c r="BS98" s="18"/>
      <c r="BT98" s="19"/>
    </row>
    <row r="99" spans="7:72" x14ac:dyDescent="0.2">
      <c r="G99">
        <v>90</v>
      </c>
      <c r="H99" s="610">
        <f t="shared" si="97"/>
        <v>12</v>
      </c>
      <c r="I99" s="4" t="str">
        <f t="shared" si="98"/>
        <v>BUCK-BST</v>
      </c>
      <c r="J99">
        <f t="shared" si="136"/>
        <v>3</v>
      </c>
      <c r="K99" s="386">
        <f t="shared" si="137"/>
        <v>3.6</v>
      </c>
      <c r="L99" s="4">
        <f t="shared" si="99"/>
        <v>4</v>
      </c>
      <c r="M99" s="4">
        <f t="shared" si="151"/>
        <v>3.8115404976177873</v>
      </c>
      <c r="N99" s="386">
        <f t="shared" si="100"/>
        <v>0.94450000000000001</v>
      </c>
      <c r="O99" s="386">
        <f t="shared" si="101"/>
        <v>5.5500000000000028E-2</v>
      </c>
      <c r="P99" s="4">
        <f t="shared" si="102"/>
        <v>0</v>
      </c>
      <c r="Q99" s="4">
        <f t="shared" si="103"/>
        <v>3.8115404976177873</v>
      </c>
      <c r="R99" s="386">
        <f t="shared" si="138"/>
        <v>0.19475532001572554</v>
      </c>
      <c r="S99" s="386">
        <f t="shared" si="139"/>
        <v>0</v>
      </c>
      <c r="T99" s="386">
        <f t="shared" si="140"/>
        <v>0.19475532001572554</v>
      </c>
      <c r="U99" s="4">
        <f t="shared" si="104"/>
        <v>0.87266591054310938</v>
      </c>
      <c r="V99" s="386">
        <f t="shared" si="141"/>
        <v>2.0561736368448925E-2</v>
      </c>
      <c r="W99" s="386">
        <f t="shared" si="142"/>
        <v>2.0561736368448925E-2</v>
      </c>
      <c r="X99" s="4">
        <f t="shared" si="105"/>
        <v>0</v>
      </c>
      <c r="Y99" s="386">
        <f t="shared" si="143"/>
        <v>0</v>
      </c>
      <c r="Z99" s="603">
        <f t="shared" si="144"/>
        <v>0</v>
      </c>
      <c r="AA99" s="386">
        <f t="shared" si="106"/>
        <v>3.7042604918423376</v>
      </c>
      <c r="AB99" s="386">
        <f t="shared" si="107"/>
        <v>0.13721545791424036</v>
      </c>
      <c r="AC99" s="386">
        <f t="shared" si="108"/>
        <v>8.680690062024686E-2</v>
      </c>
      <c r="AD99" s="386">
        <f t="shared" si="109"/>
        <v>0</v>
      </c>
      <c r="AE99" s="386">
        <f t="shared" si="110"/>
        <v>0.23138837280970584</v>
      </c>
      <c r="AF99" s="386">
        <f t="shared" si="111"/>
        <v>0.89793940416734963</v>
      </c>
      <c r="AG99" s="386">
        <f t="shared" si="112"/>
        <v>8.0629517355641483E-3</v>
      </c>
      <c r="AH99" s="386">
        <f t="shared" si="113"/>
        <v>8.657999999999999E-2</v>
      </c>
      <c r="AI99" s="386">
        <f t="shared" si="114"/>
        <v>9.4820323087320191E-2</v>
      </c>
      <c r="AJ99" s="386">
        <f t="shared" si="115"/>
        <v>0.89793940416734985</v>
      </c>
      <c r="AK99" s="386">
        <f t="shared" si="116"/>
        <v>8.0629517355641517E-3</v>
      </c>
      <c r="AL99" s="386">
        <f t="shared" si="117"/>
        <v>0.10612653575380041</v>
      </c>
      <c r="AM99" s="386">
        <f t="shared" si="118"/>
        <v>0</v>
      </c>
      <c r="AN99" s="386">
        <f t="shared" si="119"/>
        <v>0.114403491209461</v>
      </c>
      <c r="AO99" s="386">
        <f t="shared" si="145"/>
        <v>3.7042604918423376</v>
      </c>
      <c r="AP99" s="386">
        <f t="shared" si="120"/>
        <v>0.13721545791424036</v>
      </c>
      <c r="AQ99" s="386">
        <f t="shared" si="121"/>
        <v>9.6199999999999994E-2</v>
      </c>
      <c r="AR99" s="386">
        <f t="shared" si="122"/>
        <v>0.24109032396913146</v>
      </c>
      <c r="AS99" s="386">
        <f t="shared" si="123"/>
        <v>0</v>
      </c>
      <c r="AT99" s="386">
        <f t="shared" si="124"/>
        <v>0</v>
      </c>
      <c r="AU99" s="386">
        <f t="shared" si="125"/>
        <v>4.2120060000000001E-2</v>
      </c>
      <c r="AV99" s="386">
        <f t="shared" si="126"/>
        <v>2.418885520669245E-2</v>
      </c>
      <c r="AW99" s="386">
        <f t="shared" si="127"/>
        <v>6.5920000000000006E-2</v>
      </c>
      <c r="AX99" s="386">
        <f t="shared" si="128"/>
        <v>3.6000000000000004E-2</v>
      </c>
      <c r="AY99" s="386">
        <f t="shared" si="129"/>
        <v>0.40226399999999995</v>
      </c>
      <c r="AZ99" s="386">
        <f t="shared" si="130"/>
        <v>0.30415082926829268</v>
      </c>
      <c r="BA99" s="386">
        <f t="shared" si="152"/>
        <v>0.43826399999999999</v>
      </c>
      <c r="BB99" s="386">
        <f t="shared" si="153"/>
        <v>1.4675124826664854</v>
      </c>
      <c r="BC99">
        <f t="shared" si="131"/>
        <v>43.2</v>
      </c>
      <c r="BD99" s="604">
        <f t="shared" si="146"/>
        <v>0.9671458650571606</v>
      </c>
      <c r="BE99" s="614">
        <f t="shared" si="132"/>
        <v>8.2477583869487372</v>
      </c>
      <c r="BF99" s="614">
        <f t="shared" si="133"/>
        <v>14.789416738609626</v>
      </c>
      <c r="BG99" s="9"/>
      <c r="BH99" s="4">
        <f t="shared" si="147"/>
        <v>96.714586505716056</v>
      </c>
      <c r="BI99" s="386">
        <f t="shared" si="148"/>
        <v>0.19475532001572554</v>
      </c>
      <c r="BJ99" s="386">
        <f t="shared" si="149"/>
        <v>0.72382257107561854</v>
      </c>
      <c r="BK99" s="386">
        <f t="shared" si="134"/>
        <v>0.142202730809461</v>
      </c>
      <c r="BL99" s="386">
        <f t="shared" si="135"/>
        <v>0.25498994376913148</v>
      </c>
      <c r="BM99" s="386">
        <f t="shared" si="150"/>
        <v>2.418885520669245E-2</v>
      </c>
      <c r="BS99" s="18"/>
      <c r="BT99" s="19"/>
    </row>
    <row r="100" spans="7:72" x14ac:dyDescent="0.2">
      <c r="G100">
        <v>91</v>
      </c>
      <c r="H100" s="610">
        <f t="shared" si="97"/>
        <v>12</v>
      </c>
      <c r="I100" s="4" t="str">
        <f t="shared" si="98"/>
        <v>BUCK-BST</v>
      </c>
      <c r="J100">
        <f t="shared" si="136"/>
        <v>3</v>
      </c>
      <c r="K100" s="386">
        <f t="shared" si="137"/>
        <v>3.64</v>
      </c>
      <c r="L100" s="4">
        <f t="shared" si="99"/>
        <v>4.0444444444444443</v>
      </c>
      <c r="M100" s="4">
        <f t="shared" si="151"/>
        <v>3.8538909475913181</v>
      </c>
      <c r="N100" s="386">
        <f t="shared" si="100"/>
        <v>0.94450000000000001</v>
      </c>
      <c r="O100" s="386">
        <f t="shared" si="101"/>
        <v>5.5500000000000028E-2</v>
      </c>
      <c r="P100" s="4">
        <f t="shared" si="102"/>
        <v>0</v>
      </c>
      <c r="Q100" s="4">
        <f t="shared" si="103"/>
        <v>3.8538909475913181</v>
      </c>
      <c r="R100" s="386">
        <f t="shared" si="138"/>
        <v>0.199176604251113</v>
      </c>
      <c r="S100" s="386">
        <f t="shared" si="139"/>
        <v>0</v>
      </c>
      <c r="T100" s="386">
        <f t="shared" si="140"/>
        <v>0.199176604251113</v>
      </c>
      <c r="U100" s="4">
        <f t="shared" si="104"/>
        <v>0.88236219843803287</v>
      </c>
      <c r="V100" s="386">
        <f t="shared" si="141"/>
        <v>2.1021202329274759E-2</v>
      </c>
      <c r="W100" s="386">
        <f t="shared" si="142"/>
        <v>2.1021202329274759E-2</v>
      </c>
      <c r="X100" s="4">
        <f t="shared" si="105"/>
        <v>0</v>
      </c>
      <c r="Y100" s="386">
        <f t="shared" si="143"/>
        <v>0</v>
      </c>
      <c r="Z100" s="603">
        <f t="shared" si="144"/>
        <v>0</v>
      </c>
      <c r="AA100" s="386">
        <f t="shared" si="106"/>
        <v>3.7454189417516965</v>
      </c>
      <c r="AB100" s="386">
        <f t="shared" si="107"/>
        <v>0.14028163049232398</v>
      </c>
      <c r="AC100" s="386">
        <f t="shared" si="108"/>
        <v>8.7771421738249603E-2</v>
      </c>
      <c r="AD100" s="386">
        <f t="shared" si="109"/>
        <v>0</v>
      </c>
      <c r="AE100" s="386">
        <f t="shared" si="110"/>
        <v>0.23572479543771513</v>
      </c>
      <c r="AF100" s="386">
        <f t="shared" si="111"/>
        <v>0.90791650865809792</v>
      </c>
      <c r="AG100" s="386">
        <f t="shared" si="112"/>
        <v>8.2431238669391001E-3</v>
      </c>
      <c r="AH100" s="386">
        <f t="shared" si="113"/>
        <v>8.7541999999999995E-2</v>
      </c>
      <c r="AI100" s="386">
        <f t="shared" si="114"/>
        <v>9.5968654776950504E-2</v>
      </c>
      <c r="AJ100" s="386">
        <f t="shared" si="115"/>
        <v>0.90791650865809814</v>
      </c>
      <c r="AK100" s="386">
        <f t="shared" si="116"/>
        <v>8.2431238669391036E-3</v>
      </c>
      <c r="AL100" s="386">
        <f t="shared" si="117"/>
        <v>0.10612653575380041</v>
      </c>
      <c r="AM100" s="386">
        <f t="shared" si="118"/>
        <v>0</v>
      </c>
      <c r="AN100" s="386">
        <f t="shared" si="119"/>
        <v>0.11458879978426897</v>
      </c>
      <c r="AO100" s="386">
        <f t="shared" si="145"/>
        <v>3.7454189417516965</v>
      </c>
      <c r="AP100" s="386">
        <f t="shared" si="120"/>
        <v>0.14028163049232398</v>
      </c>
      <c r="AQ100" s="386">
        <f t="shared" si="121"/>
        <v>9.7268888888888877E-2</v>
      </c>
      <c r="AR100" s="386">
        <f t="shared" si="122"/>
        <v>0.24554175898792155</v>
      </c>
      <c r="AS100" s="386">
        <f t="shared" si="123"/>
        <v>0</v>
      </c>
      <c r="AT100" s="386">
        <f t="shared" si="124"/>
        <v>0</v>
      </c>
      <c r="AU100" s="386">
        <f t="shared" si="125"/>
        <v>4.2340720600000006E-2</v>
      </c>
      <c r="AV100" s="386">
        <f t="shared" si="126"/>
        <v>2.4729371600817302E-2</v>
      </c>
      <c r="AW100" s="386">
        <f t="shared" si="127"/>
        <v>6.5920000000000006E-2</v>
      </c>
      <c r="AX100" s="386">
        <f t="shared" si="128"/>
        <v>3.6000000000000004E-2</v>
      </c>
      <c r="AY100" s="386">
        <f t="shared" si="129"/>
        <v>0.40226399999999995</v>
      </c>
      <c r="AZ100" s="386">
        <f t="shared" si="130"/>
        <v>0.30415082926829268</v>
      </c>
      <c r="BA100" s="386">
        <f t="shared" si="152"/>
        <v>0.43826399999999999</v>
      </c>
      <c r="BB100" s="386">
        <f t="shared" si="153"/>
        <v>1.4832759077680611</v>
      </c>
      <c r="BC100">
        <f t="shared" si="131"/>
        <v>43.68</v>
      </c>
      <c r="BD100" s="604">
        <f t="shared" si="146"/>
        <v>0.96715747744257541</v>
      </c>
      <c r="BE100" s="614">
        <f t="shared" si="132"/>
        <v>8.2669531720556009</v>
      </c>
      <c r="BF100" s="614">
        <f t="shared" si="133"/>
        <v>15.051823413583449</v>
      </c>
      <c r="BG100" s="9"/>
      <c r="BH100" s="4">
        <f t="shared" si="147"/>
        <v>96.715747744257541</v>
      </c>
      <c r="BI100" s="386">
        <f t="shared" si="148"/>
        <v>0.199176604251113</v>
      </c>
      <c r="BJ100" s="386">
        <f t="shared" si="149"/>
        <v>0.73416472958685619</v>
      </c>
      <c r="BK100" s="386">
        <f t="shared" si="134"/>
        <v>0.14253367538026898</v>
      </c>
      <c r="BL100" s="386">
        <f t="shared" si="135"/>
        <v>0.25951419678592152</v>
      </c>
      <c r="BM100" s="386">
        <f t="shared" si="150"/>
        <v>2.4729371600817302E-2</v>
      </c>
      <c r="BS100" s="18"/>
      <c r="BT100" s="19"/>
    </row>
    <row r="101" spans="7:72" x14ac:dyDescent="0.2">
      <c r="G101">
        <v>92</v>
      </c>
      <c r="H101" s="610">
        <f t="shared" si="97"/>
        <v>12</v>
      </c>
      <c r="I101" s="4" t="str">
        <f t="shared" si="98"/>
        <v>BUCK-BST</v>
      </c>
      <c r="J101">
        <f t="shared" si="136"/>
        <v>3</v>
      </c>
      <c r="K101" s="386">
        <f t="shared" si="137"/>
        <v>3.68</v>
      </c>
      <c r="L101" s="4">
        <f t="shared" si="99"/>
        <v>4.0888888888888886</v>
      </c>
      <c r="M101" s="4">
        <f t="shared" si="151"/>
        <v>3.8962413975648493</v>
      </c>
      <c r="N101" s="386">
        <f t="shared" si="100"/>
        <v>0.94450000000000001</v>
      </c>
      <c r="O101" s="386">
        <f t="shared" si="101"/>
        <v>5.5500000000000028E-2</v>
      </c>
      <c r="P101" s="4">
        <f t="shared" si="102"/>
        <v>0</v>
      </c>
      <c r="Q101" s="4">
        <f t="shared" si="103"/>
        <v>3.8962413975648493</v>
      </c>
      <c r="R101" s="386">
        <f t="shared" si="138"/>
        <v>0.20364987444917196</v>
      </c>
      <c r="S101" s="386">
        <f t="shared" si="139"/>
        <v>0</v>
      </c>
      <c r="T101" s="386">
        <f t="shared" si="140"/>
        <v>0.20364987444917196</v>
      </c>
      <c r="U101" s="4">
        <f t="shared" si="104"/>
        <v>0.89205848633295626</v>
      </c>
      <c r="V101" s="386">
        <f t="shared" si="141"/>
        <v>2.1485745262043415E-2</v>
      </c>
      <c r="W101" s="386">
        <f t="shared" si="142"/>
        <v>2.1485745262043415E-2</v>
      </c>
      <c r="X101" s="4">
        <f t="shared" si="105"/>
        <v>0</v>
      </c>
      <c r="Y101" s="386">
        <f t="shared" si="143"/>
        <v>0</v>
      </c>
      <c r="Z101" s="603">
        <f t="shared" si="144"/>
        <v>0</v>
      </c>
      <c r="AA101" s="386">
        <f t="shared" si="106"/>
        <v>3.7865773916610563</v>
      </c>
      <c r="AB101" s="386">
        <f t="shared" si="107"/>
        <v>0.14338168343038649</v>
      </c>
      <c r="AC101" s="386">
        <f t="shared" si="108"/>
        <v>8.8735942856252345E-2</v>
      </c>
      <c r="AD101" s="386">
        <f t="shared" si="109"/>
        <v>0</v>
      </c>
      <c r="AE101" s="386">
        <f t="shared" si="110"/>
        <v>0.24010459781949747</v>
      </c>
      <c r="AF101" s="386">
        <f t="shared" si="111"/>
        <v>0.91789361314884632</v>
      </c>
      <c r="AG101" s="386">
        <f t="shared" si="112"/>
        <v>8.4252868505944392E-3</v>
      </c>
      <c r="AH101" s="386">
        <f t="shared" si="113"/>
        <v>8.8503999999999999E-2</v>
      </c>
      <c r="AI101" s="386">
        <f t="shared" si="114"/>
        <v>9.7119122350353734E-2</v>
      </c>
      <c r="AJ101" s="386">
        <f t="shared" si="115"/>
        <v>0.91789361314884654</v>
      </c>
      <c r="AK101" s="386">
        <f t="shared" si="116"/>
        <v>8.4252868505944444E-3</v>
      </c>
      <c r="AL101" s="386">
        <f t="shared" si="117"/>
        <v>0.10612653575380041</v>
      </c>
      <c r="AM101" s="386">
        <f t="shared" si="118"/>
        <v>0</v>
      </c>
      <c r="AN101" s="386">
        <f t="shared" si="119"/>
        <v>0.11477617174797168</v>
      </c>
      <c r="AO101" s="386">
        <f t="shared" si="145"/>
        <v>3.7865773916610563</v>
      </c>
      <c r="AP101" s="386">
        <f t="shared" si="120"/>
        <v>0.14338168343038649</v>
      </c>
      <c r="AQ101" s="386">
        <f t="shared" si="121"/>
        <v>9.833777777777776E-2</v>
      </c>
      <c r="AR101" s="386">
        <f t="shared" si="122"/>
        <v>0.25003682377339853</v>
      </c>
      <c r="AS101" s="386">
        <f t="shared" si="123"/>
        <v>0</v>
      </c>
      <c r="AT101" s="386">
        <f t="shared" si="124"/>
        <v>0</v>
      </c>
      <c r="AU101" s="386">
        <f t="shared" si="125"/>
        <v>4.2561366400000009E-2</v>
      </c>
      <c r="AV101" s="386">
        <f t="shared" si="126"/>
        <v>2.5275860551783321E-2</v>
      </c>
      <c r="AW101" s="386">
        <f t="shared" si="127"/>
        <v>6.5920000000000006E-2</v>
      </c>
      <c r="AX101" s="386">
        <f t="shared" si="128"/>
        <v>3.6000000000000004E-2</v>
      </c>
      <c r="AY101" s="386">
        <f t="shared" si="129"/>
        <v>0.40226399999999995</v>
      </c>
      <c r="AZ101" s="386">
        <f t="shared" si="130"/>
        <v>0.30415082926829268</v>
      </c>
      <c r="BA101" s="386">
        <f t="shared" si="152"/>
        <v>0.43826399999999999</v>
      </c>
      <c r="BB101" s="386">
        <f t="shared" si="153"/>
        <v>1.4991935623542201</v>
      </c>
      <c r="BC101">
        <f t="shared" si="131"/>
        <v>44.160000000000004</v>
      </c>
      <c r="BD101" s="604">
        <f t="shared" si="146"/>
        <v>0.96716557071235043</v>
      </c>
      <c r="BE101" s="614">
        <f t="shared" si="132"/>
        <v>8.2862670671743572</v>
      </c>
      <c r="BF101" s="614">
        <f t="shared" si="133"/>
        <v>15.316760331753114</v>
      </c>
      <c r="BG101" s="9"/>
      <c r="BH101" s="4">
        <f t="shared" si="147"/>
        <v>96.716557071235044</v>
      </c>
      <c r="BI101" s="386">
        <f t="shared" si="148"/>
        <v>0.20364987444917196</v>
      </c>
      <c r="BJ101" s="386">
        <f t="shared" si="149"/>
        <v>0.74459808209122136</v>
      </c>
      <c r="BK101" s="386">
        <f t="shared" si="134"/>
        <v>0.14286667357197169</v>
      </c>
      <c r="BL101" s="386">
        <f t="shared" si="135"/>
        <v>0.26408207468539852</v>
      </c>
      <c r="BM101" s="386">
        <f t="shared" si="150"/>
        <v>2.5275860551783321E-2</v>
      </c>
      <c r="BS101" s="18"/>
      <c r="BT101" s="19"/>
    </row>
    <row r="102" spans="7:72" x14ac:dyDescent="0.2">
      <c r="G102">
        <v>93</v>
      </c>
      <c r="H102" s="610">
        <f t="shared" si="97"/>
        <v>12</v>
      </c>
      <c r="I102" s="4" t="str">
        <f t="shared" si="98"/>
        <v>BUCK-BST</v>
      </c>
      <c r="J102">
        <f t="shared" si="136"/>
        <v>3</v>
      </c>
      <c r="K102" s="386">
        <f t="shared" si="137"/>
        <v>3.72</v>
      </c>
      <c r="L102" s="4">
        <f t="shared" si="99"/>
        <v>4.1333333333333329</v>
      </c>
      <c r="M102" s="4">
        <f t="shared" si="151"/>
        <v>3.9385918475383801</v>
      </c>
      <c r="N102" s="386">
        <f t="shared" si="100"/>
        <v>0.94450000000000001</v>
      </c>
      <c r="O102" s="386">
        <f t="shared" si="101"/>
        <v>5.5500000000000028E-2</v>
      </c>
      <c r="P102" s="4">
        <f t="shared" si="102"/>
        <v>0</v>
      </c>
      <c r="Q102" s="4">
        <f t="shared" si="103"/>
        <v>3.9385918475383801</v>
      </c>
      <c r="R102" s="386">
        <f t="shared" si="138"/>
        <v>0.20817523724629394</v>
      </c>
      <c r="S102" s="386">
        <f t="shared" si="139"/>
        <v>0</v>
      </c>
      <c r="T102" s="386">
        <f t="shared" si="140"/>
        <v>0.20817523724629394</v>
      </c>
      <c r="U102" s="4">
        <f t="shared" si="104"/>
        <v>0.90175477422787975</v>
      </c>
      <c r="V102" s="386">
        <f t="shared" si="141"/>
        <v>2.1955365166754909E-2</v>
      </c>
      <c r="W102" s="386">
        <f t="shared" si="142"/>
        <v>2.1955365166754909E-2</v>
      </c>
      <c r="X102" s="4">
        <f t="shared" si="105"/>
        <v>0</v>
      </c>
      <c r="Y102" s="386">
        <f t="shared" si="143"/>
        <v>0</v>
      </c>
      <c r="Z102" s="603">
        <f t="shared" si="144"/>
        <v>0</v>
      </c>
      <c r="AA102" s="386">
        <f t="shared" si="106"/>
        <v>3.8277358415704152</v>
      </c>
      <c r="AB102" s="386">
        <f t="shared" si="107"/>
        <v>0.14651561672842775</v>
      </c>
      <c r="AC102" s="386">
        <f t="shared" si="108"/>
        <v>8.9700463974255087E-2</v>
      </c>
      <c r="AD102" s="386">
        <f t="shared" si="109"/>
        <v>0</v>
      </c>
      <c r="AE102" s="386">
        <f t="shared" si="110"/>
        <v>0.2445279837593877</v>
      </c>
      <c r="AF102" s="386">
        <f t="shared" si="111"/>
        <v>0.92787071763959461</v>
      </c>
      <c r="AG102" s="386">
        <f t="shared" si="112"/>
        <v>8.6094406865301638E-3</v>
      </c>
      <c r="AH102" s="386">
        <f t="shared" si="113"/>
        <v>8.9466000000000004E-2</v>
      </c>
      <c r="AI102" s="386">
        <f t="shared" si="114"/>
        <v>9.8271727676187276E-2</v>
      </c>
      <c r="AJ102" s="386">
        <f t="shared" si="115"/>
        <v>0.92787071763959483</v>
      </c>
      <c r="AK102" s="386">
        <f t="shared" si="116"/>
        <v>8.6094406865301672E-3</v>
      </c>
      <c r="AL102" s="386">
        <f t="shared" si="117"/>
        <v>0.10612653575380041</v>
      </c>
      <c r="AM102" s="386">
        <f t="shared" si="118"/>
        <v>0</v>
      </c>
      <c r="AN102" s="386">
        <f t="shared" si="119"/>
        <v>0.11496560762284877</v>
      </c>
      <c r="AO102" s="386">
        <f t="shared" si="145"/>
        <v>3.8277358415704152</v>
      </c>
      <c r="AP102" s="386">
        <f t="shared" si="120"/>
        <v>0.14651561672842775</v>
      </c>
      <c r="AQ102" s="386">
        <f t="shared" si="121"/>
        <v>9.9406666666666643E-2</v>
      </c>
      <c r="AR102" s="386">
        <f t="shared" si="122"/>
        <v>0.25457572550192681</v>
      </c>
      <c r="AS102" s="386">
        <f t="shared" si="123"/>
        <v>0</v>
      </c>
      <c r="AT102" s="386">
        <f t="shared" si="124"/>
        <v>0</v>
      </c>
      <c r="AU102" s="386">
        <f t="shared" si="125"/>
        <v>4.2781997400000001E-2</v>
      </c>
      <c r="AV102" s="386">
        <f t="shared" si="126"/>
        <v>2.5828322059590497E-2</v>
      </c>
      <c r="AW102" s="386">
        <f t="shared" si="127"/>
        <v>6.5920000000000006E-2</v>
      </c>
      <c r="AX102" s="386">
        <f t="shared" si="128"/>
        <v>3.6000000000000004E-2</v>
      </c>
      <c r="AY102" s="386">
        <f t="shared" si="129"/>
        <v>0.40226399999999995</v>
      </c>
      <c r="AZ102" s="386">
        <f t="shared" si="130"/>
        <v>0.30415082926829268</v>
      </c>
      <c r="BA102" s="386">
        <f t="shared" si="152"/>
        <v>0.43826399999999999</v>
      </c>
      <c r="BB102" s="386">
        <f t="shared" si="153"/>
        <v>1.5152659664329899</v>
      </c>
      <c r="BC102">
        <f t="shared" si="131"/>
        <v>44.64</v>
      </c>
      <c r="BD102" s="604">
        <f t="shared" si="146"/>
        <v>0.96717024732270007</v>
      </c>
      <c r="BE102" s="614">
        <f t="shared" si="132"/>
        <v>8.3057001025972284</v>
      </c>
      <c r="BF102" s="614">
        <f t="shared" si="133"/>
        <v>15.584239509347753</v>
      </c>
      <c r="BG102" s="9"/>
      <c r="BH102" s="4">
        <f t="shared" si="147"/>
        <v>96.717024732270005</v>
      </c>
      <c r="BI102" s="386">
        <f t="shared" si="148"/>
        <v>0.20817523724629394</v>
      </c>
      <c r="BJ102" s="386">
        <f t="shared" si="149"/>
        <v>0.75512304196035063</v>
      </c>
      <c r="BK102" s="386">
        <f t="shared" si="134"/>
        <v>0.14320172590684876</v>
      </c>
      <c r="BL102" s="386">
        <f t="shared" si="135"/>
        <v>0.26869378464392679</v>
      </c>
      <c r="BM102" s="386">
        <f t="shared" si="150"/>
        <v>2.5828322059590497E-2</v>
      </c>
      <c r="BS102" s="18"/>
      <c r="BT102" s="19"/>
    </row>
    <row r="103" spans="7:72" x14ac:dyDescent="0.2">
      <c r="G103">
        <v>94</v>
      </c>
      <c r="H103" s="610">
        <f t="shared" si="97"/>
        <v>12</v>
      </c>
      <c r="I103" s="4" t="str">
        <f t="shared" si="98"/>
        <v>BUCK-BST</v>
      </c>
      <c r="J103">
        <f t="shared" si="136"/>
        <v>3</v>
      </c>
      <c r="K103" s="386">
        <f t="shared" si="137"/>
        <v>3.76</v>
      </c>
      <c r="L103" s="4">
        <f t="shared" si="99"/>
        <v>4.1777777777777771</v>
      </c>
      <c r="M103" s="4">
        <f t="shared" si="151"/>
        <v>3.9809422975119109</v>
      </c>
      <c r="N103" s="386">
        <f t="shared" si="100"/>
        <v>0.94450000000000001</v>
      </c>
      <c r="O103" s="386">
        <f t="shared" si="101"/>
        <v>5.5500000000000028E-2</v>
      </c>
      <c r="P103" s="4">
        <f t="shared" si="102"/>
        <v>0</v>
      </c>
      <c r="Q103" s="4">
        <f t="shared" si="103"/>
        <v>3.9809422975119109</v>
      </c>
      <c r="R103" s="386">
        <f t="shared" si="138"/>
        <v>0.21275280063416185</v>
      </c>
      <c r="S103" s="386">
        <f t="shared" si="139"/>
        <v>0</v>
      </c>
      <c r="T103" s="386">
        <f t="shared" si="140"/>
        <v>0.21275280063416185</v>
      </c>
      <c r="U103" s="4">
        <f t="shared" si="104"/>
        <v>0.91145106212280314</v>
      </c>
      <c r="V103" s="386">
        <f t="shared" si="141"/>
        <v>2.2430062043409221E-2</v>
      </c>
      <c r="W103" s="386">
        <f t="shared" si="142"/>
        <v>2.2430062043409221E-2</v>
      </c>
      <c r="X103" s="4">
        <f t="shared" si="105"/>
        <v>0</v>
      </c>
      <c r="Y103" s="386">
        <f t="shared" si="143"/>
        <v>0</v>
      </c>
      <c r="Z103" s="603">
        <f t="shared" si="144"/>
        <v>0</v>
      </c>
      <c r="AA103" s="386">
        <f t="shared" si="106"/>
        <v>3.8688942914797746</v>
      </c>
      <c r="AB103" s="386">
        <f t="shared" si="107"/>
        <v>0.14968343038644788</v>
      </c>
      <c r="AC103" s="386">
        <f t="shared" si="108"/>
        <v>9.0664985092257816E-2</v>
      </c>
      <c r="AD103" s="386">
        <f t="shared" si="109"/>
        <v>0</v>
      </c>
      <c r="AE103" s="386">
        <f t="shared" si="110"/>
        <v>0.24899515980185893</v>
      </c>
      <c r="AF103" s="386">
        <f t="shared" si="111"/>
        <v>0.9378478221303429</v>
      </c>
      <c r="AG103" s="386">
        <f t="shared" si="112"/>
        <v>8.7955853747462738E-3</v>
      </c>
      <c r="AH103" s="386">
        <f t="shared" si="113"/>
        <v>9.0427999999999994E-2</v>
      </c>
      <c r="AI103" s="386">
        <f t="shared" si="114"/>
        <v>9.9426472629363244E-2</v>
      </c>
      <c r="AJ103" s="386">
        <f t="shared" si="115"/>
        <v>0.93784782213034312</v>
      </c>
      <c r="AK103" s="386">
        <f t="shared" si="116"/>
        <v>8.7955853747462773E-3</v>
      </c>
      <c r="AL103" s="386">
        <f t="shared" si="117"/>
        <v>0.10612653575380041</v>
      </c>
      <c r="AM103" s="386">
        <f t="shared" si="118"/>
        <v>0</v>
      </c>
      <c r="AN103" s="386">
        <f t="shared" si="119"/>
        <v>0.11515710793700025</v>
      </c>
      <c r="AO103" s="386">
        <f t="shared" si="145"/>
        <v>3.8688942914797746</v>
      </c>
      <c r="AP103" s="386">
        <f t="shared" si="120"/>
        <v>0.14968343038644788</v>
      </c>
      <c r="AQ103" s="386">
        <f t="shared" si="121"/>
        <v>0.10047555555555554</v>
      </c>
      <c r="AR103" s="386">
        <f t="shared" si="122"/>
        <v>0.25915867411249371</v>
      </c>
      <c r="AS103" s="386">
        <f t="shared" si="123"/>
        <v>0</v>
      </c>
      <c r="AT103" s="386">
        <f t="shared" si="124"/>
        <v>0</v>
      </c>
      <c r="AU103" s="386">
        <f t="shared" si="125"/>
        <v>4.3002613600000003E-2</v>
      </c>
      <c r="AV103" s="386">
        <f t="shared" si="126"/>
        <v>2.6386756124238825E-2</v>
      </c>
      <c r="AW103" s="386">
        <f t="shared" si="127"/>
        <v>6.5920000000000006E-2</v>
      </c>
      <c r="AX103" s="386">
        <f t="shared" si="128"/>
        <v>3.6000000000000004E-2</v>
      </c>
      <c r="AY103" s="386">
        <f t="shared" si="129"/>
        <v>0.40226399999999995</v>
      </c>
      <c r="AZ103" s="386">
        <f t="shared" si="130"/>
        <v>0.30415082926829268</v>
      </c>
      <c r="BA103" s="386">
        <f t="shared" si="152"/>
        <v>0.43826399999999999</v>
      </c>
      <c r="BB103" s="386">
        <f t="shared" si="153"/>
        <v>1.531493646882526</v>
      </c>
      <c r="BC103">
        <f t="shared" si="131"/>
        <v>45.12</v>
      </c>
      <c r="BD103" s="604">
        <f t="shared" si="146"/>
        <v>0.9671716052978967</v>
      </c>
      <c r="BE103" s="614">
        <f t="shared" si="132"/>
        <v>8.3252523089540151</v>
      </c>
      <c r="BF103" s="614">
        <f t="shared" si="133"/>
        <v>15.854273122828635</v>
      </c>
      <c r="BG103" s="9"/>
      <c r="BH103" s="4">
        <f t="shared" si="147"/>
        <v>96.717160529789666</v>
      </c>
      <c r="BI103" s="386">
        <f t="shared" si="148"/>
        <v>0.21275280063416185</v>
      </c>
      <c r="BJ103" s="386">
        <f t="shared" si="149"/>
        <v>0.76574002808071617</v>
      </c>
      <c r="BK103" s="386">
        <f t="shared" si="134"/>
        <v>0.14353883291300026</v>
      </c>
      <c r="BL103" s="386">
        <f t="shared" si="135"/>
        <v>0.27334953660049371</v>
      </c>
      <c r="BM103" s="386">
        <f t="shared" si="150"/>
        <v>2.6386756124238825E-2</v>
      </c>
      <c r="BS103" s="18"/>
      <c r="BT103" s="19"/>
    </row>
    <row r="104" spans="7:72" x14ac:dyDescent="0.2">
      <c r="G104">
        <v>95</v>
      </c>
      <c r="H104" s="610">
        <f t="shared" si="97"/>
        <v>12</v>
      </c>
      <c r="I104" s="4" t="str">
        <f t="shared" si="98"/>
        <v>BUCK-BST</v>
      </c>
      <c r="J104">
        <f t="shared" si="136"/>
        <v>3</v>
      </c>
      <c r="K104" s="386">
        <f t="shared" si="137"/>
        <v>3.8</v>
      </c>
      <c r="L104" s="4">
        <f t="shared" si="99"/>
        <v>4.2222222222222214</v>
      </c>
      <c r="M104" s="4">
        <f t="shared" si="151"/>
        <v>4.0232927474854421</v>
      </c>
      <c r="N104" s="386">
        <f t="shared" si="100"/>
        <v>0.94450000000000001</v>
      </c>
      <c r="O104" s="386">
        <f t="shared" si="101"/>
        <v>5.5500000000000028E-2</v>
      </c>
      <c r="P104" s="4">
        <f t="shared" si="102"/>
        <v>0</v>
      </c>
      <c r="Q104" s="4">
        <f t="shared" si="103"/>
        <v>4.0232927474854421</v>
      </c>
      <c r="R104" s="386">
        <f t="shared" si="138"/>
        <v>0.21738267396632746</v>
      </c>
      <c r="S104" s="386">
        <f t="shared" si="139"/>
        <v>0</v>
      </c>
      <c r="T104" s="386">
        <f t="shared" si="140"/>
        <v>0.21738267396632746</v>
      </c>
      <c r="U104" s="4">
        <f t="shared" si="104"/>
        <v>0.92114735001772652</v>
      </c>
      <c r="V104" s="386">
        <f t="shared" si="141"/>
        <v>2.2909835892006361E-2</v>
      </c>
      <c r="W104" s="386">
        <f t="shared" si="142"/>
        <v>2.2909835892006361E-2</v>
      </c>
      <c r="X104" s="4">
        <f t="shared" si="105"/>
        <v>0</v>
      </c>
      <c r="Y104" s="386">
        <f t="shared" si="143"/>
        <v>0</v>
      </c>
      <c r="Z104" s="603">
        <f t="shared" si="144"/>
        <v>0</v>
      </c>
      <c r="AA104" s="386">
        <f t="shared" si="106"/>
        <v>3.9100527413891339</v>
      </c>
      <c r="AB104" s="386">
        <f t="shared" si="107"/>
        <v>0.15288512440444682</v>
      </c>
      <c r="AC104" s="386">
        <f t="shared" si="108"/>
        <v>9.1629506210260545E-2</v>
      </c>
      <c r="AD104" s="386">
        <f t="shared" si="109"/>
        <v>0</v>
      </c>
      <c r="AE104" s="386">
        <f t="shared" si="110"/>
        <v>0.25350633525868199</v>
      </c>
      <c r="AF104" s="386">
        <f t="shared" si="111"/>
        <v>0.9478249266210913</v>
      </c>
      <c r="AG104" s="386">
        <f t="shared" si="112"/>
        <v>8.9837209152427711E-3</v>
      </c>
      <c r="AH104" s="386">
        <f t="shared" si="113"/>
        <v>9.1389999999999985E-2</v>
      </c>
      <c r="AI104" s="386">
        <f t="shared" si="114"/>
        <v>0.10058335909105844</v>
      </c>
      <c r="AJ104" s="386">
        <f t="shared" si="115"/>
        <v>0.94782492662109152</v>
      </c>
      <c r="AK104" s="386">
        <f t="shared" si="116"/>
        <v>8.9837209152427763E-3</v>
      </c>
      <c r="AL104" s="386">
        <f t="shared" si="117"/>
        <v>0.10612653575380041</v>
      </c>
      <c r="AM104" s="386">
        <f t="shared" si="118"/>
        <v>0</v>
      </c>
      <c r="AN104" s="386">
        <f t="shared" si="119"/>
        <v>0.11535067322435003</v>
      </c>
      <c r="AO104" s="386">
        <f t="shared" si="145"/>
        <v>3.9100527413891339</v>
      </c>
      <c r="AP104" s="386">
        <f t="shared" si="120"/>
        <v>0.15288512440444682</v>
      </c>
      <c r="AQ104" s="386">
        <f t="shared" si="121"/>
        <v>0.10154444444444442</v>
      </c>
      <c r="AR104" s="386">
        <f t="shared" si="122"/>
        <v>0.26378588233423012</v>
      </c>
      <c r="AS104" s="386">
        <f t="shared" si="123"/>
        <v>0</v>
      </c>
      <c r="AT104" s="386">
        <f t="shared" si="124"/>
        <v>0</v>
      </c>
      <c r="AU104" s="386">
        <f t="shared" si="125"/>
        <v>4.3223214999999995E-2</v>
      </c>
      <c r="AV104" s="386">
        <f t="shared" si="126"/>
        <v>2.695116274572832E-2</v>
      </c>
      <c r="AW104" s="386">
        <f t="shared" si="127"/>
        <v>6.5920000000000006E-2</v>
      </c>
      <c r="AX104" s="386">
        <f t="shared" si="128"/>
        <v>3.6000000000000004E-2</v>
      </c>
      <c r="AY104" s="386">
        <f t="shared" si="129"/>
        <v>0.40226399999999995</v>
      </c>
      <c r="AZ104" s="386">
        <f t="shared" si="130"/>
        <v>0.30415082926829268</v>
      </c>
      <c r="BA104" s="386">
        <f t="shared" si="152"/>
        <v>0.43826399999999999</v>
      </c>
      <c r="BB104" s="386">
        <f t="shared" si="153"/>
        <v>1.5478771375123828</v>
      </c>
      <c r="BC104">
        <f t="shared" si="131"/>
        <v>45.599999999999994</v>
      </c>
      <c r="BD104" s="604">
        <f t="shared" si="146"/>
        <v>0.96716973845931997</v>
      </c>
      <c r="BE104" s="614">
        <f t="shared" si="132"/>
        <v>8.3449237172122999</v>
      </c>
      <c r="BF104" s="614">
        <f t="shared" si="133"/>
        <v>16.126873510485346</v>
      </c>
      <c r="BG104" s="9"/>
      <c r="BH104" s="4">
        <f t="shared" si="147"/>
        <v>96.716973845932003</v>
      </c>
      <c r="BI104" s="386">
        <f t="shared" si="148"/>
        <v>0.21738267396632746</v>
      </c>
      <c r="BJ104" s="386">
        <f t="shared" si="149"/>
        <v>0.77644946490832067</v>
      </c>
      <c r="BK104" s="386">
        <f t="shared" si="134"/>
        <v>0.14387799512435001</v>
      </c>
      <c r="BL104" s="386">
        <f t="shared" si="135"/>
        <v>0.27804954328423009</v>
      </c>
      <c r="BM104" s="386">
        <f t="shared" si="150"/>
        <v>2.695116274572832E-2</v>
      </c>
      <c r="BS104" s="18"/>
      <c r="BT104" s="19"/>
    </row>
    <row r="105" spans="7:72" x14ac:dyDescent="0.2">
      <c r="G105">
        <v>96</v>
      </c>
      <c r="H105" s="610">
        <f t="shared" si="97"/>
        <v>12</v>
      </c>
      <c r="I105" s="4" t="str">
        <f t="shared" ref="I105:I109" si="154">IF(H105&gt;VIN_BB_to_buck, "BUCK", IF(H105&lt;VIN_boost_to_BB,"BOOST","BUCK-BST"))</f>
        <v>BUCK-BST</v>
      </c>
      <c r="J105">
        <f t="shared" si="136"/>
        <v>3</v>
      </c>
      <c r="K105" s="386">
        <f t="shared" si="137"/>
        <v>3.84</v>
      </c>
      <c r="L105" s="4">
        <f t="shared" ref="L105:L109" si="155">Vout*K105/(Vin*Efficiency)</f>
        <v>4.2666666666666666</v>
      </c>
      <c r="M105" s="4">
        <f t="shared" si="151"/>
        <v>4.0656431974589724</v>
      </c>
      <c r="N105" s="386">
        <f t="shared" si="100"/>
        <v>0.94450000000000001</v>
      </c>
      <c r="O105" s="386">
        <f t="shared" si="101"/>
        <v>5.5500000000000028E-2</v>
      </c>
      <c r="P105" s="4">
        <f t="shared" ref="P105:P109" si="156">MAX(0, CHOOSE(J105, (Vin-(Rdson1+Rdcr)*K105-Vout)*N105/(Fsw*Lf), (Vin-(Rdson4+Rdcr+Rs)*L105)*O105/(Fsw*Lf), IF(Vin&lt;Vout, (Vin-(Rdson4+Rdcr+Rs)*L105)*O105/(0.5*Fsw*Lf),(Vin-(Rdson1+Rdcr)*K105-Vout)*N105/(0.5*Fsw*Lf))))</f>
        <v>0</v>
      </c>
      <c r="Q105" s="4">
        <f t="shared" ref="Q105:Q109" si="157">CHOOSE(J105, SQRT(K105^2+(P105^2)/12), SQRT(L105^2+(P105^2)/12), SQRT(M105^2+(P105^2)/12))</f>
        <v>4.0656431974589724</v>
      </c>
      <c r="R105" s="386">
        <f t="shared" si="138"/>
        <v>0.22206496796488187</v>
      </c>
      <c r="S105" s="386">
        <f t="shared" si="139"/>
        <v>0</v>
      </c>
      <c r="T105" s="386">
        <f t="shared" si="140"/>
        <v>0.22206496796488187</v>
      </c>
      <c r="U105" s="4">
        <f t="shared" si="104"/>
        <v>0.93084363791265001</v>
      </c>
      <c r="V105" s="386">
        <f t="shared" si="141"/>
        <v>2.3394686712546329E-2</v>
      </c>
      <c r="W105" s="386">
        <f t="shared" si="142"/>
        <v>2.3394686712546329E-2</v>
      </c>
      <c r="X105" s="4">
        <f t="shared" si="105"/>
        <v>0</v>
      </c>
      <c r="Y105" s="386">
        <f t="shared" si="143"/>
        <v>0</v>
      </c>
      <c r="Z105" s="603">
        <f t="shared" si="144"/>
        <v>0</v>
      </c>
      <c r="AA105" s="386">
        <f t="shared" si="106"/>
        <v>3.9512111912984924</v>
      </c>
      <c r="AB105" s="386">
        <f t="shared" ref="AB105:AB109" si="158">Rdson1*AA105^2</f>
        <v>0.15612069878242452</v>
      </c>
      <c r="AC105" s="386">
        <f t="shared" si="108"/>
        <v>9.2594027328263315E-2</v>
      </c>
      <c r="AD105" s="386">
        <f t="shared" si="109"/>
        <v>0</v>
      </c>
      <c r="AE105" s="386">
        <f t="shared" ref="AE105:AE109" si="159">(AD105+AC105+AB105*(1+RdsonTopTc*Ta-RdsonTopTc*25))/(1-AB105*RdsonTopTc*ThetaJA_Q1)</f>
        <v>0.25806172223654711</v>
      </c>
      <c r="AF105" s="386">
        <f t="shared" si="111"/>
        <v>0.95780203111183948</v>
      </c>
      <c r="AG105" s="386">
        <f t="shared" ref="AG105:AG109" si="160">Rdson2*AF105^2</f>
        <v>9.173847308019652E-3</v>
      </c>
      <c r="AH105" s="386">
        <f t="shared" si="113"/>
        <v>9.235199999999999E-2</v>
      </c>
      <c r="AI105" s="386">
        <f t="shared" ref="AI105:AI109" si="161">(AH105+AG105*(1+RdsonBotTc*Ta-RdsonBotTc*25))/(1-AG105*RdsonBotTc*ThetaJA_Q2)</f>
        <v>0.10174238894872438</v>
      </c>
      <c r="AJ105" s="386">
        <f t="shared" si="115"/>
        <v>0.9578020311118397</v>
      </c>
      <c r="AK105" s="386">
        <f t="shared" ref="AK105:AK109" si="162">Rdson4*AJ105^2</f>
        <v>9.1738473080196555E-3</v>
      </c>
      <c r="AL105" s="386">
        <f t="shared" si="117"/>
        <v>0.10612653575380041</v>
      </c>
      <c r="AM105" s="386">
        <f t="shared" si="118"/>
        <v>0</v>
      </c>
      <c r="AN105" s="386">
        <f t="shared" ref="AN105:AN109" si="163">(AM105+AL105+AK105*(1+RdsonTopTc*Ta-RdsonTopTc*25))/(1-AK105*RdsonTopTc*ThetaJA_Q4)</f>
        <v>0.11554630402464978</v>
      </c>
      <c r="AO105" s="386">
        <f t="shared" si="145"/>
        <v>3.9512111912984924</v>
      </c>
      <c r="AP105" s="386">
        <f t="shared" ref="AP105:AP109" si="164">Rdson3*AO105^2</f>
        <v>0.15612069878242452</v>
      </c>
      <c r="AQ105" s="386">
        <f t="shared" si="121"/>
        <v>0.10261333333333332</v>
      </c>
      <c r="AR105" s="386">
        <f t="shared" ref="AR105:AR109" si="165">(AQ105+AP105*(1+RdsonBotTc*Ta-RdsonBotTc*25))/(1-AP105*RdsonBotTc*ThetaJA_Q3)</f>
        <v>0.26845756571439827</v>
      </c>
      <c r="AS105" s="386">
        <f t="shared" si="123"/>
        <v>0</v>
      </c>
      <c r="AT105" s="386">
        <f t="shared" si="124"/>
        <v>0</v>
      </c>
      <c r="AU105" s="386">
        <f t="shared" si="125"/>
        <v>4.3443801599999998E-2</v>
      </c>
      <c r="AV105" s="386">
        <f t="shared" si="126"/>
        <v>2.7521541924058961E-2</v>
      </c>
      <c r="AW105" s="386">
        <f t="shared" si="127"/>
        <v>6.5920000000000006E-2</v>
      </c>
      <c r="AX105" s="386">
        <f t="shared" si="128"/>
        <v>3.6000000000000004E-2</v>
      </c>
      <c r="AY105" s="386">
        <f t="shared" si="129"/>
        <v>0.40226399999999995</v>
      </c>
      <c r="AZ105" s="386">
        <f t="shared" si="130"/>
        <v>0.30415082926829268</v>
      </c>
      <c r="BA105" s="386">
        <f t="shared" si="152"/>
        <v>0.43826399999999999</v>
      </c>
      <c r="BB105" s="386">
        <f t="shared" si="153"/>
        <v>1.5644169791258065</v>
      </c>
      <c r="BC105">
        <f t="shared" si="131"/>
        <v>46.08</v>
      </c>
      <c r="BD105" s="604">
        <f t="shared" si="146"/>
        <v>0.96716473664036606</v>
      </c>
      <c r="BE105" s="614">
        <f t="shared" si="132"/>
        <v>8.3647143586776878</v>
      </c>
      <c r="BF105" s="614">
        <f t="shared" si="133"/>
        <v>16.402053174059098</v>
      </c>
      <c r="BG105" s="9"/>
      <c r="BH105" s="4">
        <f t="shared" si="147"/>
        <v>96.716473664036613</v>
      </c>
      <c r="BI105" s="386">
        <f t="shared" si="148"/>
        <v>0.22206496796488187</v>
      </c>
      <c r="BJ105" s="386">
        <f t="shared" si="149"/>
        <v>0.78725178252431949</v>
      </c>
      <c r="BK105" s="386">
        <f t="shared" si="134"/>
        <v>0.14421921308064978</v>
      </c>
      <c r="BL105" s="386">
        <f t="shared" si="135"/>
        <v>0.28279402024239825</v>
      </c>
      <c r="BM105" s="386">
        <f t="shared" si="150"/>
        <v>2.7521541924058961E-2</v>
      </c>
      <c r="BS105" s="18"/>
      <c r="BT105" s="19"/>
    </row>
    <row r="106" spans="7:72" x14ac:dyDescent="0.2">
      <c r="G106">
        <v>97</v>
      </c>
      <c r="H106" s="610">
        <f t="shared" si="97"/>
        <v>12</v>
      </c>
      <c r="I106" s="4" t="str">
        <f t="shared" si="154"/>
        <v>BUCK-BST</v>
      </c>
      <c r="J106">
        <f t="shared" si="136"/>
        <v>3</v>
      </c>
      <c r="K106" s="386">
        <f t="shared" si="137"/>
        <v>3.88</v>
      </c>
      <c r="L106" s="4">
        <f t="shared" si="155"/>
        <v>4.3111111111111109</v>
      </c>
      <c r="M106" s="4">
        <f t="shared" si="151"/>
        <v>4.1079936474325036</v>
      </c>
      <c r="N106" s="386">
        <f t="shared" si="100"/>
        <v>0.94450000000000001</v>
      </c>
      <c r="O106" s="386">
        <f t="shared" si="101"/>
        <v>5.5500000000000028E-2</v>
      </c>
      <c r="P106" s="4">
        <f t="shared" si="156"/>
        <v>0</v>
      </c>
      <c r="Q106" s="4">
        <f t="shared" si="157"/>
        <v>4.1079936474325036</v>
      </c>
      <c r="R106" s="386">
        <f t="shared" si="138"/>
        <v>0.22679979472721984</v>
      </c>
      <c r="S106" s="386">
        <f t="shared" si="139"/>
        <v>0</v>
      </c>
      <c r="T106" s="386">
        <f t="shared" si="140"/>
        <v>0.22679979472721984</v>
      </c>
      <c r="U106" s="4">
        <f t="shared" si="104"/>
        <v>0.9405399258075734</v>
      </c>
      <c r="V106" s="386">
        <f t="shared" si="141"/>
        <v>2.3884614505029125E-2</v>
      </c>
      <c r="W106" s="386">
        <f t="shared" si="142"/>
        <v>2.3884614505029125E-2</v>
      </c>
      <c r="X106" s="4">
        <f t="shared" si="105"/>
        <v>0</v>
      </c>
      <c r="Y106" s="386">
        <f t="shared" si="143"/>
        <v>0</v>
      </c>
      <c r="Z106" s="603">
        <f t="shared" si="144"/>
        <v>0</v>
      </c>
      <c r="AA106" s="386">
        <f t="shared" si="106"/>
        <v>3.9923696412078522</v>
      </c>
      <c r="AB106" s="386">
        <f t="shared" si="158"/>
        <v>0.15939015352038113</v>
      </c>
      <c r="AC106" s="386">
        <f t="shared" si="108"/>
        <v>9.3558548446266057E-2</v>
      </c>
      <c r="AD106" s="386">
        <f t="shared" si="109"/>
        <v>0</v>
      </c>
      <c r="AE106" s="386">
        <f t="shared" si="159"/>
        <v>0.26266153566515499</v>
      </c>
      <c r="AF106" s="386">
        <f t="shared" si="111"/>
        <v>0.96777913560258788</v>
      </c>
      <c r="AG106" s="386">
        <f t="shared" si="160"/>
        <v>9.365964553076922E-3</v>
      </c>
      <c r="AH106" s="386">
        <f t="shared" si="113"/>
        <v>9.3313999999999994E-2</v>
      </c>
      <c r="AI106" s="386">
        <f t="shared" si="161"/>
        <v>0.10290356409609748</v>
      </c>
      <c r="AJ106" s="386">
        <f t="shared" si="115"/>
        <v>0.9677791356025881</v>
      </c>
      <c r="AK106" s="386">
        <f t="shared" si="162"/>
        <v>9.3659645530769272E-3</v>
      </c>
      <c r="AL106" s="386">
        <f t="shared" si="117"/>
        <v>0.10612653575380041</v>
      </c>
      <c r="AM106" s="386">
        <f t="shared" si="118"/>
        <v>0</v>
      </c>
      <c r="AN106" s="386">
        <f t="shared" si="163"/>
        <v>0.11574400088348272</v>
      </c>
      <c r="AO106" s="386">
        <f t="shared" si="145"/>
        <v>3.9923696412078522</v>
      </c>
      <c r="AP106" s="386">
        <f t="shared" si="164"/>
        <v>0.15939015352038113</v>
      </c>
      <c r="AQ106" s="386">
        <f t="shared" si="121"/>
        <v>0.10368222222222222</v>
      </c>
      <c r="AR106" s="386">
        <f t="shared" si="165"/>
        <v>0.27317394264685324</v>
      </c>
      <c r="AS106" s="386">
        <f t="shared" si="123"/>
        <v>0</v>
      </c>
      <c r="AT106" s="386">
        <f t="shared" si="124"/>
        <v>0</v>
      </c>
      <c r="AU106" s="386">
        <f t="shared" si="125"/>
        <v>4.3664373399999998E-2</v>
      </c>
      <c r="AV106" s="386">
        <f t="shared" si="126"/>
        <v>2.8097893659230773E-2</v>
      </c>
      <c r="AW106" s="386">
        <f t="shared" si="127"/>
        <v>6.5920000000000006E-2</v>
      </c>
      <c r="AX106" s="386">
        <f t="shared" si="128"/>
        <v>3.6000000000000004E-2</v>
      </c>
      <c r="AY106" s="386">
        <f t="shared" si="129"/>
        <v>0.40226399999999995</v>
      </c>
      <c r="AZ106" s="386">
        <f t="shared" si="130"/>
        <v>0.30415082926829268</v>
      </c>
      <c r="BA106" s="386">
        <f t="shared" si="152"/>
        <v>0.43826399999999999</v>
      </c>
      <c r="BB106" s="386">
        <f t="shared" si="153"/>
        <v>1.581113719583068</v>
      </c>
      <c r="BC106">
        <f t="shared" si="131"/>
        <v>46.56</v>
      </c>
      <c r="BD106" s="604">
        <f t="shared" si="146"/>
        <v>0.96715668588822257</v>
      </c>
      <c r="BE106" s="614">
        <f t="shared" si="132"/>
        <v>8.3846242649939988</v>
      </c>
      <c r="BF106" s="614">
        <f t="shared" si="133"/>
        <v>16.679824780393488</v>
      </c>
      <c r="BG106" s="9"/>
      <c r="BH106" s="4">
        <f t="shared" si="147"/>
        <v>96.715668588822254</v>
      </c>
      <c r="BI106" s="386">
        <f t="shared" si="148"/>
        <v>0.22679979472721984</v>
      </c>
      <c r="BJ106" s="386">
        <f t="shared" si="149"/>
        <v>0.7981474166915884</v>
      </c>
      <c r="BK106" s="386">
        <f t="shared" si="134"/>
        <v>0.14456248732748272</v>
      </c>
      <c r="BL106" s="386">
        <f t="shared" si="135"/>
        <v>0.28758318586885323</v>
      </c>
      <c r="BM106" s="386">
        <f t="shared" si="150"/>
        <v>2.8097893659230773E-2</v>
      </c>
      <c r="BS106" s="18"/>
      <c r="BT106" s="19"/>
    </row>
    <row r="107" spans="7:72" x14ac:dyDescent="0.2">
      <c r="G107">
        <v>98</v>
      </c>
      <c r="H107" s="610">
        <f t="shared" si="97"/>
        <v>12</v>
      </c>
      <c r="I107" s="4" t="str">
        <f t="shared" si="154"/>
        <v>BUCK-BST</v>
      </c>
      <c r="J107">
        <f t="shared" si="136"/>
        <v>3</v>
      </c>
      <c r="K107" s="386">
        <f t="shared" si="137"/>
        <v>3.92</v>
      </c>
      <c r="L107" s="4">
        <f t="shared" si="155"/>
        <v>4.3555555555555552</v>
      </c>
      <c r="M107" s="4">
        <f t="shared" si="151"/>
        <v>4.1503440974060348</v>
      </c>
      <c r="N107" s="386">
        <f t="shared" si="100"/>
        <v>0.94450000000000001</v>
      </c>
      <c r="O107" s="386">
        <f t="shared" si="101"/>
        <v>5.5500000000000028E-2</v>
      </c>
      <c r="P107" s="4">
        <f t="shared" si="156"/>
        <v>0</v>
      </c>
      <c r="Q107" s="4">
        <f t="shared" si="157"/>
        <v>4.1503440974060348</v>
      </c>
      <c r="R107" s="386">
        <f t="shared" si="138"/>
        <v>0.23158726773289809</v>
      </c>
      <c r="S107" s="386">
        <f t="shared" si="139"/>
        <v>0</v>
      </c>
      <c r="T107" s="386">
        <f t="shared" si="140"/>
        <v>0.23158726773289809</v>
      </c>
      <c r="U107" s="4">
        <f t="shared" si="104"/>
        <v>0.95023621370249689</v>
      </c>
      <c r="V107" s="386">
        <f t="shared" si="141"/>
        <v>2.4379619269454748E-2</v>
      </c>
      <c r="W107" s="386">
        <f t="shared" si="142"/>
        <v>2.4379619269454748E-2</v>
      </c>
      <c r="X107" s="4">
        <f t="shared" si="105"/>
        <v>0</v>
      </c>
      <c r="Y107" s="386">
        <f t="shared" si="143"/>
        <v>0</v>
      </c>
      <c r="Z107" s="603">
        <f t="shared" si="144"/>
        <v>0</v>
      </c>
      <c r="AA107" s="386">
        <f t="shared" si="106"/>
        <v>4.033528091117212</v>
      </c>
      <c r="AB107" s="386">
        <f t="shared" si="158"/>
        <v>0.16269348861831659</v>
      </c>
      <c r="AC107" s="386">
        <f t="shared" si="108"/>
        <v>9.45230695642688E-2</v>
      </c>
      <c r="AD107" s="386">
        <f t="shared" si="109"/>
        <v>0</v>
      </c>
      <c r="AE107" s="386">
        <f t="shared" si="159"/>
        <v>0.26730599332578486</v>
      </c>
      <c r="AF107" s="386">
        <f t="shared" si="111"/>
        <v>0.97775624009333628</v>
      </c>
      <c r="AG107" s="386">
        <f t="shared" si="160"/>
        <v>9.5600726504145792E-3</v>
      </c>
      <c r="AH107" s="386">
        <f t="shared" si="113"/>
        <v>9.4275999999999999E-2</v>
      </c>
      <c r="AI107" s="386">
        <f t="shared" si="161"/>
        <v>0.10406688643320909</v>
      </c>
      <c r="AJ107" s="386">
        <f t="shared" si="115"/>
        <v>0.9777562400933365</v>
      </c>
      <c r="AK107" s="386">
        <f t="shared" si="162"/>
        <v>9.5600726504145826E-3</v>
      </c>
      <c r="AL107" s="386">
        <f t="shared" si="117"/>
        <v>0.10612653575380041</v>
      </c>
      <c r="AM107" s="386">
        <f t="shared" si="118"/>
        <v>0</v>
      </c>
      <c r="AN107" s="386">
        <f t="shared" si="163"/>
        <v>0.11594376435226728</v>
      </c>
      <c r="AO107" s="386">
        <f t="shared" si="145"/>
        <v>4.033528091117212</v>
      </c>
      <c r="AP107" s="386">
        <f t="shared" si="164"/>
        <v>0.16269348861831659</v>
      </c>
      <c r="AQ107" s="386">
        <f t="shared" si="121"/>
        <v>0.1047511111111111</v>
      </c>
      <c r="AR107" s="386">
        <f t="shared" si="165"/>
        <v>0.27793523440098555</v>
      </c>
      <c r="AS107" s="386">
        <f t="shared" si="123"/>
        <v>0</v>
      </c>
      <c r="AT107" s="386">
        <f t="shared" si="124"/>
        <v>0</v>
      </c>
      <c r="AU107" s="386">
        <f t="shared" si="125"/>
        <v>4.3884930400000001E-2</v>
      </c>
      <c r="AV107" s="386">
        <f t="shared" si="126"/>
        <v>2.8680217951243741E-2</v>
      </c>
      <c r="AW107" s="386">
        <f t="shared" si="127"/>
        <v>6.5920000000000006E-2</v>
      </c>
      <c r="AX107" s="386">
        <f t="shared" si="128"/>
        <v>3.6000000000000004E-2</v>
      </c>
      <c r="AY107" s="386">
        <f t="shared" si="129"/>
        <v>0.40226399999999995</v>
      </c>
      <c r="AZ107" s="386">
        <f t="shared" si="130"/>
        <v>0.30415082926829268</v>
      </c>
      <c r="BA107" s="386">
        <f t="shared" si="152"/>
        <v>0.43826399999999999</v>
      </c>
      <c r="BB107" s="386">
        <f t="shared" si="153"/>
        <v>1.5979679138658431</v>
      </c>
      <c r="BC107">
        <f t="shared" si="131"/>
        <v>47.04</v>
      </c>
      <c r="BD107" s="604">
        <f t="shared" si="146"/>
        <v>0.96714566865343299</v>
      </c>
      <c r="BE107" s="614">
        <f t="shared" si="132"/>
        <v>8.4046534681435006</v>
      </c>
      <c r="BF107" s="614">
        <f t="shared" si="133"/>
        <v>16.960201163113162</v>
      </c>
      <c r="BG107" s="9"/>
      <c r="BH107" s="4">
        <f t="shared" si="147"/>
        <v>96.714566865343301</v>
      </c>
      <c r="BI107" s="386">
        <f t="shared" si="148"/>
        <v>0.23158726773289809</v>
      </c>
      <c r="BJ107" s="386">
        <f t="shared" si="149"/>
        <v>0.80913680891224682</v>
      </c>
      <c r="BK107" s="386">
        <f t="shared" si="134"/>
        <v>0.14490781841626726</v>
      </c>
      <c r="BL107" s="386">
        <f t="shared" si="135"/>
        <v>0.29241726143298558</v>
      </c>
      <c r="BM107" s="386">
        <f t="shared" si="150"/>
        <v>2.8680217951243741E-2</v>
      </c>
      <c r="BS107" s="18"/>
      <c r="BT107" s="19"/>
    </row>
    <row r="108" spans="7:72" x14ac:dyDescent="0.2">
      <c r="G108">
        <v>99</v>
      </c>
      <c r="H108" s="610">
        <f t="shared" si="97"/>
        <v>12</v>
      </c>
      <c r="I108" s="4" t="str">
        <f t="shared" si="154"/>
        <v>BUCK-BST</v>
      </c>
      <c r="J108">
        <f t="shared" si="136"/>
        <v>3</v>
      </c>
      <c r="K108" s="386">
        <f t="shared" si="137"/>
        <v>3.96</v>
      </c>
      <c r="L108" s="4">
        <f t="shared" si="155"/>
        <v>4.3999999999999995</v>
      </c>
      <c r="M108" s="4">
        <f t="shared" si="151"/>
        <v>4.192694547379566</v>
      </c>
      <c r="N108" s="386">
        <f t="shared" si="100"/>
        <v>0.94450000000000001</v>
      </c>
      <c r="O108" s="386">
        <f t="shared" si="101"/>
        <v>5.5500000000000028E-2</v>
      </c>
      <c r="P108" s="4">
        <f t="shared" si="156"/>
        <v>0</v>
      </c>
      <c r="Q108" s="4">
        <f t="shared" si="157"/>
        <v>4.192694547379566</v>
      </c>
      <c r="R108" s="386">
        <f t="shared" si="138"/>
        <v>0.23642750185058947</v>
      </c>
      <c r="S108" s="386">
        <f t="shared" si="139"/>
        <v>0</v>
      </c>
      <c r="T108" s="386">
        <f t="shared" si="140"/>
        <v>0.23642750185058947</v>
      </c>
      <c r="U108" s="4">
        <f t="shared" si="104"/>
        <v>0.95993250159742027</v>
      </c>
      <c r="V108" s="386">
        <f t="shared" si="141"/>
        <v>2.4879701005823193E-2</v>
      </c>
      <c r="W108" s="386">
        <f t="shared" si="142"/>
        <v>2.4879701005823193E-2</v>
      </c>
      <c r="X108" s="4">
        <f t="shared" si="105"/>
        <v>0</v>
      </c>
      <c r="Y108" s="386">
        <f t="shared" si="143"/>
        <v>0</v>
      </c>
      <c r="Z108" s="603">
        <f t="shared" si="144"/>
        <v>0</v>
      </c>
      <c r="AA108" s="386">
        <f t="shared" si="106"/>
        <v>4.0746865410265709</v>
      </c>
      <c r="AB108" s="386">
        <f t="shared" si="158"/>
        <v>0.16603070407623083</v>
      </c>
      <c r="AC108" s="386">
        <f t="shared" si="108"/>
        <v>9.5487590682271542E-2</v>
      </c>
      <c r="AD108" s="386">
        <f t="shared" si="109"/>
        <v>0</v>
      </c>
      <c r="AE108" s="386">
        <f t="shared" si="159"/>
        <v>0.27199531588034609</v>
      </c>
      <c r="AF108" s="386">
        <f t="shared" si="111"/>
        <v>0.98773334458408457</v>
      </c>
      <c r="AG108" s="386">
        <f t="shared" si="160"/>
        <v>9.7561716000326201E-3</v>
      </c>
      <c r="AH108" s="386">
        <f t="shared" si="113"/>
        <v>9.5237999999999989E-2</v>
      </c>
      <c r="AI108" s="386">
        <f t="shared" si="161"/>
        <v>0.10523235786639579</v>
      </c>
      <c r="AJ108" s="386">
        <f t="shared" si="115"/>
        <v>0.9877333445840849</v>
      </c>
      <c r="AK108" s="386">
        <f t="shared" si="162"/>
        <v>9.756171600032627E-3</v>
      </c>
      <c r="AL108" s="386">
        <f t="shared" si="117"/>
        <v>0.10612653575380041</v>
      </c>
      <c r="AM108" s="386">
        <f t="shared" si="118"/>
        <v>0</v>
      </c>
      <c r="AN108" s="386">
        <f t="shared" si="163"/>
        <v>0.1161455949882611</v>
      </c>
      <c r="AO108" s="386">
        <f t="shared" si="145"/>
        <v>4.0746865410265709</v>
      </c>
      <c r="AP108" s="386">
        <f t="shared" si="164"/>
        <v>0.16603070407623083</v>
      </c>
      <c r="AQ108" s="386">
        <f t="shared" si="121"/>
        <v>0.10581999999999998</v>
      </c>
      <c r="AR108" s="386">
        <f t="shared" si="165"/>
        <v>0.28274166515115257</v>
      </c>
      <c r="AS108" s="386">
        <f t="shared" si="123"/>
        <v>0</v>
      </c>
      <c r="AT108" s="386">
        <f t="shared" si="124"/>
        <v>0</v>
      </c>
      <c r="AU108" s="386">
        <f t="shared" si="125"/>
        <v>4.4105472600000001E-2</v>
      </c>
      <c r="AV108" s="386">
        <f t="shared" si="126"/>
        <v>2.9268514800097865E-2</v>
      </c>
      <c r="AW108" s="386">
        <f t="shared" si="127"/>
        <v>6.5920000000000006E-2</v>
      </c>
      <c r="AX108" s="386">
        <f t="shared" si="128"/>
        <v>3.6000000000000004E-2</v>
      </c>
      <c r="AY108" s="386">
        <f t="shared" si="129"/>
        <v>0.40226399999999995</v>
      </c>
      <c r="AZ108" s="386">
        <f t="shared" si="130"/>
        <v>0.30415082926829268</v>
      </c>
      <c r="BA108" s="386">
        <f t="shared" si="152"/>
        <v>0.43826399999999999</v>
      </c>
      <c r="BB108" s="386">
        <f t="shared" si="153"/>
        <v>1.6149801241426662</v>
      </c>
      <c r="BC108">
        <f t="shared" si="131"/>
        <v>47.519999999999996</v>
      </c>
      <c r="BD108" s="604">
        <f t="shared" si="146"/>
        <v>0.96713176396810752</v>
      </c>
      <c r="BE108" s="614">
        <f t="shared" si="132"/>
        <v>8.4248020004471442</v>
      </c>
      <c r="BF108" s="614">
        <f t="shared" si="133"/>
        <v>17.243195324330848</v>
      </c>
      <c r="BG108" s="9"/>
      <c r="BH108" s="4">
        <f t="shared" si="147"/>
        <v>96.713176396810752</v>
      </c>
      <c r="BI108" s="386">
        <f t="shared" si="148"/>
        <v>0.23642750185058947</v>
      </c>
      <c r="BJ108" s="386">
        <f t="shared" si="149"/>
        <v>0.82022040648615546</v>
      </c>
      <c r="BK108" s="386">
        <f t="shared" si="134"/>
        <v>0.14525520690426111</v>
      </c>
      <c r="BL108" s="386">
        <f t="shared" si="135"/>
        <v>0.29729647110915258</v>
      </c>
      <c r="BM108" s="386">
        <f t="shared" si="150"/>
        <v>2.9268514800097865E-2</v>
      </c>
      <c r="BS108" s="18"/>
      <c r="BT108" s="19"/>
    </row>
    <row r="109" spans="7:72" x14ac:dyDescent="0.2">
      <c r="G109">
        <v>100</v>
      </c>
      <c r="H109" s="610">
        <f t="shared" si="97"/>
        <v>12</v>
      </c>
      <c r="I109" s="4" t="str">
        <f t="shared" si="154"/>
        <v>BUCK-BST</v>
      </c>
      <c r="J109">
        <f t="shared" si="136"/>
        <v>3</v>
      </c>
      <c r="K109" s="386">
        <f t="shared" si="137"/>
        <v>4</v>
      </c>
      <c r="L109" s="4">
        <f t="shared" si="155"/>
        <v>4.4444444444444438</v>
      </c>
      <c r="M109" s="4">
        <f>K109/(1-O109)</f>
        <v>4.2350449973530973</v>
      </c>
      <c r="N109" s="386">
        <f t="shared" si="100"/>
        <v>0.94450000000000001</v>
      </c>
      <c r="O109" s="386">
        <f t="shared" si="101"/>
        <v>5.5500000000000028E-2</v>
      </c>
      <c r="P109" s="4">
        <f t="shared" si="156"/>
        <v>0</v>
      </c>
      <c r="Q109" s="4">
        <f t="shared" si="157"/>
        <v>4.2350449973530973</v>
      </c>
      <c r="R109" s="386">
        <f t="shared" si="138"/>
        <v>0.2413206133451328</v>
      </c>
      <c r="S109" s="386">
        <f t="shared" si="139"/>
        <v>0</v>
      </c>
      <c r="T109" s="386">
        <f t="shared" si="140"/>
        <v>0.2413206133451328</v>
      </c>
      <c r="U109" s="4">
        <f t="shared" si="104"/>
        <v>0.96962878949234377</v>
      </c>
      <c r="V109" s="386">
        <f t="shared" si="141"/>
        <v>2.5384859714134473E-2</v>
      </c>
      <c r="W109" s="386">
        <f t="shared" si="142"/>
        <v>2.5384859714134473E-2</v>
      </c>
      <c r="X109" s="4">
        <f t="shared" si="105"/>
        <v>0</v>
      </c>
      <c r="Y109" s="386">
        <f t="shared" si="143"/>
        <v>0</v>
      </c>
      <c r="Z109" s="603">
        <f t="shared" si="144"/>
        <v>0</v>
      </c>
      <c r="AA109" s="386">
        <f t="shared" si="106"/>
        <v>4.1158449909359307</v>
      </c>
      <c r="AB109" s="386">
        <f t="shared" si="158"/>
        <v>0.16940179989412393</v>
      </c>
      <c r="AC109" s="386">
        <f t="shared" si="108"/>
        <v>9.6452111800274284E-2</v>
      </c>
      <c r="AD109" s="386">
        <f t="shared" si="109"/>
        <v>0</v>
      </c>
      <c r="AE109" s="386">
        <f t="shared" si="159"/>
        <v>0.27672972690092257</v>
      </c>
      <c r="AF109" s="386">
        <f t="shared" si="111"/>
        <v>0.99771044907483297</v>
      </c>
      <c r="AG109" s="386">
        <f t="shared" si="160"/>
        <v>9.9542614019310482E-3</v>
      </c>
      <c r="AH109" s="386">
        <f t="shared" si="113"/>
        <v>9.6199999999999994E-2</v>
      </c>
      <c r="AI109" s="386">
        <f t="shared" si="161"/>
        <v>0.10639998030830966</v>
      </c>
      <c r="AJ109" s="386">
        <f t="shared" si="115"/>
        <v>0.99771044907483319</v>
      </c>
      <c r="AK109" s="386">
        <f t="shared" si="162"/>
        <v>9.9542614019310534E-3</v>
      </c>
      <c r="AL109" s="386">
        <f t="shared" si="117"/>
        <v>0.10612653575380041</v>
      </c>
      <c r="AM109" s="386">
        <f t="shared" si="118"/>
        <v>0</v>
      </c>
      <c r="AN109" s="386">
        <f t="shared" si="163"/>
        <v>0.11634949335456485</v>
      </c>
      <c r="AO109" s="386">
        <f t="shared" si="145"/>
        <v>4.1158449909359307</v>
      </c>
      <c r="AP109" s="386">
        <f t="shared" si="164"/>
        <v>0.16940179989412393</v>
      </c>
      <c r="AQ109" s="386">
        <f t="shared" si="121"/>
        <v>0.10688888888888887</v>
      </c>
      <c r="AR109" s="386">
        <f t="shared" si="165"/>
        <v>0.28759346200660757</v>
      </c>
      <c r="AS109" s="386">
        <f t="shared" si="123"/>
        <v>0</v>
      </c>
      <c r="AT109" s="386">
        <f t="shared" si="124"/>
        <v>0</v>
      </c>
      <c r="AU109" s="386">
        <f t="shared" si="125"/>
        <v>4.4326000000000004E-2</v>
      </c>
      <c r="AV109" s="386">
        <f t="shared" si="126"/>
        <v>2.986278420579315E-2</v>
      </c>
      <c r="AW109" s="386">
        <f t="shared" si="127"/>
        <v>6.5920000000000006E-2</v>
      </c>
      <c r="AX109" s="386">
        <f t="shared" si="128"/>
        <v>3.6000000000000004E-2</v>
      </c>
      <c r="AY109" s="386">
        <f t="shared" si="129"/>
        <v>0.40226399999999995</v>
      </c>
      <c r="AZ109" s="386">
        <f t="shared" si="130"/>
        <v>0.30415082926829268</v>
      </c>
      <c r="BA109" s="386">
        <f t="shared" si="152"/>
        <v>0.43826399999999999</v>
      </c>
      <c r="BB109" s="386">
        <f t="shared" si="153"/>
        <v>1.6321509198354653</v>
      </c>
      <c r="BC109">
        <f t="shared" si="131"/>
        <v>48</v>
      </c>
      <c r="BD109" s="604">
        <f t="shared" si="146"/>
        <v>0.96711504761355849</v>
      </c>
      <c r="BE109" s="614">
        <f t="shared" si="132"/>
        <v>8.445069894564762</v>
      </c>
      <c r="BF109" s="614">
        <f t="shared" si="133"/>
        <v>17.528820436383242</v>
      </c>
      <c r="BG109" s="9"/>
      <c r="BH109" s="4">
        <f t="shared" si="147"/>
        <v>96.711504761355854</v>
      </c>
      <c r="BI109" s="386">
        <f t="shared" si="148"/>
        <v>0.2413206133451328</v>
      </c>
      <c r="BJ109" s="386">
        <f t="shared" si="149"/>
        <v>0.83139866257040462</v>
      </c>
      <c r="BK109" s="386">
        <f t="shared" si="134"/>
        <v>0.14560465335456485</v>
      </c>
      <c r="BL109" s="386">
        <f t="shared" si="135"/>
        <v>0.3022210420066076</v>
      </c>
      <c r="BM109" s="386">
        <f t="shared" si="150"/>
        <v>2.986278420579315E-2</v>
      </c>
      <c r="BS109" s="18"/>
      <c r="BT109" s="19"/>
    </row>
    <row r="110" spans="7:72" x14ac:dyDescent="0.2">
      <c r="H110" s="610"/>
      <c r="I110" s="4"/>
      <c r="L110" s="4"/>
      <c r="M110" s="4"/>
      <c r="Q110" s="386"/>
      <c r="R110" s="386"/>
      <c r="S110" s="386"/>
      <c r="T110" s="386"/>
      <c r="V110" s="386"/>
      <c r="W110" s="386"/>
      <c r="X110" s="386"/>
      <c r="Y110" s="386"/>
      <c r="Z110" s="603"/>
      <c r="AA110" s="386"/>
      <c r="AB110" s="386"/>
      <c r="AC110" s="386"/>
      <c r="AE110" s="386"/>
      <c r="AF110" s="386"/>
      <c r="AG110" s="386"/>
      <c r="AH110" s="386"/>
      <c r="AI110" s="386"/>
      <c r="AJ110" s="386"/>
      <c r="AK110" s="386"/>
      <c r="AL110" s="386"/>
      <c r="AN110" s="386"/>
      <c r="AO110" s="386"/>
      <c r="AP110" s="386"/>
      <c r="AQ110" s="386"/>
      <c r="AR110" s="386"/>
      <c r="AS110" s="386"/>
      <c r="AT110" s="386"/>
      <c r="AU110" s="386"/>
      <c r="AV110" s="386"/>
      <c r="AW110" s="386"/>
      <c r="AX110" s="386"/>
      <c r="AY110" s="386"/>
      <c r="AZ110" s="386"/>
      <c r="BA110" s="386"/>
      <c r="BB110" s="386"/>
      <c r="BD110" s="604"/>
      <c r="BE110" s="614"/>
      <c r="BF110" s="614"/>
      <c r="BG110" s="9"/>
      <c r="BH110" s="48"/>
      <c r="BI110" s="386"/>
      <c r="BJ110" s="386"/>
      <c r="BK110" s="386"/>
      <c r="BL110" s="386"/>
      <c r="BM110" s="386"/>
    </row>
    <row r="111" spans="7:72" x14ac:dyDescent="0.2">
      <c r="H111" s="610"/>
      <c r="I111" s="4"/>
      <c r="L111" s="4"/>
      <c r="M111" s="4"/>
      <c r="Q111" s="386"/>
      <c r="R111" s="386"/>
      <c r="S111" s="386"/>
      <c r="T111" s="386"/>
      <c r="V111" s="386"/>
      <c r="W111" s="386"/>
      <c r="X111" s="386"/>
      <c r="Y111" s="386"/>
      <c r="Z111" s="603"/>
      <c r="AA111" s="386"/>
      <c r="AB111" s="386"/>
      <c r="AC111" s="386"/>
      <c r="AE111" s="386"/>
      <c r="AF111" s="386"/>
      <c r="AG111" s="386"/>
      <c r="AH111" s="386"/>
      <c r="AI111" s="386"/>
      <c r="AJ111" s="386"/>
      <c r="AK111" s="386"/>
      <c r="AL111" s="386"/>
      <c r="AN111" s="386"/>
      <c r="AO111" s="386"/>
      <c r="AP111" s="386"/>
      <c r="AQ111" s="386"/>
      <c r="AR111" s="386"/>
      <c r="AS111" s="386"/>
      <c r="AT111" s="386"/>
      <c r="AU111" s="386"/>
      <c r="AV111" s="386"/>
      <c r="AW111" s="386"/>
      <c r="AX111" s="386"/>
      <c r="AY111" s="386"/>
      <c r="AZ111" s="386"/>
      <c r="BA111" s="386"/>
      <c r="BB111" s="386"/>
      <c r="BD111" s="604"/>
      <c r="BE111" s="614"/>
      <c r="BF111" s="614"/>
      <c r="BG111" s="9"/>
      <c r="BH111" s="48"/>
      <c r="BI111" s="386"/>
      <c r="BJ111" s="386"/>
      <c r="BK111" s="386"/>
      <c r="BL111" s="386"/>
      <c r="BM111" s="386"/>
    </row>
    <row r="112" spans="7:72" x14ac:dyDescent="0.2">
      <c r="H112" s="610"/>
      <c r="I112" s="4"/>
      <c r="L112" s="4"/>
      <c r="M112" s="4"/>
      <c r="Q112" s="386"/>
      <c r="R112" s="386"/>
      <c r="S112" s="386"/>
      <c r="T112" s="386"/>
      <c r="V112" s="386"/>
      <c r="W112" s="386"/>
      <c r="X112" s="386"/>
      <c r="Y112" s="386"/>
      <c r="Z112" s="603"/>
      <c r="AA112" s="386"/>
      <c r="AB112" s="386"/>
      <c r="AC112" s="386"/>
      <c r="AE112" s="386"/>
      <c r="AF112" s="386"/>
      <c r="AG112" s="386"/>
      <c r="AH112" s="386"/>
      <c r="AI112" s="386"/>
      <c r="AJ112" s="386"/>
      <c r="AK112" s="386"/>
      <c r="AL112" s="386"/>
      <c r="AN112" s="386"/>
      <c r="AO112" s="386"/>
      <c r="AP112" s="386"/>
      <c r="AQ112" s="386"/>
      <c r="AR112" s="386"/>
      <c r="AS112" s="386"/>
      <c r="AT112" s="386"/>
      <c r="AU112" s="386"/>
      <c r="AV112" s="386"/>
      <c r="AW112" s="386"/>
      <c r="AX112" s="386"/>
      <c r="AY112" s="386"/>
      <c r="AZ112" s="386"/>
      <c r="BA112" s="386"/>
      <c r="BB112" s="386"/>
      <c r="BD112" s="604"/>
      <c r="BE112" s="614"/>
      <c r="BF112" s="614"/>
      <c r="BG112" s="9"/>
      <c r="BH112" s="48"/>
      <c r="BI112" s="386"/>
      <c r="BJ112" s="386"/>
      <c r="BK112" s="386"/>
      <c r="BL112" s="386"/>
      <c r="BM112" s="386"/>
    </row>
    <row r="113" spans="8:65" x14ac:dyDescent="0.2">
      <c r="H113" s="610"/>
      <c r="I113" s="4"/>
      <c r="L113" s="4"/>
      <c r="M113" s="4"/>
      <c r="Q113" s="386"/>
      <c r="R113" s="386"/>
      <c r="S113" s="386"/>
      <c r="T113" s="386"/>
      <c r="V113" s="386"/>
      <c r="W113" s="386"/>
      <c r="X113" s="386"/>
      <c r="Y113" s="386"/>
      <c r="Z113" s="603"/>
      <c r="AA113" s="386"/>
      <c r="AB113" s="386"/>
      <c r="AC113" s="386"/>
      <c r="AE113" s="386"/>
      <c r="AF113" s="386"/>
      <c r="AG113" s="386"/>
      <c r="AH113" s="386"/>
      <c r="AI113" s="386"/>
      <c r="AJ113" s="386"/>
      <c r="AK113" s="386"/>
      <c r="AL113" s="386"/>
      <c r="AN113" s="386"/>
      <c r="AO113" s="386"/>
      <c r="AP113" s="386"/>
      <c r="AQ113" s="386"/>
      <c r="AR113" s="386"/>
      <c r="AS113" s="386"/>
      <c r="AT113" s="386"/>
      <c r="AU113" s="386"/>
      <c r="AV113" s="386"/>
      <c r="AW113" s="386"/>
      <c r="AX113" s="386"/>
      <c r="AY113" s="386"/>
      <c r="AZ113" s="386"/>
      <c r="BA113" s="386"/>
      <c r="BB113" s="386"/>
      <c r="BD113" s="604"/>
      <c r="BE113" s="614"/>
      <c r="BF113" s="614"/>
      <c r="BG113" s="9"/>
      <c r="BH113" s="48"/>
      <c r="BI113" s="386"/>
      <c r="BJ113" s="386"/>
      <c r="BK113" s="386"/>
      <c r="BL113" s="386"/>
      <c r="BM113" s="386"/>
    </row>
    <row r="114" spans="8:65" x14ac:dyDescent="0.2">
      <c r="H114" s="610"/>
      <c r="I114" s="4"/>
      <c r="L114" s="4"/>
      <c r="M114" s="4"/>
      <c r="Q114" s="386"/>
      <c r="R114" s="386"/>
      <c r="S114" s="386"/>
      <c r="T114" s="386"/>
      <c r="V114" s="386"/>
      <c r="W114" s="386"/>
      <c r="X114" s="386"/>
      <c r="Y114" s="386"/>
      <c r="Z114" s="603"/>
      <c r="AA114" s="386"/>
      <c r="AB114" s="386"/>
      <c r="AC114" s="386"/>
      <c r="AE114" s="386"/>
      <c r="AF114" s="386"/>
      <c r="AG114" s="386"/>
      <c r="AH114" s="386"/>
      <c r="AI114" s="386"/>
      <c r="AJ114" s="386"/>
      <c r="AK114" s="386"/>
      <c r="AL114" s="386"/>
      <c r="AN114" s="386"/>
      <c r="AO114" s="386"/>
      <c r="AP114" s="386"/>
      <c r="AQ114" s="386"/>
      <c r="AR114" s="386"/>
      <c r="AS114" s="386"/>
      <c r="AT114" s="386"/>
      <c r="AU114" s="386"/>
      <c r="AV114" s="386"/>
      <c r="AW114" s="386"/>
      <c r="AX114" s="386"/>
      <c r="AY114" s="386"/>
      <c r="AZ114" s="386"/>
      <c r="BA114" s="386"/>
      <c r="BB114" s="386"/>
      <c r="BD114" s="604"/>
      <c r="BE114" s="614"/>
      <c r="BF114" s="614"/>
      <c r="BG114" s="9"/>
      <c r="BH114" s="48"/>
      <c r="BI114" s="386"/>
      <c r="BJ114" s="386"/>
      <c r="BK114" s="386"/>
      <c r="BL114" s="386"/>
      <c r="BM114" s="386"/>
    </row>
    <row r="115" spans="8:65" x14ac:dyDescent="0.2">
      <c r="H115" s="610"/>
      <c r="I115" s="4"/>
      <c r="L115" s="4"/>
      <c r="M115" s="4"/>
      <c r="Q115" s="386"/>
      <c r="R115" s="386"/>
      <c r="S115" s="386"/>
      <c r="T115" s="386"/>
      <c r="V115" s="386"/>
      <c r="W115" s="386"/>
      <c r="X115" s="386"/>
      <c r="Y115" s="386"/>
      <c r="Z115" s="603"/>
      <c r="AA115" s="386"/>
      <c r="AB115" s="386"/>
      <c r="AC115" s="386"/>
      <c r="AE115" s="386"/>
      <c r="AF115" s="386"/>
      <c r="AG115" s="386"/>
      <c r="AH115" s="386"/>
      <c r="AI115" s="386"/>
      <c r="AJ115" s="386"/>
      <c r="AK115" s="386"/>
      <c r="AL115" s="386"/>
      <c r="AN115" s="386"/>
      <c r="AO115" s="386"/>
      <c r="AP115" s="386"/>
      <c r="AQ115" s="386"/>
      <c r="AR115" s="386"/>
      <c r="AS115" s="386"/>
      <c r="AT115" s="386"/>
      <c r="AU115" s="386"/>
      <c r="AV115" s="386"/>
      <c r="AW115" s="386"/>
      <c r="AX115" s="386"/>
      <c r="AY115" s="386"/>
      <c r="AZ115" s="386"/>
      <c r="BA115" s="386"/>
      <c r="BB115" s="386"/>
      <c r="BD115" s="604"/>
      <c r="BE115" s="614"/>
      <c r="BF115" s="614"/>
      <c r="BG115" s="9"/>
      <c r="BH115" s="48"/>
      <c r="BI115" s="386"/>
      <c r="BJ115" s="386"/>
      <c r="BK115" s="386"/>
      <c r="BL115" s="386"/>
      <c r="BM115" s="386"/>
    </row>
    <row r="116" spans="8:65" x14ac:dyDescent="0.2">
      <c r="H116" s="610"/>
      <c r="I116" s="4"/>
      <c r="L116" s="4"/>
      <c r="M116" s="4"/>
      <c r="Q116" s="386"/>
      <c r="R116" s="386"/>
      <c r="S116" s="386"/>
      <c r="T116" s="386"/>
      <c r="V116" s="386"/>
      <c r="W116" s="386"/>
      <c r="X116" s="386"/>
      <c r="Y116" s="386"/>
      <c r="Z116" s="603"/>
      <c r="AA116" s="386"/>
      <c r="AB116" s="386"/>
      <c r="AC116" s="386"/>
      <c r="AE116" s="386"/>
      <c r="AF116" s="386"/>
      <c r="AG116" s="386"/>
      <c r="AH116" s="386"/>
      <c r="AI116" s="386"/>
      <c r="AJ116" s="386"/>
      <c r="AK116" s="386"/>
      <c r="AL116" s="386"/>
      <c r="AN116" s="386"/>
      <c r="AO116" s="386"/>
      <c r="AP116" s="386"/>
      <c r="AQ116" s="386"/>
      <c r="AR116" s="386"/>
      <c r="AS116" s="386"/>
      <c r="AT116" s="386"/>
      <c r="AU116" s="386"/>
      <c r="AV116" s="386"/>
      <c r="AW116" s="386"/>
      <c r="AX116" s="386"/>
      <c r="AY116" s="386"/>
      <c r="AZ116" s="386"/>
      <c r="BA116" s="386"/>
      <c r="BB116" s="386"/>
      <c r="BD116" s="604"/>
      <c r="BE116" s="614"/>
      <c r="BF116" s="614"/>
      <c r="BG116" s="9"/>
      <c r="BH116" s="48"/>
      <c r="BI116" s="386"/>
      <c r="BJ116" s="386"/>
      <c r="BK116" s="386"/>
      <c r="BL116" s="386"/>
      <c r="BM116" s="386"/>
    </row>
    <row r="117" spans="8:65" x14ac:dyDescent="0.2">
      <c r="H117" s="610"/>
      <c r="I117" s="4"/>
      <c r="L117" s="4"/>
      <c r="M117" s="4"/>
      <c r="Q117" s="386"/>
      <c r="R117" s="386"/>
      <c r="S117" s="386"/>
      <c r="T117" s="386"/>
      <c r="V117" s="386"/>
      <c r="W117" s="386"/>
      <c r="X117" s="386"/>
      <c r="Y117" s="386"/>
      <c r="Z117" s="603"/>
      <c r="AA117" s="386"/>
      <c r="AB117" s="386"/>
      <c r="AC117" s="386"/>
      <c r="AE117" s="386"/>
      <c r="AF117" s="386"/>
      <c r="AG117" s="386"/>
      <c r="AH117" s="386"/>
      <c r="AI117" s="386"/>
      <c r="AJ117" s="386"/>
      <c r="AK117" s="386"/>
      <c r="AL117" s="386"/>
      <c r="AN117" s="386"/>
      <c r="AO117" s="386"/>
      <c r="AP117" s="386"/>
      <c r="AQ117" s="386"/>
      <c r="AR117" s="386"/>
      <c r="AS117" s="386"/>
      <c r="AT117" s="386"/>
      <c r="AU117" s="386"/>
      <c r="AV117" s="386"/>
      <c r="AW117" s="386"/>
      <c r="AX117" s="386"/>
      <c r="AY117" s="386"/>
      <c r="AZ117" s="386"/>
      <c r="BA117" s="386"/>
      <c r="BB117" s="386"/>
      <c r="BD117" s="604"/>
      <c r="BE117" s="614"/>
      <c r="BF117" s="614"/>
      <c r="BG117" s="9"/>
      <c r="BH117" s="48"/>
      <c r="BI117" s="386"/>
      <c r="BJ117" s="386"/>
      <c r="BK117" s="386"/>
      <c r="BL117" s="386"/>
      <c r="BM117" s="386"/>
    </row>
    <row r="118" spans="8:65" x14ac:dyDescent="0.2">
      <c r="H118" s="610"/>
      <c r="I118" s="4"/>
      <c r="L118" s="4"/>
      <c r="M118" s="4"/>
      <c r="Q118" s="386"/>
      <c r="R118" s="386"/>
      <c r="S118" s="386"/>
      <c r="T118" s="386"/>
      <c r="V118" s="386"/>
      <c r="W118" s="386"/>
      <c r="X118" s="386"/>
      <c r="Y118" s="386"/>
      <c r="Z118" s="603"/>
      <c r="AA118" s="386"/>
      <c r="AB118" s="386"/>
      <c r="AC118" s="386"/>
      <c r="AE118" s="386"/>
      <c r="AF118" s="386"/>
      <c r="AG118" s="386"/>
      <c r="AH118" s="386"/>
      <c r="AI118" s="386"/>
      <c r="AJ118" s="386"/>
      <c r="AK118" s="386"/>
      <c r="AL118" s="386"/>
      <c r="AN118" s="386"/>
      <c r="AO118" s="386"/>
      <c r="AP118" s="386"/>
      <c r="AQ118" s="386"/>
      <c r="AR118" s="386"/>
      <c r="AS118" s="386"/>
      <c r="AT118" s="386"/>
      <c r="AU118" s="386"/>
      <c r="AV118" s="386"/>
      <c r="AW118" s="386"/>
      <c r="AX118" s="386"/>
      <c r="AY118" s="386"/>
      <c r="AZ118" s="386"/>
      <c r="BA118" s="386"/>
      <c r="BB118" s="386"/>
      <c r="BD118" s="604"/>
      <c r="BE118" s="614"/>
      <c r="BF118" s="614"/>
      <c r="BG118" s="9"/>
      <c r="BH118" s="48"/>
      <c r="BI118" s="386"/>
      <c r="BJ118" s="386"/>
      <c r="BK118" s="386"/>
      <c r="BL118" s="386"/>
      <c r="BM118" s="386"/>
    </row>
    <row r="119" spans="8:65" x14ac:dyDescent="0.2">
      <c r="H119" s="610"/>
      <c r="I119" s="4"/>
      <c r="L119" s="4"/>
      <c r="M119" s="4"/>
      <c r="Q119" s="386"/>
      <c r="R119" s="386"/>
      <c r="S119" s="386"/>
      <c r="T119" s="386"/>
      <c r="V119" s="386"/>
      <c r="W119" s="386"/>
      <c r="X119" s="386"/>
      <c r="Y119" s="386"/>
      <c r="Z119" s="603"/>
      <c r="AA119" s="386"/>
      <c r="AB119" s="386"/>
      <c r="AC119" s="386"/>
      <c r="AE119" s="386"/>
      <c r="AF119" s="386"/>
      <c r="AG119" s="386"/>
      <c r="AH119" s="386"/>
      <c r="AI119" s="386"/>
      <c r="AJ119" s="386"/>
      <c r="AK119" s="386"/>
      <c r="AL119" s="386"/>
      <c r="AN119" s="386"/>
      <c r="AO119" s="386"/>
      <c r="AP119" s="386"/>
      <c r="AQ119" s="386"/>
      <c r="AR119" s="386"/>
      <c r="AS119" s="386"/>
      <c r="AT119" s="386"/>
      <c r="AU119" s="386"/>
      <c r="AV119" s="386"/>
      <c r="AW119" s="386"/>
      <c r="AX119" s="386"/>
      <c r="AY119" s="386"/>
      <c r="AZ119" s="386"/>
      <c r="BA119" s="386"/>
      <c r="BB119" s="386"/>
      <c r="BD119" s="604"/>
      <c r="BE119" s="614"/>
      <c r="BF119" s="614"/>
      <c r="BG119" s="9"/>
      <c r="BH119" s="48"/>
      <c r="BI119" s="386"/>
      <c r="BJ119" s="386"/>
      <c r="BK119" s="386"/>
      <c r="BL119" s="386"/>
      <c r="BM119" s="386"/>
    </row>
    <row r="120" spans="8:65" x14ac:dyDescent="0.2">
      <c r="H120" s="610"/>
      <c r="I120" s="4"/>
      <c r="L120" s="4"/>
      <c r="M120" s="4"/>
      <c r="Q120" s="386"/>
      <c r="R120" s="386"/>
      <c r="S120" s="386"/>
      <c r="T120" s="386"/>
      <c r="V120" s="386"/>
      <c r="W120" s="386"/>
      <c r="X120" s="386"/>
      <c r="Y120" s="386"/>
      <c r="Z120" s="603"/>
      <c r="AA120" s="386"/>
      <c r="AB120" s="386"/>
      <c r="AC120" s="386"/>
      <c r="AE120" s="386"/>
      <c r="AF120" s="386"/>
      <c r="AG120" s="386"/>
      <c r="AH120" s="386"/>
      <c r="AI120" s="386"/>
      <c r="AJ120" s="386"/>
      <c r="AK120" s="386"/>
      <c r="AL120" s="386"/>
      <c r="AN120" s="386"/>
      <c r="AO120" s="386"/>
      <c r="AP120" s="386"/>
      <c r="AQ120" s="386"/>
      <c r="AR120" s="386"/>
      <c r="AS120" s="386"/>
      <c r="AT120" s="386"/>
      <c r="AU120" s="386"/>
      <c r="AV120" s="386"/>
      <c r="AW120" s="386"/>
      <c r="AX120" s="386"/>
      <c r="AY120" s="386"/>
      <c r="AZ120" s="386"/>
      <c r="BA120" s="386"/>
      <c r="BB120" s="386"/>
      <c r="BD120" s="604"/>
      <c r="BE120" s="614"/>
      <c r="BF120" s="614"/>
      <c r="BG120" s="9"/>
      <c r="BH120" s="48"/>
      <c r="BI120" s="386"/>
      <c r="BJ120" s="386"/>
      <c r="BK120" s="386"/>
      <c r="BL120" s="386"/>
      <c r="BM120" s="386"/>
    </row>
    <row r="121" spans="8:65" x14ac:dyDescent="0.2">
      <c r="H121" s="610"/>
      <c r="I121" s="4"/>
      <c r="L121" s="4"/>
      <c r="M121" s="4"/>
      <c r="Q121" s="386"/>
      <c r="R121" s="386"/>
      <c r="S121" s="386"/>
      <c r="T121" s="386"/>
      <c r="V121" s="386"/>
      <c r="W121" s="386"/>
      <c r="X121" s="386"/>
      <c r="Y121" s="386"/>
      <c r="Z121" s="603"/>
      <c r="AA121" s="386"/>
      <c r="AB121" s="386"/>
      <c r="AC121" s="386"/>
      <c r="AE121" s="386"/>
      <c r="AF121" s="386"/>
      <c r="AG121" s="386"/>
      <c r="AH121" s="386"/>
      <c r="AI121" s="386"/>
      <c r="AJ121" s="386"/>
      <c r="AK121" s="386"/>
      <c r="AL121" s="386"/>
      <c r="AN121" s="386"/>
      <c r="AO121" s="386"/>
      <c r="AP121" s="386"/>
      <c r="AQ121" s="386"/>
      <c r="AR121" s="386"/>
      <c r="AS121" s="386"/>
      <c r="AT121" s="386"/>
      <c r="AU121" s="386"/>
      <c r="AV121" s="386"/>
      <c r="AW121" s="386"/>
      <c r="AX121" s="386"/>
      <c r="AY121" s="386"/>
      <c r="AZ121" s="386"/>
      <c r="BA121" s="386"/>
      <c r="BB121" s="386"/>
      <c r="BD121" s="604"/>
      <c r="BE121" s="614"/>
      <c r="BF121" s="614"/>
      <c r="BG121" s="9"/>
      <c r="BH121" s="48"/>
      <c r="BI121" s="386"/>
      <c r="BJ121" s="386"/>
      <c r="BK121" s="386"/>
      <c r="BL121" s="386"/>
      <c r="BM121" s="386"/>
    </row>
    <row r="122" spans="8:65" x14ac:dyDescent="0.2">
      <c r="H122" s="610"/>
      <c r="I122" s="4"/>
      <c r="L122" s="4"/>
      <c r="M122" s="4"/>
      <c r="Q122" s="386"/>
      <c r="R122" s="386"/>
      <c r="S122" s="386"/>
      <c r="T122" s="386"/>
      <c r="V122" s="386"/>
      <c r="W122" s="386"/>
      <c r="X122" s="386"/>
      <c r="Y122" s="386"/>
      <c r="Z122" s="603"/>
      <c r="AA122" s="386"/>
      <c r="AB122" s="386"/>
      <c r="AC122" s="386"/>
      <c r="AE122" s="386"/>
      <c r="AF122" s="386"/>
      <c r="AG122" s="386"/>
      <c r="AH122" s="386"/>
      <c r="AI122" s="386"/>
      <c r="AJ122" s="386"/>
      <c r="AK122" s="386"/>
      <c r="AL122" s="386"/>
      <c r="AN122" s="386"/>
      <c r="AO122" s="386"/>
      <c r="AP122" s="386"/>
      <c r="AQ122" s="386"/>
      <c r="AR122" s="386"/>
      <c r="AS122" s="386"/>
      <c r="AT122" s="386"/>
      <c r="AU122" s="386"/>
      <c r="AV122" s="386"/>
      <c r="AW122" s="386"/>
      <c r="AX122" s="386"/>
      <c r="AY122" s="386"/>
      <c r="AZ122" s="386"/>
      <c r="BA122" s="386"/>
      <c r="BB122" s="386"/>
      <c r="BD122" s="604"/>
      <c r="BE122" s="614"/>
      <c r="BF122" s="614"/>
      <c r="BG122" s="9"/>
      <c r="BH122" s="48"/>
      <c r="BI122" s="386"/>
      <c r="BJ122" s="386"/>
      <c r="BK122" s="386"/>
      <c r="BL122" s="386"/>
      <c r="BM122" s="386"/>
    </row>
    <row r="123" spans="8:65" x14ac:dyDescent="0.2">
      <c r="H123" s="610"/>
      <c r="I123" s="4"/>
      <c r="L123" s="4"/>
      <c r="M123" s="4"/>
      <c r="Q123" s="386"/>
      <c r="R123" s="386"/>
      <c r="S123" s="386"/>
      <c r="T123" s="386"/>
      <c r="V123" s="386"/>
      <c r="W123" s="386"/>
      <c r="X123" s="386"/>
      <c r="Y123" s="386"/>
      <c r="Z123" s="603"/>
      <c r="AA123" s="386"/>
      <c r="AB123" s="386"/>
      <c r="AC123" s="386"/>
      <c r="AE123" s="386"/>
      <c r="AF123" s="386"/>
      <c r="AG123" s="386"/>
      <c r="AH123" s="386"/>
      <c r="AI123" s="386"/>
      <c r="AJ123" s="386"/>
      <c r="AK123" s="386"/>
      <c r="AL123" s="386"/>
      <c r="AN123" s="386"/>
      <c r="AO123" s="386"/>
      <c r="AP123" s="386"/>
      <c r="AQ123" s="386"/>
      <c r="AR123" s="386"/>
      <c r="AS123" s="386"/>
      <c r="AT123" s="386"/>
      <c r="AU123" s="386"/>
      <c r="AV123" s="386"/>
      <c r="AW123" s="386"/>
      <c r="AX123" s="386"/>
      <c r="AY123" s="386"/>
      <c r="AZ123" s="386"/>
      <c r="BA123" s="386"/>
      <c r="BB123" s="386"/>
      <c r="BD123" s="604"/>
      <c r="BE123" s="614"/>
      <c r="BF123" s="614"/>
      <c r="BG123" s="9"/>
      <c r="BH123" s="48"/>
      <c r="BI123" s="386"/>
      <c r="BJ123" s="386"/>
      <c r="BK123" s="386"/>
      <c r="BL123" s="386"/>
      <c r="BM123" s="386"/>
    </row>
    <row r="124" spans="8:65" x14ac:dyDescent="0.2">
      <c r="H124" s="610"/>
      <c r="I124" s="4"/>
      <c r="L124" s="4"/>
      <c r="M124" s="4"/>
      <c r="Q124" s="386"/>
      <c r="R124" s="386"/>
      <c r="S124" s="386"/>
      <c r="T124" s="386"/>
      <c r="V124" s="386"/>
      <c r="W124" s="386"/>
      <c r="X124" s="386"/>
      <c r="Y124" s="386"/>
      <c r="Z124" s="603"/>
      <c r="AA124" s="386"/>
      <c r="AB124" s="386"/>
      <c r="AC124" s="386"/>
      <c r="AE124" s="386"/>
      <c r="AF124" s="386"/>
      <c r="AG124" s="386"/>
      <c r="AH124" s="386"/>
      <c r="AI124" s="386"/>
      <c r="AJ124" s="386"/>
      <c r="AK124" s="386"/>
      <c r="AL124" s="386"/>
      <c r="AN124" s="386"/>
      <c r="AO124" s="386"/>
      <c r="AP124" s="386"/>
      <c r="AQ124" s="386"/>
      <c r="AR124" s="386"/>
      <c r="AS124" s="386"/>
      <c r="AT124" s="386"/>
      <c r="AU124" s="386"/>
      <c r="AV124" s="386"/>
      <c r="AW124" s="386"/>
      <c r="AX124" s="386"/>
      <c r="AY124" s="386"/>
      <c r="AZ124" s="386"/>
      <c r="BA124" s="386"/>
      <c r="BB124" s="386"/>
      <c r="BD124" s="604"/>
      <c r="BE124" s="614"/>
      <c r="BF124" s="614"/>
      <c r="BG124" s="9"/>
      <c r="BH124" s="48"/>
      <c r="BI124" s="386"/>
      <c r="BJ124" s="386"/>
      <c r="BK124" s="386"/>
      <c r="BL124" s="386"/>
      <c r="BM124" s="386"/>
    </row>
    <row r="125" spans="8:65" x14ac:dyDescent="0.2">
      <c r="H125" s="610"/>
      <c r="I125" s="4"/>
      <c r="L125" s="4"/>
      <c r="M125" s="4"/>
      <c r="Q125" s="386"/>
      <c r="R125" s="386"/>
      <c r="S125" s="386"/>
      <c r="T125" s="386"/>
      <c r="V125" s="386"/>
      <c r="W125" s="386"/>
      <c r="X125" s="386"/>
      <c r="Y125" s="386"/>
      <c r="Z125" s="603"/>
      <c r="AA125" s="386"/>
      <c r="AB125" s="386"/>
      <c r="AC125" s="386"/>
      <c r="AE125" s="386"/>
      <c r="AF125" s="386"/>
      <c r="AG125" s="386"/>
      <c r="AH125" s="386"/>
      <c r="AI125" s="386"/>
      <c r="AJ125" s="386"/>
      <c r="AK125" s="386"/>
      <c r="AL125" s="386"/>
      <c r="AN125" s="386"/>
      <c r="AO125" s="386"/>
      <c r="AP125" s="386"/>
      <c r="AQ125" s="386"/>
      <c r="AR125" s="386"/>
      <c r="AS125" s="386"/>
      <c r="AT125" s="386"/>
      <c r="AU125" s="386"/>
      <c r="AV125" s="386"/>
      <c r="AW125" s="386"/>
      <c r="AX125" s="386"/>
      <c r="AY125" s="386"/>
      <c r="AZ125" s="386"/>
      <c r="BA125" s="386"/>
      <c r="BB125" s="386"/>
      <c r="BD125" s="604"/>
      <c r="BE125" s="614"/>
      <c r="BF125" s="614"/>
      <c r="BG125" s="9"/>
      <c r="BH125" s="48"/>
      <c r="BI125" s="386"/>
      <c r="BJ125" s="386"/>
      <c r="BK125" s="386"/>
      <c r="BL125" s="386"/>
      <c r="BM125" s="386"/>
    </row>
    <row r="126" spans="8:65" x14ac:dyDescent="0.2">
      <c r="H126" s="610"/>
      <c r="I126" s="4"/>
      <c r="L126" s="4"/>
      <c r="M126" s="4"/>
      <c r="Q126" s="386"/>
      <c r="R126" s="386"/>
      <c r="S126" s="386"/>
      <c r="T126" s="386"/>
      <c r="V126" s="386"/>
      <c r="W126" s="386"/>
      <c r="X126" s="386"/>
      <c r="Y126" s="386"/>
      <c r="Z126" s="603"/>
      <c r="AA126" s="386"/>
      <c r="AB126" s="386"/>
      <c r="AC126" s="386"/>
      <c r="AE126" s="386"/>
      <c r="AF126" s="386"/>
      <c r="AG126" s="386"/>
      <c r="AH126" s="386"/>
      <c r="AI126" s="386"/>
      <c r="AJ126" s="386"/>
      <c r="AK126" s="386"/>
      <c r="AL126" s="386"/>
      <c r="AN126" s="386"/>
      <c r="AO126" s="386"/>
      <c r="AP126" s="386"/>
      <c r="AQ126" s="386"/>
      <c r="AR126" s="386"/>
      <c r="AS126" s="386"/>
      <c r="AT126" s="386"/>
      <c r="AU126" s="386"/>
      <c r="AV126" s="386"/>
      <c r="AW126" s="386"/>
      <c r="AX126" s="386"/>
      <c r="AY126" s="386"/>
      <c r="AZ126" s="386"/>
      <c r="BA126" s="386"/>
      <c r="BB126" s="386"/>
      <c r="BD126" s="604"/>
      <c r="BE126" s="614"/>
      <c r="BF126" s="614"/>
      <c r="BG126" s="9"/>
      <c r="BH126" s="48"/>
      <c r="BI126" s="386"/>
      <c r="BJ126" s="386"/>
      <c r="BK126" s="386"/>
      <c r="BL126" s="386"/>
      <c r="BM126" s="386"/>
    </row>
    <row r="127" spans="8:65" x14ac:dyDescent="0.2">
      <c r="H127" s="610"/>
      <c r="I127" s="4"/>
      <c r="L127" s="4"/>
      <c r="M127" s="4"/>
      <c r="Q127" s="386"/>
      <c r="R127" s="386"/>
      <c r="S127" s="386"/>
      <c r="T127" s="386"/>
      <c r="V127" s="386"/>
      <c r="W127" s="386"/>
      <c r="X127" s="386"/>
      <c r="Y127" s="386"/>
      <c r="Z127" s="603"/>
      <c r="AA127" s="386"/>
      <c r="AB127" s="386"/>
      <c r="AC127" s="386"/>
      <c r="AE127" s="386"/>
      <c r="AF127" s="386"/>
      <c r="AG127" s="386"/>
      <c r="AH127" s="386"/>
      <c r="AI127" s="386"/>
      <c r="AJ127" s="386"/>
      <c r="AK127" s="386"/>
      <c r="AL127" s="386"/>
      <c r="AN127" s="386"/>
      <c r="AO127" s="386"/>
      <c r="AP127" s="386"/>
      <c r="AQ127" s="386"/>
      <c r="AR127" s="386"/>
      <c r="AS127" s="386"/>
      <c r="AT127" s="386"/>
      <c r="AU127" s="386"/>
      <c r="AV127" s="386"/>
      <c r="AW127" s="386"/>
      <c r="AX127" s="386"/>
      <c r="AY127" s="386"/>
      <c r="AZ127" s="386"/>
      <c r="BA127" s="386"/>
      <c r="BB127" s="386"/>
      <c r="BD127" s="604"/>
      <c r="BE127" s="614"/>
      <c r="BF127" s="614"/>
      <c r="BG127" s="9"/>
      <c r="BH127" s="48"/>
      <c r="BI127" s="386"/>
      <c r="BJ127" s="386"/>
      <c r="BK127" s="386"/>
      <c r="BL127" s="386"/>
      <c r="BM127" s="386"/>
    </row>
    <row r="128" spans="8:65" x14ac:dyDescent="0.2">
      <c r="H128" s="610"/>
      <c r="I128" s="4"/>
      <c r="L128" s="4"/>
      <c r="M128" s="4"/>
      <c r="Q128" s="386"/>
      <c r="R128" s="386"/>
      <c r="S128" s="386"/>
      <c r="T128" s="386"/>
      <c r="V128" s="386"/>
      <c r="W128" s="386"/>
      <c r="X128" s="386"/>
      <c r="Y128" s="386"/>
      <c r="Z128" s="603"/>
      <c r="AA128" s="386"/>
      <c r="AB128" s="386"/>
      <c r="AC128" s="386"/>
      <c r="AE128" s="386"/>
      <c r="AF128" s="386"/>
      <c r="AG128" s="386"/>
      <c r="AH128" s="386"/>
      <c r="AI128" s="386"/>
      <c r="AJ128" s="386"/>
      <c r="AK128" s="386"/>
      <c r="AL128" s="386"/>
      <c r="AN128" s="386"/>
      <c r="AO128" s="386"/>
      <c r="AP128" s="386"/>
      <c r="AQ128" s="386"/>
      <c r="AR128" s="386"/>
      <c r="AS128" s="386"/>
      <c r="AT128" s="386"/>
      <c r="AU128" s="386"/>
      <c r="AV128" s="386"/>
      <c r="AW128" s="386"/>
      <c r="AX128" s="386"/>
      <c r="AY128" s="386"/>
      <c r="AZ128" s="386"/>
      <c r="BA128" s="386"/>
      <c r="BB128" s="386"/>
      <c r="BD128" s="604"/>
      <c r="BE128" s="614"/>
      <c r="BF128" s="614"/>
      <c r="BG128" s="9"/>
      <c r="BH128" s="48"/>
      <c r="BI128" s="386"/>
      <c r="BJ128" s="386"/>
      <c r="BK128" s="386"/>
      <c r="BL128" s="386"/>
      <c r="BM128" s="386"/>
    </row>
    <row r="129" spans="8:65" x14ac:dyDescent="0.2">
      <c r="H129" s="610"/>
      <c r="I129" s="4"/>
      <c r="L129" s="4"/>
      <c r="M129" s="4"/>
      <c r="Q129" s="386"/>
      <c r="R129" s="386"/>
      <c r="S129" s="386"/>
      <c r="T129" s="386"/>
      <c r="V129" s="386"/>
      <c r="W129" s="386"/>
      <c r="X129" s="386"/>
      <c r="Y129" s="386"/>
      <c r="Z129" s="603"/>
      <c r="AA129" s="386"/>
      <c r="AB129" s="386"/>
      <c r="AC129" s="386"/>
      <c r="AE129" s="386"/>
      <c r="AF129" s="386"/>
      <c r="AG129" s="386"/>
      <c r="AH129" s="386"/>
      <c r="AI129" s="386"/>
      <c r="AJ129" s="386"/>
      <c r="AK129" s="386"/>
      <c r="AL129" s="386"/>
      <c r="AN129" s="386"/>
      <c r="AO129" s="386"/>
      <c r="AP129" s="386"/>
      <c r="AQ129" s="386"/>
      <c r="AR129" s="386"/>
      <c r="AS129" s="386"/>
      <c r="AT129" s="386"/>
      <c r="AU129" s="386"/>
      <c r="AV129" s="386"/>
      <c r="AW129" s="386"/>
      <c r="AX129" s="386"/>
      <c r="AY129" s="386"/>
      <c r="AZ129" s="386"/>
      <c r="BA129" s="386"/>
      <c r="BB129" s="386"/>
      <c r="BD129" s="604"/>
      <c r="BE129" s="614"/>
      <c r="BF129" s="614"/>
      <c r="BG129" s="9"/>
      <c r="BH129" s="48"/>
      <c r="BI129" s="386"/>
      <c r="BJ129" s="386"/>
      <c r="BK129" s="386"/>
      <c r="BL129" s="386"/>
      <c r="BM129" s="386"/>
    </row>
    <row r="130" spans="8:65" x14ac:dyDescent="0.2">
      <c r="H130" s="610"/>
      <c r="I130" s="4"/>
      <c r="L130" s="4"/>
      <c r="M130" s="4"/>
      <c r="Q130" s="386"/>
      <c r="R130" s="386"/>
      <c r="S130" s="386"/>
      <c r="T130" s="386"/>
      <c r="V130" s="386"/>
      <c r="W130" s="386"/>
      <c r="X130" s="386"/>
      <c r="Y130" s="386"/>
      <c r="Z130" s="603"/>
      <c r="AA130" s="386"/>
      <c r="AB130" s="386"/>
      <c r="AC130" s="386"/>
      <c r="AE130" s="386"/>
      <c r="AF130" s="386"/>
      <c r="AG130" s="386"/>
      <c r="AH130" s="386"/>
      <c r="AI130" s="386"/>
      <c r="AJ130" s="386"/>
      <c r="AK130" s="386"/>
      <c r="AL130" s="386"/>
      <c r="AN130" s="386"/>
      <c r="AO130" s="386"/>
      <c r="AP130" s="386"/>
      <c r="AQ130" s="386"/>
      <c r="AR130" s="386"/>
      <c r="AS130" s="386"/>
      <c r="AT130" s="386"/>
      <c r="AU130" s="386"/>
      <c r="AV130" s="386"/>
      <c r="AW130" s="386"/>
      <c r="AX130" s="386"/>
      <c r="AY130" s="386"/>
      <c r="AZ130" s="386"/>
      <c r="BA130" s="386"/>
      <c r="BB130" s="386"/>
      <c r="BD130" s="604"/>
      <c r="BE130" s="614"/>
      <c r="BF130" s="614"/>
      <c r="BG130" s="9"/>
      <c r="BH130" s="48"/>
      <c r="BI130" s="386"/>
      <c r="BJ130" s="386"/>
      <c r="BK130" s="386"/>
      <c r="BL130" s="386"/>
      <c r="BM130" s="386"/>
    </row>
    <row r="131" spans="8:65" x14ac:dyDescent="0.2">
      <c r="H131" s="610"/>
      <c r="I131" s="4"/>
      <c r="L131" s="4"/>
      <c r="M131" s="4"/>
      <c r="Q131" s="386"/>
      <c r="R131" s="386"/>
      <c r="S131" s="386"/>
      <c r="T131" s="386"/>
      <c r="V131" s="386"/>
      <c r="W131" s="386"/>
      <c r="X131" s="386"/>
      <c r="Y131" s="386"/>
      <c r="Z131" s="603"/>
      <c r="AA131" s="386"/>
      <c r="AB131" s="386"/>
      <c r="AC131" s="386"/>
      <c r="AE131" s="386"/>
      <c r="AF131" s="386"/>
      <c r="AG131" s="386"/>
      <c r="AH131" s="386"/>
      <c r="AI131" s="386"/>
      <c r="AJ131" s="386"/>
      <c r="AK131" s="386"/>
      <c r="AL131" s="386"/>
      <c r="AN131" s="386"/>
      <c r="AO131" s="386"/>
      <c r="AP131" s="386"/>
      <c r="AQ131" s="386"/>
      <c r="AR131" s="386"/>
      <c r="AS131" s="386"/>
      <c r="AT131" s="386"/>
      <c r="AU131" s="386"/>
      <c r="AV131" s="386"/>
      <c r="AW131" s="386"/>
      <c r="AX131" s="386"/>
      <c r="AY131" s="386"/>
      <c r="AZ131" s="386"/>
      <c r="BA131" s="386"/>
      <c r="BB131" s="386"/>
      <c r="BD131" s="604"/>
      <c r="BE131" s="614"/>
      <c r="BF131" s="614"/>
      <c r="BG131" s="9"/>
      <c r="BH131" s="48"/>
      <c r="BI131" s="386"/>
      <c r="BJ131" s="386"/>
      <c r="BK131" s="386"/>
      <c r="BL131" s="386"/>
      <c r="BM131" s="386"/>
    </row>
    <row r="132" spans="8:65" x14ac:dyDescent="0.2">
      <c r="H132" s="610"/>
      <c r="I132" s="4"/>
      <c r="L132" s="4"/>
      <c r="M132" s="4"/>
      <c r="Q132" s="386"/>
      <c r="R132" s="386"/>
      <c r="S132" s="386"/>
      <c r="T132" s="386"/>
      <c r="V132" s="386"/>
      <c r="W132" s="386"/>
      <c r="X132" s="386"/>
      <c r="Y132" s="386"/>
      <c r="Z132" s="603"/>
      <c r="AA132" s="386"/>
      <c r="AB132" s="386"/>
      <c r="AC132" s="386"/>
      <c r="AE132" s="386"/>
      <c r="AF132" s="386"/>
      <c r="AG132" s="386"/>
      <c r="AH132" s="386"/>
      <c r="AI132" s="386"/>
      <c r="AJ132" s="386"/>
      <c r="AK132" s="386"/>
      <c r="AL132" s="386"/>
      <c r="AN132" s="386"/>
      <c r="AO132" s="386"/>
      <c r="AP132" s="386"/>
      <c r="AQ132" s="386"/>
      <c r="AR132" s="386"/>
      <c r="AS132" s="386"/>
      <c r="AT132" s="386"/>
      <c r="AU132" s="386"/>
      <c r="AV132" s="386"/>
      <c r="AW132" s="386"/>
      <c r="AX132" s="386"/>
      <c r="AY132" s="386"/>
      <c r="AZ132" s="386"/>
      <c r="BA132" s="386"/>
      <c r="BB132" s="386"/>
      <c r="BD132" s="604"/>
      <c r="BE132" s="614"/>
      <c r="BF132" s="614"/>
      <c r="BG132" s="9"/>
      <c r="BH132" s="48"/>
      <c r="BI132" s="386"/>
      <c r="BJ132" s="386"/>
      <c r="BK132" s="386"/>
      <c r="BL132" s="386"/>
      <c r="BM132" s="386"/>
    </row>
    <row r="133" spans="8:65" x14ac:dyDescent="0.2">
      <c r="H133" s="610"/>
      <c r="I133" s="4"/>
      <c r="L133" s="4"/>
      <c r="M133" s="4"/>
      <c r="Q133" s="386"/>
      <c r="R133" s="386"/>
      <c r="S133" s="386"/>
      <c r="T133" s="386"/>
      <c r="V133" s="386"/>
      <c r="W133" s="386"/>
      <c r="X133" s="386"/>
      <c r="Y133" s="386"/>
      <c r="Z133" s="603"/>
      <c r="AA133" s="386"/>
      <c r="AB133" s="386"/>
      <c r="AC133" s="386"/>
      <c r="AE133" s="386"/>
      <c r="AF133" s="386"/>
      <c r="AG133" s="386"/>
      <c r="AH133" s="386"/>
      <c r="AI133" s="386"/>
      <c r="AJ133" s="386"/>
      <c r="AK133" s="386"/>
      <c r="AL133" s="386"/>
      <c r="AN133" s="386"/>
      <c r="AO133" s="386"/>
      <c r="AP133" s="386"/>
      <c r="AQ133" s="386"/>
      <c r="AR133" s="386"/>
      <c r="AS133" s="386"/>
      <c r="AT133" s="386"/>
      <c r="AU133" s="386"/>
      <c r="AV133" s="386"/>
      <c r="AW133" s="386"/>
      <c r="AX133" s="386"/>
      <c r="AY133" s="386"/>
      <c r="AZ133" s="386"/>
      <c r="BA133" s="386"/>
      <c r="BB133" s="386"/>
      <c r="BD133" s="604"/>
      <c r="BE133" s="614"/>
      <c r="BF133" s="614"/>
      <c r="BG133" s="9"/>
      <c r="BH133" s="48"/>
      <c r="BI133" s="386"/>
      <c r="BJ133" s="386"/>
      <c r="BK133" s="386"/>
      <c r="BL133" s="386"/>
      <c r="BM133" s="386"/>
    </row>
    <row r="134" spans="8:65" x14ac:dyDescent="0.2">
      <c r="H134" s="610"/>
      <c r="I134" s="4"/>
      <c r="L134" s="4"/>
      <c r="M134" s="4"/>
      <c r="Q134" s="386"/>
      <c r="R134" s="386"/>
      <c r="S134" s="386"/>
      <c r="T134" s="386"/>
      <c r="V134" s="386"/>
      <c r="W134" s="386"/>
      <c r="X134" s="386"/>
      <c r="Y134" s="386"/>
      <c r="Z134" s="603"/>
      <c r="AA134" s="386"/>
      <c r="AB134" s="386"/>
      <c r="AC134" s="386"/>
      <c r="AE134" s="386"/>
      <c r="AF134" s="386"/>
      <c r="AG134" s="386"/>
      <c r="AH134" s="386"/>
      <c r="AI134" s="386"/>
      <c r="AJ134" s="386"/>
      <c r="AK134" s="386"/>
      <c r="AL134" s="386"/>
      <c r="AN134" s="386"/>
      <c r="AO134" s="386"/>
      <c r="AP134" s="386"/>
      <c r="AQ134" s="386"/>
      <c r="AR134" s="386"/>
      <c r="AS134" s="386"/>
      <c r="AT134" s="386"/>
      <c r="AU134" s="386"/>
      <c r="AV134" s="386"/>
      <c r="AW134" s="386"/>
      <c r="AX134" s="386"/>
      <c r="AY134" s="386"/>
      <c r="AZ134" s="386"/>
      <c r="BA134" s="386"/>
      <c r="BB134" s="386"/>
      <c r="BD134" s="604"/>
      <c r="BE134" s="614"/>
      <c r="BF134" s="614"/>
      <c r="BG134" s="9"/>
      <c r="BH134" s="48"/>
      <c r="BI134" s="386"/>
      <c r="BJ134" s="386"/>
      <c r="BK134" s="386"/>
      <c r="BL134" s="386"/>
      <c r="BM134" s="386"/>
    </row>
    <row r="135" spans="8:65" x14ac:dyDescent="0.2">
      <c r="H135" s="610"/>
      <c r="I135" s="4"/>
      <c r="L135" s="4"/>
      <c r="M135" s="4"/>
      <c r="Q135" s="386"/>
      <c r="R135" s="386"/>
      <c r="S135" s="386"/>
      <c r="T135" s="386"/>
      <c r="V135" s="386"/>
      <c r="W135" s="386"/>
      <c r="X135" s="386"/>
      <c r="Y135" s="386"/>
      <c r="Z135" s="603"/>
      <c r="AA135" s="386"/>
      <c r="AB135" s="386"/>
      <c r="AC135" s="386"/>
      <c r="AE135" s="386"/>
      <c r="AF135" s="386"/>
      <c r="AG135" s="386"/>
      <c r="AH135" s="386"/>
      <c r="AI135" s="386"/>
      <c r="AJ135" s="386"/>
      <c r="AK135" s="386"/>
      <c r="AL135" s="386"/>
      <c r="AN135" s="386"/>
      <c r="AO135" s="386"/>
      <c r="AP135" s="386"/>
      <c r="AQ135" s="386"/>
      <c r="AR135" s="386"/>
      <c r="AS135" s="386"/>
      <c r="AT135" s="386"/>
      <c r="AU135" s="386"/>
      <c r="AV135" s="386"/>
      <c r="AW135" s="386"/>
      <c r="AX135" s="386"/>
      <c r="AY135" s="386"/>
      <c r="AZ135" s="386"/>
      <c r="BA135" s="386"/>
      <c r="BB135" s="386"/>
      <c r="BD135" s="604"/>
      <c r="BE135" s="614"/>
      <c r="BF135" s="614"/>
      <c r="BG135" s="9"/>
      <c r="BH135" s="48"/>
      <c r="BI135" s="386"/>
      <c r="BJ135" s="386"/>
      <c r="BK135" s="386"/>
      <c r="BL135" s="386"/>
      <c r="BM135" s="386"/>
    </row>
    <row r="136" spans="8:65" x14ac:dyDescent="0.2">
      <c r="H136" s="610"/>
      <c r="I136" s="4"/>
      <c r="L136" s="4"/>
      <c r="M136" s="4"/>
      <c r="Q136" s="386"/>
      <c r="R136" s="386"/>
      <c r="S136" s="386"/>
      <c r="T136" s="386"/>
      <c r="V136" s="386"/>
      <c r="W136" s="386"/>
      <c r="X136" s="386"/>
      <c r="Y136" s="386"/>
      <c r="Z136" s="603"/>
      <c r="AA136" s="386"/>
      <c r="AB136" s="386"/>
      <c r="AC136" s="386"/>
      <c r="AE136" s="386"/>
      <c r="AF136" s="386"/>
      <c r="AG136" s="386"/>
      <c r="AH136" s="386"/>
      <c r="AI136" s="386"/>
      <c r="AJ136" s="386"/>
      <c r="AK136" s="386"/>
      <c r="AL136" s="386"/>
      <c r="AN136" s="386"/>
      <c r="AO136" s="386"/>
      <c r="AP136" s="386"/>
      <c r="AQ136" s="386"/>
      <c r="AR136" s="386"/>
      <c r="AS136" s="386"/>
      <c r="AT136" s="386"/>
      <c r="AU136" s="386"/>
      <c r="AV136" s="386"/>
      <c r="AW136" s="386"/>
      <c r="AX136" s="386"/>
      <c r="AY136" s="386"/>
      <c r="AZ136" s="386"/>
      <c r="BA136" s="386"/>
      <c r="BB136" s="386"/>
      <c r="BD136" s="604"/>
      <c r="BE136" s="614"/>
      <c r="BF136" s="614"/>
      <c r="BG136" s="9"/>
      <c r="BH136" s="48"/>
      <c r="BI136" s="386"/>
      <c r="BJ136" s="386"/>
      <c r="BK136" s="386"/>
      <c r="BL136" s="386"/>
      <c r="BM136" s="386"/>
    </row>
    <row r="137" spans="8:65" x14ac:dyDescent="0.2">
      <c r="H137" s="610"/>
      <c r="I137" s="4"/>
      <c r="L137" s="4"/>
      <c r="M137" s="4"/>
      <c r="Q137" s="386"/>
      <c r="R137" s="386"/>
      <c r="S137" s="386"/>
      <c r="T137" s="386"/>
      <c r="V137" s="386"/>
      <c r="W137" s="386"/>
      <c r="X137" s="386"/>
      <c r="Y137" s="386"/>
      <c r="Z137" s="603"/>
      <c r="AA137" s="386"/>
      <c r="AB137" s="386"/>
      <c r="AC137" s="386"/>
      <c r="AE137" s="386"/>
      <c r="AF137" s="386"/>
      <c r="AG137" s="386"/>
      <c r="AH137" s="386"/>
      <c r="AI137" s="386"/>
      <c r="AJ137" s="386"/>
      <c r="AK137" s="386"/>
      <c r="AL137" s="386"/>
      <c r="AN137" s="386"/>
      <c r="AO137" s="386"/>
      <c r="AP137" s="386"/>
      <c r="AQ137" s="386"/>
      <c r="AR137" s="386"/>
      <c r="AS137" s="386"/>
      <c r="AT137" s="386"/>
      <c r="AU137" s="386"/>
      <c r="AV137" s="386"/>
      <c r="AW137" s="386"/>
      <c r="AX137" s="386"/>
      <c r="AY137" s="386"/>
      <c r="AZ137" s="386"/>
      <c r="BA137" s="386"/>
      <c r="BB137" s="386"/>
      <c r="BD137" s="604"/>
      <c r="BE137" s="614"/>
      <c r="BF137" s="614"/>
      <c r="BG137" s="9"/>
      <c r="BH137" s="48"/>
      <c r="BI137" s="386"/>
      <c r="BJ137" s="386"/>
      <c r="BK137" s="386"/>
      <c r="BL137" s="386"/>
      <c r="BM137" s="386"/>
    </row>
    <row r="138" spans="8:65" x14ac:dyDescent="0.2">
      <c r="H138" s="610"/>
      <c r="I138" s="4"/>
      <c r="L138" s="4"/>
      <c r="M138" s="4"/>
      <c r="Q138" s="386"/>
      <c r="R138" s="386"/>
      <c r="S138" s="386"/>
      <c r="T138" s="386"/>
      <c r="V138" s="386"/>
      <c r="W138" s="386"/>
      <c r="X138" s="386"/>
      <c r="Y138" s="386"/>
      <c r="Z138" s="603"/>
      <c r="AA138" s="386"/>
      <c r="AB138" s="386"/>
      <c r="AC138" s="386"/>
      <c r="AE138" s="386"/>
      <c r="AF138" s="386"/>
      <c r="AG138" s="386"/>
      <c r="AH138" s="386"/>
      <c r="AI138" s="386"/>
      <c r="AJ138" s="386"/>
      <c r="AK138" s="386"/>
      <c r="AL138" s="386"/>
      <c r="AN138" s="386"/>
      <c r="AO138" s="386"/>
      <c r="AP138" s="386"/>
      <c r="AQ138" s="386"/>
      <c r="AR138" s="386"/>
      <c r="AS138" s="386"/>
      <c r="AT138" s="386"/>
      <c r="AU138" s="386"/>
      <c r="AV138" s="386"/>
      <c r="AW138" s="386"/>
      <c r="AX138" s="386"/>
      <c r="AY138" s="386"/>
      <c r="AZ138" s="386"/>
      <c r="BA138" s="386"/>
      <c r="BB138" s="386"/>
      <c r="BD138" s="604"/>
      <c r="BE138" s="614"/>
      <c r="BF138" s="614"/>
      <c r="BG138" s="9"/>
      <c r="BH138" s="48"/>
      <c r="BI138" s="386"/>
      <c r="BJ138" s="386"/>
      <c r="BK138" s="386"/>
      <c r="BL138" s="386"/>
      <c r="BM138" s="386"/>
    </row>
    <row r="139" spans="8:65" x14ac:dyDescent="0.2">
      <c r="H139" s="610"/>
      <c r="I139" s="4"/>
      <c r="L139" s="4"/>
      <c r="M139" s="4"/>
      <c r="Q139" s="386"/>
      <c r="R139" s="386"/>
      <c r="S139" s="386"/>
      <c r="T139" s="386"/>
      <c r="V139" s="386"/>
      <c r="W139" s="386"/>
      <c r="X139" s="386"/>
      <c r="Y139" s="386"/>
      <c r="Z139" s="603"/>
      <c r="AA139" s="386"/>
      <c r="AB139" s="386"/>
      <c r="AC139" s="386"/>
      <c r="AE139" s="386"/>
      <c r="AF139" s="386"/>
      <c r="AG139" s="386"/>
      <c r="AH139" s="386"/>
      <c r="AI139" s="386"/>
      <c r="AJ139" s="386"/>
      <c r="AK139" s="386"/>
      <c r="AL139" s="386"/>
      <c r="AN139" s="386"/>
      <c r="AO139" s="386"/>
      <c r="AP139" s="386"/>
      <c r="AQ139" s="386"/>
      <c r="AR139" s="386"/>
      <c r="AS139" s="386"/>
      <c r="AT139" s="386"/>
      <c r="AU139" s="386"/>
      <c r="AV139" s="386"/>
      <c r="AW139" s="386"/>
      <c r="AX139" s="386"/>
      <c r="AY139" s="386"/>
      <c r="AZ139" s="386"/>
      <c r="BA139" s="386"/>
      <c r="BB139" s="386"/>
      <c r="BD139" s="604"/>
      <c r="BE139" s="614"/>
      <c r="BF139" s="614"/>
      <c r="BG139" s="9"/>
      <c r="BH139" s="48"/>
      <c r="BI139" s="386"/>
      <c r="BJ139" s="386"/>
      <c r="BK139" s="386"/>
      <c r="BL139" s="386"/>
      <c r="BM139" s="386"/>
    </row>
    <row r="140" spans="8:65" x14ac:dyDescent="0.2">
      <c r="H140" s="610"/>
      <c r="I140" s="4"/>
      <c r="L140" s="4"/>
      <c r="M140" s="4"/>
      <c r="Q140" s="386"/>
      <c r="R140" s="386"/>
      <c r="S140" s="386"/>
      <c r="T140" s="386"/>
      <c r="V140" s="386"/>
      <c r="W140" s="386"/>
      <c r="X140" s="386"/>
      <c r="Y140" s="386"/>
      <c r="Z140" s="603"/>
      <c r="AA140" s="386"/>
      <c r="AB140" s="386"/>
      <c r="AC140" s="386"/>
      <c r="AE140" s="386"/>
      <c r="AF140" s="386"/>
      <c r="AG140" s="386"/>
      <c r="AH140" s="386"/>
      <c r="AI140" s="386"/>
      <c r="AJ140" s="386"/>
      <c r="AK140" s="386"/>
      <c r="AL140" s="386"/>
      <c r="AN140" s="386"/>
      <c r="AO140" s="386"/>
      <c r="AP140" s="386"/>
      <c r="AQ140" s="386"/>
      <c r="AR140" s="386"/>
      <c r="AS140" s="386"/>
      <c r="AT140" s="386"/>
      <c r="AU140" s="386"/>
      <c r="AV140" s="386"/>
      <c r="AW140" s="386"/>
      <c r="AX140" s="386"/>
      <c r="AY140" s="386"/>
      <c r="AZ140" s="386"/>
      <c r="BA140" s="386"/>
      <c r="BB140" s="386"/>
      <c r="BD140" s="604"/>
      <c r="BE140" s="614"/>
      <c r="BF140" s="614"/>
      <c r="BG140" s="9"/>
      <c r="BH140" s="48"/>
      <c r="BI140" s="386"/>
      <c r="BJ140" s="386"/>
      <c r="BK140" s="386"/>
      <c r="BL140" s="386"/>
      <c r="BM140" s="386"/>
    </row>
    <row r="141" spans="8:65" x14ac:dyDescent="0.2">
      <c r="H141" s="610"/>
      <c r="I141" s="4"/>
      <c r="L141" s="4"/>
      <c r="M141" s="4"/>
      <c r="Q141" s="386"/>
      <c r="R141" s="386"/>
      <c r="S141" s="386"/>
      <c r="T141" s="386"/>
      <c r="V141" s="386"/>
      <c r="W141" s="386"/>
      <c r="X141" s="386"/>
      <c r="Y141" s="386"/>
      <c r="Z141" s="603"/>
      <c r="AA141" s="386"/>
      <c r="AB141" s="386"/>
      <c r="AC141" s="386"/>
      <c r="AE141" s="386"/>
      <c r="AF141" s="386"/>
      <c r="AG141" s="386"/>
      <c r="AH141" s="386"/>
      <c r="AI141" s="386"/>
      <c r="AJ141" s="386"/>
      <c r="AK141" s="386"/>
      <c r="AL141" s="386"/>
      <c r="AN141" s="386"/>
      <c r="AO141" s="386"/>
      <c r="AP141" s="386"/>
      <c r="AQ141" s="386"/>
      <c r="AR141" s="386"/>
      <c r="AS141" s="386"/>
      <c r="AT141" s="386"/>
      <c r="AU141" s="386"/>
      <c r="AV141" s="386"/>
      <c r="AW141" s="386"/>
      <c r="AX141" s="386"/>
      <c r="AY141" s="386"/>
      <c r="AZ141" s="386"/>
      <c r="BA141" s="386"/>
      <c r="BB141" s="386"/>
      <c r="BD141" s="604"/>
      <c r="BE141" s="614"/>
      <c r="BF141" s="614"/>
      <c r="BG141" s="9"/>
      <c r="BH141" s="48"/>
      <c r="BI141" s="386"/>
      <c r="BJ141" s="386"/>
      <c r="BK141" s="386"/>
      <c r="BL141" s="386"/>
      <c r="BM141" s="386"/>
    </row>
    <row r="142" spans="8:65" x14ac:dyDescent="0.2">
      <c r="H142" s="610"/>
      <c r="I142" s="4"/>
      <c r="L142" s="4"/>
      <c r="M142" s="4"/>
      <c r="Q142" s="386"/>
      <c r="R142" s="386"/>
      <c r="S142" s="386"/>
      <c r="T142" s="386"/>
      <c r="V142" s="386"/>
      <c r="W142" s="386"/>
      <c r="X142" s="386"/>
      <c r="Y142" s="386"/>
      <c r="Z142" s="603"/>
      <c r="AA142" s="386"/>
      <c r="AB142" s="386"/>
      <c r="AC142" s="386"/>
      <c r="AE142" s="386"/>
      <c r="AF142" s="386"/>
      <c r="AG142" s="386"/>
      <c r="AH142" s="386"/>
      <c r="AI142" s="386"/>
      <c r="AJ142" s="386"/>
      <c r="AK142" s="386"/>
      <c r="AL142" s="386"/>
      <c r="AN142" s="386"/>
      <c r="AO142" s="386"/>
      <c r="AP142" s="386"/>
      <c r="AQ142" s="386"/>
      <c r="AR142" s="386"/>
      <c r="AS142" s="386"/>
      <c r="AT142" s="386"/>
      <c r="AU142" s="386"/>
      <c r="AV142" s="386"/>
      <c r="AW142" s="386"/>
      <c r="AX142" s="386"/>
      <c r="AY142" s="386"/>
      <c r="AZ142" s="386"/>
      <c r="BA142" s="386"/>
      <c r="BB142" s="386"/>
      <c r="BD142" s="604"/>
      <c r="BE142" s="614"/>
      <c r="BF142" s="614"/>
      <c r="BG142" s="9"/>
      <c r="BH142" s="48"/>
      <c r="BI142" s="386"/>
      <c r="BJ142" s="386"/>
      <c r="BK142" s="386"/>
      <c r="BL142" s="386"/>
      <c r="BM142" s="386"/>
    </row>
    <row r="143" spans="8:65" x14ac:dyDescent="0.2">
      <c r="H143" s="610"/>
      <c r="I143" s="4"/>
      <c r="L143" s="4"/>
      <c r="M143" s="4"/>
      <c r="Q143" s="386"/>
      <c r="R143" s="386"/>
      <c r="S143" s="386"/>
      <c r="T143" s="386"/>
      <c r="V143" s="386"/>
      <c r="W143" s="386"/>
      <c r="X143" s="386"/>
      <c r="Y143" s="386"/>
      <c r="Z143" s="603"/>
      <c r="AA143" s="386"/>
      <c r="AB143" s="386"/>
      <c r="AC143" s="386"/>
      <c r="AE143" s="386"/>
      <c r="AF143" s="386"/>
      <c r="AG143" s="386"/>
      <c r="AH143" s="386"/>
      <c r="AI143" s="386"/>
      <c r="AJ143" s="386"/>
      <c r="AK143" s="386"/>
      <c r="AL143" s="386"/>
      <c r="AN143" s="386"/>
      <c r="AO143" s="386"/>
      <c r="AP143" s="386"/>
      <c r="AQ143" s="386"/>
      <c r="AR143" s="386"/>
      <c r="AS143" s="386"/>
      <c r="AT143" s="386"/>
      <c r="AU143" s="386"/>
      <c r="AV143" s="386"/>
      <c r="AW143" s="386"/>
      <c r="AX143" s="386"/>
      <c r="AY143" s="386"/>
      <c r="AZ143" s="386"/>
      <c r="BA143" s="386"/>
      <c r="BB143" s="386"/>
      <c r="BD143" s="604"/>
      <c r="BE143" s="614"/>
      <c r="BF143" s="614"/>
      <c r="BG143" s="9"/>
      <c r="BH143" s="48"/>
      <c r="BI143" s="386"/>
      <c r="BJ143" s="386"/>
      <c r="BK143" s="386"/>
      <c r="BL143" s="386"/>
      <c r="BM143" s="386"/>
    </row>
    <row r="144" spans="8:65" x14ac:dyDescent="0.2">
      <c r="H144" s="610"/>
      <c r="I144" s="4"/>
      <c r="L144" s="4"/>
      <c r="M144" s="4"/>
      <c r="Q144" s="386"/>
      <c r="R144" s="386"/>
      <c r="S144" s="386"/>
      <c r="T144" s="386"/>
      <c r="V144" s="386"/>
      <c r="W144" s="386"/>
      <c r="X144" s="386"/>
      <c r="Y144" s="386"/>
      <c r="Z144" s="603"/>
      <c r="AA144" s="386"/>
      <c r="AB144" s="386"/>
      <c r="AC144" s="386"/>
      <c r="AE144" s="386"/>
      <c r="AF144" s="386"/>
      <c r="AG144" s="386"/>
      <c r="AH144" s="386"/>
      <c r="AI144" s="386"/>
      <c r="AJ144" s="386"/>
      <c r="AK144" s="386"/>
      <c r="AL144" s="386"/>
      <c r="AN144" s="386"/>
      <c r="AO144" s="386"/>
      <c r="AP144" s="386"/>
      <c r="AQ144" s="386"/>
      <c r="AR144" s="386"/>
      <c r="AS144" s="386"/>
      <c r="AT144" s="386"/>
      <c r="AU144" s="386"/>
      <c r="AV144" s="386"/>
      <c r="AW144" s="386"/>
      <c r="AX144" s="386"/>
      <c r="AY144" s="386"/>
      <c r="AZ144" s="386"/>
      <c r="BA144" s="386"/>
      <c r="BB144" s="386"/>
      <c r="BD144" s="604"/>
      <c r="BE144" s="614"/>
      <c r="BF144" s="614"/>
      <c r="BG144" s="9"/>
      <c r="BH144" s="48"/>
      <c r="BI144" s="386"/>
      <c r="BJ144" s="386"/>
      <c r="BK144" s="386"/>
      <c r="BL144" s="386"/>
      <c r="BM144" s="386"/>
    </row>
    <row r="145" spans="8:65" x14ac:dyDescent="0.2">
      <c r="H145" s="610"/>
      <c r="I145" s="4"/>
      <c r="L145" s="4"/>
      <c r="M145" s="4"/>
      <c r="Q145" s="386"/>
      <c r="R145" s="386"/>
      <c r="S145" s="386"/>
      <c r="T145" s="386"/>
      <c r="V145" s="386"/>
      <c r="W145" s="386"/>
      <c r="X145" s="386"/>
      <c r="Y145" s="386"/>
      <c r="Z145" s="603"/>
      <c r="AA145" s="386"/>
      <c r="AB145" s="386"/>
      <c r="AC145" s="386"/>
      <c r="AE145" s="386"/>
      <c r="AF145" s="386"/>
      <c r="AG145" s="386"/>
      <c r="AH145" s="386"/>
      <c r="AI145" s="386"/>
      <c r="AJ145" s="386"/>
      <c r="AK145" s="386"/>
      <c r="AL145" s="386"/>
      <c r="AN145" s="386"/>
      <c r="AO145" s="386"/>
      <c r="AP145" s="386"/>
      <c r="AQ145" s="386"/>
      <c r="AR145" s="386"/>
      <c r="AS145" s="386"/>
      <c r="AT145" s="386"/>
      <c r="AU145" s="386"/>
      <c r="AV145" s="386"/>
      <c r="AW145" s="386"/>
      <c r="AX145" s="386"/>
      <c r="AY145" s="386"/>
      <c r="AZ145" s="386"/>
      <c r="BA145" s="386"/>
      <c r="BB145" s="386"/>
      <c r="BD145" s="604"/>
      <c r="BE145" s="614"/>
      <c r="BF145" s="614"/>
      <c r="BG145" s="9"/>
      <c r="BH145" s="48"/>
      <c r="BI145" s="386"/>
      <c r="BJ145" s="386"/>
      <c r="BK145" s="386"/>
      <c r="BL145" s="386"/>
      <c r="BM145" s="386"/>
    </row>
    <row r="146" spans="8:65" x14ac:dyDescent="0.2">
      <c r="H146" s="610"/>
      <c r="I146" s="4"/>
      <c r="L146" s="4"/>
      <c r="M146" s="4"/>
      <c r="Q146" s="386"/>
      <c r="R146" s="386"/>
      <c r="S146" s="386"/>
      <c r="T146" s="386"/>
      <c r="V146" s="386"/>
      <c r="W146" s="386"/>
      <c r="X146" s="386"/>
      <c r="Y146" s="386"/>
      <c r="Z146" s="603"/>
      <c r="AA146" s="386"/>
      <c r="AB146" s="386"/>
      <c r="AC146" s="386"/>
      <c r="AE146" s="386"/>
      <c r="AF146" s="386"/>
      <c r="AG146" s="386"/>
      <c r="AH146" s="386"/>
      <c r="AI146" s="386"/>
      <c r="AJ146" s="386"/>
      <c r="AK146" s="386"/>
      <c r="AL146" s="386"/>
      <c r="AN146" s="386"/>
      <c r="AO146" s="386"/>
      <c r="AP146" s="386"/>
      <c r="AQ146" s="386"/>
      <c r="AR146" s="386"/>
      <c r="AS146" s="386"/>
      <c r="AT146" s="386"/>
      <c r="AU146" s="386"/>
      <c r="AV146" s="386"/>
      <c r="AW146" s="386"/>
      <c r="AX146" s="386"/>
      <c r="AY146" s="386"/>
      <c r="AZ146" s="386"/>
      <c r="BA146" s="386"/>
      <c r="BB146" s="386"/>
      <c r="BD146" s="604"/>
      <c r="BE146" s="614"/>
      <c r="BF146" s="614"/>
      <c r="BG146" s="9"/>
      <c r="BH146" s="48"/>
      <c r="BI146" s="386"/>
      <c r="BJ146" s="386"/>
      <c r="BK146" s="386"/>
      <c r="BL146" s="386"/>
      <c r="BM146" s="386"/>
    </row>
    <row r="147" spans="8:65" x14ac:dyDescent="0.2">
      <c r="H147" s="610"/>
      <c r="I147" s="4"/>
      <c r="L147" s="4"/>
      <c r="M147" s="4"/>
      <c r="Q147" s="386"/>
      <c r="R147" s="386"/>
      <c r="S147" s="386"/>
      <c r="T147" s="386"/>
      <c r="V147" s="386"/>
      <c r="W147" s="386"/>
      <c r="X147" s="386"/>
      <c r="Y147" s="386"/>
      <c r="Z147" s="603"/>
      <c r="AA147" s="386"/>
      <c r="AB147" s="386"/>
      <c r="AC147" s="386"/>
      <c r="AE147" s="386"/>
      <c r="AF147" s="386"/>
      <c r="AG147" s="386"/>
      <c r="AH147" s="386"/>
      <c r="AI147" s="386"/>
      <c r="AJ147" s="386"/>
      <c r="AK147" s="386"/>
      <c r="AL147" s="386"/>
      <c r="AN147" s="386"/>
      <c r="AO147" s="386"/>
      <c r="AP147" s="386"/>
      <c r="AQ147" s="386"/>
      <c r="AR147" s="386"/>
      <c r="AS147" s="386"/>
      <c r="AT147" s="386"/>
      <c r="AU147" s="386"/>
      <c r="AV147" s="386"/>
      <c r="AW147" s="386"/>
      <c r="AX147" s="386"/>
      <c r="AY147" s="386"/>
      <c r="AZ147" s="386"/>
      <c r="BA147" s="386"/>
      <c r="BB147" s="386"/>
      <c r="BD147" s="604"/>
      <c r="BE147" s="614"/>
      <c r="BF147" s="614"/>
      <c r="BG147" s="9"/>
      <c r="BH147" s="48"/>
      <c r="BI147" s="386"/>
      <c r="BJ147" s="386"/>
      <c r="BK147" s="386"/>
      <c r="BL147" s="386"/>
      <c r="BM147" s="386"/>
    </row>
    <row r="148" spans="8:65" x14ac:dyDescent="0.2">
      <c r="H148" s="610"/>
      <c r="I148" s="4"/>
      <c r="L148" s="4"/>
      <c r="M148" s="4"/>
      <c r="Q148" s="386"/>
      <c r="R148" s="386"/>
      <c r="S148" s="386"/>
      <c r="T148" s="386"/>
      <c r="V148" s="386"/>
      <c r="W148" s="386"/>
      <c r="X148" s="386"/>
      <c r="Y148" s="386"/>
      <c r="Z148" s="603"/>
      <c r="AA148" s="386"/>
      <c r="AB148" s="386"/>
      <c r="AC148" s="386"/>
      <c r="AE148" s="386"/>
      <c r="AF148" s="386"/>
      <c r="AG148" s="386"/>
      <c r="AH148" s="386"/>
      <c r="AI148" s="386"/>
      <c r="AJ148" s="386"/>
      <c r="AK148" s="386"/>
      <c r="AL148" s="386"/>
      <c r="AN148" s="386"/>
      <c r="AO148" s="386"/>
      <c r="AP148" s="386"/>
      <c r="AQ148" s="386"/>
      <c r="AR148" s="386"/>
      <c r="AS148" s="386"/>
      <c r="AT148" s="386"/>
      <c r="AU148" s="386"/>
      <c r="AV148" s="386"/>
      <c r="AW148" s="386"/>
      <c r="AX148" s="386"/>
      <c r="AY148" s="386"/>
      <c r="AZ148" s="386"/>
      <c r="BA148" s="386"/>
      <c r="BB148" s="386"/>
      <c r="BD148" s="604"/>
      <c r="BE148" s="614"/>
      <c r="BF148" s="614"/>
      <c r="BG148" s="9"/>
      <c r="BH148" s="48"/>
      <c r="BI148" s="386"/>
      <c r="BJ148" s="386"/>
      <c r="BK148" s="386"/>
      <c r="BL148" s="386"/>
      <c r="BM148" s="386"/>
    </row>
    <row r="149" spans="8:65" x14ac:dyDescent="0.2">
      <c r="H149" s="610"/>
      <c r="I149" s="4"/>
      <c r="L149" s="4"/>
      <c r="M149" s="4"/>
      <c r="Q149" s="386"/>
      <c r="R149" s="386"/>
      <c r="S149" s="386"/>
      <c r="T149" s="386"/>
      <c r="V149" s="386"/>
      <c r="W149" s="386"/>
      <c r="X149" s="386"/>
      <c r="Y149" s="386"/>
      <c r="Z149" s="603"/>
      <c r="AA149" s="386"/>
      <c r="AB149" s="386"/>
      <c r="AC149" s="386"/>
      <c r="AE149" s="386"/>
      <c r="AF149" s="386"/>
      <c r="AG149" s="386"/>
      <c r="AH149" s="386"/>
      <c r="AI149" s="386"/>
      <c r="AJ149" s="386"/>
      <c r="AK149" s="386"/>
      <c r="AL149" s="386"/>
      <c r="AN149" s="386"/>
      <c r="AO149" s="386"/>
      <c r="AP149" s="386"/>
      <c r="AQ149" s="386"/>
      <c r="AR149" s="386"/>
      <c r="AS149" s="386"/>
      <c r="AT149" s="386"/>
      <c r="AU149" s="386"/>
      <c r="AV149" s="386"/>
      <c r="AW149" s="386"/>
      <c r="AX149" s="386"/>
      <c r="AY149" s="386"/>
      <c r="AZ149" s="386"/>
      <c r="BA149" s="386"/>
      <c r="BB149" s="386"/>
      <c r="BD149" s="604"/>
      <c r="BE149" s="614"/>
      <c r="BF149" s="614"/>
      <c r="BG149" s="9"/>
      <c r="BH149" s="48"/>
      <c r="BI149" s="386"/>
      <c r="BJ149" s="386"/>
      <c r="BK149" s="386"/>
      <c r="BL149" s="386"/>
      <c r="BM149" s="386"/>
    </row>
    <row r="150" spans="8:65" x14ac:dyDescent="0.2">
      <c r="H150" s="610"/>
      <c r="I150" s="4"/>
      <c r="L150" s="4"/>
      <c r="M150" s="4"/>
      <c r="Q150" s="386"/>
      <c r="R150" s="386"/>
      <c r="S150" s="386"/>
      <c r="T150" s="386"/>
      <c r="V150" s="386"/>
      <c r="W150" s="386"/>
      <c r="X150" s="386"/>
      <c r="Y150" s="386"/>
      <c r="Z150" s="603"/>
      <c r="AA150" s="386"/>
      <c r="AB150" s="386"/>
      <c r="AC150" s="386"/>
      <c r="AE150" s="386"/>
      <c r="AF150" s="386"/>
      <c r="AG150" s="386"/>
      <c r="AH150" s="386"/>
      <c r="AI150" s="386"/>
      <c r="AJ150" s="386"/>
      <c r="AK150" s="386"/>
      <c r="AL150" s="386"/>
      <c r="AN150" s="386"/>
      <c r="AO150" s="386"/>
      <c r="AP150" s="386"/>
      <c r="AQ150" s="386"/>
      <c r="AR150" s="386"/>
      <c r="AS150" s="386"/>
      <c r="AT150" s="386"/>
      <c r="AU150" s="386"/>
      <c r="AV150" s="386"/>
      <c r="AW150" s="386"/>
      <c r="AX150" s="386"/>
      <c r="AY150" s="386"/>
      <c r="AZ150" s="386"/>
      <c r="BA150" s="386"/>
      <c r="BB150" s="386"/>
      <c r="BD150" s="604"/>
      <c r="BE150" s="614"/>
      <c r="BF150" s="614"/>
      <c r="BG150" s="9"/>
      <c r="BH150" s="48"/>
      <c r="BI150" s="386"/>
      <c r="BJ150" s="386"/>
      <c r="BK150" s="386"/>
      <c r="BL150" s="386"/>
      <c r="BM150" s="386"/>
    </row>
    <row r="151" spans="8:65" x14ac:dyDescent="0.2">
      <c r="H151" s="610"/>
      <c r="I151" s="4"/>
      <c r="L151" s="4"/>
      <c r="M151" s="4"/>
      <c r="Q151" s="386"/>
      <c r="R151" s="386"/>
      <c r="S151" s="386"/>
      <c r="T151" s="386"/>
      <c r="V151" s="386"/>
      <c r="W151" s="386"/>
      <c r="X151" s="386"/>
      <c r="Y151" s="386"/>
      <c r="Z151" s="603"/>
      <c r="AA151" s="386"/>
      <c r="AB151" s="386"/>
      <c r="AC151" s="386"/>
      <c r="AE151" s="386"/>
      <c r="AF151" s="386"/>
      <c r="AG151" s="386"/>
      <c r="AH151" s="386"/>
      <c r="AI151" s="386"/>
      <c r="AJ151" s="386"/>
      <c r="AK151" s="386"/>
      <c r="AL151" s="386"/>
      <c r="AN151" s="386"/>
      <c r="AO151" s="386"/>
      <c r="AP151" s="386"/>
      <c r="AQ151" s="386"/>
      <c r="AR151" s="386"/>
      <c r="AS151" s="386"/>
      <c r="AT151" s="386"/>
      <c r="AU151" s="386"/>
      <c r="AV151" s="386"/>
      <c r="AW151" s="386"/>
      <c r="AX151" s="386"/>
      <c r="AY151" s="386"/>
      <c r="AZ151" s="386"/>
      <c r="BA151" s="386"/>
      <c r="BB151" s="386"/>
      <c r="BD151" s="604"/>
      <c r="BE151" s="614"/>
      <c r="BF151" s="614"/>
      <c r="BG151" s="9"/>
      <c r="BH151" s="48"/>
      <c r="BI151" s="386"/>
      <c r="BJ151" s="386"/>
      <c r="BK151" s="386"/>
      <c r="BL151" s="386"/>
      <c r="BM151" s="386"/>
    </row>
    <row r="152" spans="8:65" x14ac:dyDescent="0.2">
      <c r="H152" s="610"/>
      <c r="I152" s="4"/>
      <c r="L152" s="4"/>
      <c r="M152" s="4"/>
      <c r="Q152" s="386"/>
      <c r="R152" s="386"/>
      <c r="S152" s="386"/>
      <c r="T152" s="386"/>
      <c r="V152" s="386"/>
      <c r="W152" s="386"/>
      <c r="X152" s="386"/>
      <c r="Y152" s="386"/>
      <c r="Z152" s="603"/>
      <c r="AA152" s="386"/>
      <c r="AB152" s="386"/>
      <c r="AC152" s="386"/>
      <c r="AE152" s="386"/>
      <c r="AF152" s="386"/>
      <c r="AG152" s="386"/>
      <c r="AH152" s="386"/>
      <c r="AI152" s="386"/>
      <c r="AJ152" s="386"/>
      <c r="AK152" s="386"/>
      <c r="AL152" s="386"/>
      <c r="AN152" s="386"/>
      <c r="AO152" s="386"/>
      <c r="AP152" s="386"/>
      <c r="AQ152" s="386"/>
      <c r="AR152" s="386"/>
      <c r="AS152" s="386"/>
      <c r="AT152" s="386"/>
      <c r="AU152" s="386"/>
      <c r="AV152" s="386"/>
      <c r="AW152" s="386"/>
      <c r="AX152" s="386"/>
      <c r="AY152" s="386"/>
      <c r="AZ152" s="386"/>
      <c r="BA152" s="386"/>
      <c r="BB152" s="386"/>
      <c r="BD152" s="604"/>
      <c r="BE152" s="614"/>
      <c r="BF152" s="614"/>
      <c r="BG152" s="9"/>
      <c r="BH152" s="48"/>
      <c r="BI152" s="386"/>
      <c r="BJ152" s="386"/>
      <c r="BK152" s="386"/>
      <c r="BL152" s="386"/>
      <c r="BM152" s="386"/>
    </row>
    <row r="153" spans="8:65" x14ac:dyDescent="0.2">
      <c r="H153" s="610"/>
      <c r="I153" s="4"/>
      <c r="L153" s="4"/>
      <c r="M153" s="4"/>
      <c r="Q153" s="386"/>
      <c r="R153" s="386"/>
      <c r="S153" s="386"/>
      <c r="T153" s="386"/>
      <c r="V153" s="386"/>
      <c r="W153" s="386"/>
      <c r="X153" s="386"/>
      <c r="Y153" s="386"/>
      <c r="Z153" s="603"/>
      <c r="AA153" s="386"/>
      <c r="AB153" s="386"/>
      <c r="AC153" s="386"/>
      <c r="AE153" s="386"/>
      <c r="AF153" s="386"/>
      <c r="AG153" s="386"/>
      <c r="AH153" s="386"/>
      <c r="AI153" s="386"/>
      <c r="AJ153" s="386"/>
      <c r="AK153" s="386"/>
      <c r="AL153" s="386"/>
      <c r="AN153" s="386"/>
      <c r="AO153" s="386"/>
      <c r="AP153" s="386"/>
      <c r="AQ153" s="386"/>
      <c r="AR153" s="386"/>
      <c r="AS153" s="386"/>
      <c r="AT153" s="386"/>
      <c r="AU153" s="386"/>
      <c r="AV153" s="386"/>
      <c r="AW153" s="386"/>
      <c r="AX153" s="386"/>
      <c r="AY153" s="386"/>
      <c r="AZ153" s="386"/>
      <c r="BA153" s="386"/>
      <c r="BB153" s="386"/>
      <c r="BD153" s="604"/>
      <c r="BE153" s="614"/>
      <c r="BF153" s="614"/>
      <c r="BG153" s="9"/>
      <c r="BH153" s="48"/>
      <c r="BI153" s="386"/>
      <c r="BJ153" s="386"/>
      <c r="BK153" s="386"/>
      <c r="BL153" s="386"/>
      <c r="BM153" s="386"/>
    </row>
    <row r="154" spans="8:65" x14ac:dyDescent="0.2">
      <c r="H154" s="610"/>
      <c r="I154" s="4"/>
      <c r="L154" s="4"/>
      <c r="M154" s="4"/>
      <c r="Q154" s="386"/>
      <c r="R154" s="386"/>
      <c r="S154" s="386"/>
      <c r="T154" s="386"/>
      <c r="V154" s="386"/>
      <c r="W154" s="386"/>
      <c r="X154" s="386"/>
      <c r="Y154" s="386"/>
      <c r="Z154" s="603"/>
      <c r="AA154" s="386"/>
      <c r="AB154" s="386"/>
      <c r="AC154" s="386"/>
      <c r="AE154" s="386"/>
      <c r="AF154" s="386"/>
      <c r="AG154" s="386"/>
      <c r="AH154" s="386"/>
      <c r="AI154" s="386"/>
      <c r="AJ154" s="386"/>
      <c r="AK154" s="386"/>
      <c r="AL154" s="386"/>
      <c r="AN154" s="386"/>
      <c r="AO154" s="386"/>
      <c r="AP154" s="386"/>
      <c r="AQ154" s="386"/>
      <c r="AR154" s="386"/>
      <c r="AS154" s="386"/>
      <c r="AT154" s="386"/>
      <c r="AU154" s="386"/>
      <c r="AV154" s="386"/>
      <c r="AW154" s="386"/>
      <c r="AX154" s="386"/>
      <c r="AY154" s="386"/>
      <c r="AZ154" s="386"/>
      <c r="BA154" s="386"/>
      <c r="BB154" s="386"/>
      <c r="BD154" s="604"/>
      <c r="BE154" s="614"/>
      <c r="BF154" s="614"/>
      <c r="BG154" s="9"/>
      <c r="BH154" s="48"/>
      <c r="BI154" s="386"/>
      <c r="BJ154" s="386"/>
      <c r="BK154" s="386"/>
      <c r="BL154" s="386"/>
      <c r="BM154" s="386"/>
    </row>
    <row r="155" spans="8:65" x14ac:dyDescent="0.2">
      <c r="H155" s="610"/>
      <c r="I155" s="4"/>
      <c r="L155" s="4"/>
      <c r="M155" s="4"/>
      <c r="Q155" s="386"/>
      <c r="R155" s="386"/>
      <c r="S155" s="386"/>
      <c r="T155" s="386"/>
      <c r="V155" s="386"/>
      <c r="W155" s="386"/>
      <c r="X155" s="386"/>
      <c r="Y155" s="386"/>
      <c r="Z155" s="603"/>
      <c r="AA155" s="386"/>
      <c r="AB155" s="386"/>
      <c r="AC155" s="386"/>
      <c r="AE155" s="386"/>
      <c r="AF155" s="386"/>
      <c r="AG155" s="386"/>
      <c r="AH155" s="386"/>
      <c r="AI155" s="386"/>
      <c r="AJ155" s="386"/>
      <c r="AK155" s="386"/>
      <c r="AL155" s="386"/>
      <c r="AN155" s="386"/>
      <c r="AO155" s="386"/>
      <c r="AP155" s="386"/>
      <c r="AQ155" s="386"/>
      <c r="AR155" s="386"/>
      <c r="AS155" s="386"/>
      <c r="AT155" s="386"/>
      <c r="AU155" s="386"/>
      <c r="AV155" s="386"/>
      <c r="AW155" s="386"/>
      <c r="AX155" s="386"/>
      <c r="AY155" s="386"/>
      <c r="AZ155" s="386"/>
      <c r="BA155" s="386"/>
      <c r="BB155" s="386"/>
      <c r="BD155" s="604"/>
      <c r="BE155" s="614"/>
      <c r="BF155" s="614"/>
      <c r="BG155" s="9"/>
      <c r="BH155" s="48"/>
      <c r="BI155" s="386"/>
      <c r="BJ155" s="386"/>
      <c r="BK155" s="386"/>
      <c r="BL155" s="386"/>
      <c r="BM155" s="386"/>
    </row>
    <row r="156" spans="8:65" x14ac:dyDescent="0.2">
      <c r="H156" s="610"/>
      <c r="I156" s="4"/>
      <c r="L156" s="4"/>
      <c r="M156" s="4"/>
      <c r="Q156" s="386"/>
      <c r="R156" s="386"/>
      <c r="S156" s="386"/>
      <c r="T156" s="386"/>
      <c r="V156" s="386"/>
      <c r="W156" s="386"/>
      <c r="X156" s="386"/>
      <c r="Y156" s="386"/>
      <c r="Z156" s="603"/>
      <c r="AA156" s="386"/>
      <c r="AB156" s="386"/>
      <c r="AC156" s="386"/>
      <c r="AE156" s="386"/>
      <c r="AF156" s="386"/>
      <c r="AG156" s="386"/>
      <c r="AH156" s="386"/>
      <c r="AI156" s="386"/>
      <c r="AJ156" s="386"/>
      <c r="AK156" s="386"/>
      <c r="AL156" s="386"/>
      <c r="AN156" s="386"/>
      <c r="AO156" s="386"/>
      <c r="AP156" s="386"/>
      <c r="AQ156" s="386"/>
      <c r="AR156" s="386"/>
      <c r="AS156" s="386"/>
      <c r="AT156" s="386"/>
      <c r="AU156" s="386"/>
      <c r="AV156" s="386"/>
      <c r="AW156" s="386"/>
      <c r="AX156" s="386"/>
      <c r="AY156" s="386"/>
      <c r="AZ156" s="386"/>
      <c r="BA156" s="386"/>
      <c r="BB156" s="386"/>
      <c r="BD156" s="604"/>
      <c r="BE156" s="614"/>
      <c r="BF156" s="614"/>
      <c r="BG156" s="9"/>
      <c r="BH156" s="48"/>
      <c r="BI156" s="386"/>
      <c r="BJ156" s="386"/>
      <c r="BK156" s="386"/>
      <c r="BL156" s="386"/>
      <c r="BM156" s="386"/>
    </row>
    <row r="157" spans="8:65" x14ac:dyDescent="0.2">
      <c r="H157" s="610"/>
      <c r="I157" s="4"/>
      <c r="L157" s="4"/>
      <c r="M157" s="4"/>
      <c r="Q157" s="386"/>
      <c r="R157" s="386"/>
      <c r="S157" s="386"/>
      <c r="T157" s="386"/>
      <c r="V157" s="386"/>
      <c r="W157" s="386"/>
      <c r="X157" s="386"/>
      <c r="Y157" s="386"/>
      <c r="Z157" s="603"/>
      <c r="AA157" s="386"/>
      <c r="AB157" s="386"/>
      <c r="AC157" s="386"/>
      <c r="AE157" s="386"/>
      <c r="AF157" s="386"/>
      <c r="AG157" s="386"/>
      <c r="AH157" s="386"/>
      <c r="AI157" s="386"/>
      <c r="AJ157" s="386"/>
      <c r="AK157" s="386"/>
      <c r="AL157" s="386"/>
      <c r="AN157" s="386"/>
      <c r="AO157" s="386"/>
      <c r="AP157" s="386"/>
      <c r="AQ157" s="386"/>
      <c r="AR157" s="386"/>
      <c r="AS157" s="386"/>
      <c r="AT157" s="386"/>
      <c r="AU157" s="386"/>
      <c r="AV157" s="386"/>
      <c r="AW157" s="386"/>
      <c r="AX157" s="386"/>
      <c r="AY157" s="386"/>
      <c r="AZ157" s="386"/>
      <c r="BA157" s="386"/>
      <c r="BB157" s="386"/>
      <c r="BD157" s="604"/>
      <c r="BE157" s="614"/>
      <c r="BF157" s="614"/>
      <c r="BG157" s="9"/>
      <c r="BH157" s="48"/>
      <c r="BI157" s="386"/>
      <c r="BJ157" s="386"/>
      <c r="BK157" s="386"/>
      <c r="BL157" s="386"/>
      <c r="BM157" s="386"/>
    </row>
    <row r="158" spans="8:65" x14ac:dyDescent="0.2">
      <c r="H158" s="610"/>
      <c r="I158" s="4"/>
      <c r="L158" s="4"/>
      <c r="M158" s="4"/>
      <c r="Q158" s="386"/>
      <c r="R158" s="386"/>
      <c r="S158" s="386"/>
      <c r="T158" s="386"/>
      <c r="V158" s="386"/>
      <c r="W158" s="386"/>
      <c r="X158" s="386"/>
      <c r="Y158" s="386"/>
      <c r="Z158" s="603"/>
      <c r="AA158" s="386"/>
      <c r="AB158" s="386"/>
      <c r="AC158" s="386"/>
      <c r="AE158" s="386"/>
      <c r="AF158" s="386"/>
      <c r="AG158" s="386"/>
      <c r="AH158" s="386"/>
      <c r="AI158" s="386"/>
      <c r="AJ158" s="386"/>
      <c r="AK158" s="386"/>
      <c r="AL158" s="386"/>
      <c r="AN158" s="386"/>
      <c r="AO158" s="386"/>
      <c r="AP158" s="386"/>
      <c r="AQ158" s="386"/>
      <c r="AR158" s="386"/>
      <c r="AS158" s="386"/>
      <c r="AT158" s="386"/>
      <c r="AU158" s="386"/>
      <c r="AV158" s="386"/>
      <c r="AW158" s="386"/>
      <c r="AX158" s="386"/>
      <c r="AY158" s="386"/>
      <c r="AZ158" s="386"/>
      <c r="BA158" s="386"/>
      <c r="BB158" s="386"/>
      <c r="BD158" s="604"/>
      <c r="BE158" s="614"/>
      <c r="BF158" s="614"/>
      <c r="BG158" s="9"/>
      <c r="BH158" s="48"/>
      <c r="BI158" s="386"/>
      <c r="BJ158" s="386"/>
      <c r="BK158" s="386"/>
      <c r="BL158" s="386"/>
      <c r="BM158" s="386"/>
    </row>
    <row r="159" spans="8:65" x14ac:dyDescent="0.2">
      <c r="H159" s="610"/>
      <c r="I159" s="4"/>
      <c r="L159" s="4"/>
      <c r="M159" s="4"/>
      <c r="Q159" s="386"/>
      <c r="R159" s="386"/>
      <c r="S159" s="386"/>
      <c r="T159" s="386"/>
      <c r="V159" s="386"/>
      <c r="W159" s="386"/>
      <c r="X159" s="386"/>
      <c r="Y159" s="386"/>
      <c r="Z159" s="603"/>
      <c r="AA159" s="386"/>
      <c r="AB159" s="386"/>
      <c r="AC159" s="386"/>
      <c r="AE159" s="386"/>
      <c r="AF159" s="386"/>
      <c r="AG159" s="386"/>
      <c r="AH159" s="386"/>
      <c r="AI159" s="386"/>
      <c r="AJ159" s="386"/>
      <c r="AK159" s="386"/>
      <c r="AL159" s="386"/>
      <c r="AN159" s="386"/>
      <c r="AO159" s="386"/>
      <c r="AP159" s="386"/>
      <c r="AQ159" s="386"/>
      <c r="AR159" s="386"/>
      <c r="AS159" s="386"/>
      <c r="AT159" s="386"/>
      <c r="AU159" s="386"/>
      <c r="AV159" s="386"/>
      <c r="AW159" s="386"/>
      <c r="AX159" s="386"/>
      <c r="AY159" s="386"/>
      <c r="AZ159" s="386"/>
      <c r="BA159" s="386"/>
      <c r="BB159" s="386"/>
      <c r="BD159" s="604"/>
      <c r="BE159" s="614"/>
      <c r="BF159" s="614"/>
      <c r="BG159" s="9"/>
      <c r="BH159" s="48"/>
      <c r="BI159" s="386"/>
      <c r="BJ159" s="386"/>
      <c r="BK159" s="386"/>
      <c r="BL159" s="386"/>
      <c r="BM159" s="386"/>
    </row>
    <row r="160" spans="8:65" x14ac:dyDescent="0.2">
      <c r="H160" s="610"/>
      <c r="I160" s="4"/>
      <c r="L160" s="4"/>
      <c r="M160" s="4"/>
      <c r="Q160" s="386"/>
      <c r="R160" s="386"/>
      <c r="S160" s="386"/>
      <c r="T160" s="386"/>
      <c r="V160" s="386"/>
      <c r="W160" s="386"/>
      <c r="X160" s="386"/>
      <c r="Y160" s="386"/>
      <c r="Z160" s="603"/>
      <c r="AA160" s="386"/>
      <c r="AB160" s="386"/>
      <c r="AC160" s="386"/>
      <c r="AE160" s="386"/>
      <c r="AF160" s="386"/>
      <c r="AG160" s="386"/>
      <c r="AH160" s="386"/>
      <c r="AI160" s="386"/>
      <c r="AJ160" s="386"/>
      <c r="AK160" s="386"/>
      <c r="AL160" s="386"/>
      <c r="AN160" s="386"/>
      <c r="AO160" s="386"/>
      <c r="AP160" s="386"/>
      <c r="AQ160" s="386"/>
      <c r="AR160" s="386"/>
      <c r="AS160" s="386"/>
      <c r="AT160" s="386"/>
      <c r="AU160" s="386"/>
      <c r="AV160" s="386"/>
      <c r="AW160" s="386"/>
      <c r="AX160" s="386"/>
      <c r="AY160" s="386"/>
      <c r="AZ160" s="386"/>
      <c r="BA160" s="386"/>
      <c r="BB160" s="386"/>
      <c r="BD160" s="604"/>
      <c r="BE160" s="614"/>
      <c r="BF160" s="614"/>
      <c r="BG160" s="9"/>
      <c r="BH160" s="48"/>
      <c r="BI160" s="386"/>
      <c r="BJ160" s="386"/>
      <c r="BK160" s="386"/>
      <c r="BL160" s="386"/>
      <c r="BM160" s="386"/>
    </row>
    <row r="161" spans="8:65" x14ac:dyDescent="0.2">
      <c r="H161" s="610"/>
      <c r="I161" s="4"/>
      <c r="L161" s="4"/>
      <c r="M161" s="4"/>
      <c r="Q161" s="386"/>
      <c r="R161" s="386"/>
      <c r="S161" s="386"/>
      <c r="T161" s="386"/>
      <c r="V161" s="386"/>
      <c r="W161" s="386"/>
      <c r="X161" s="386"/>
      <c r="Y161" s="386"/>
      <c r="Z161" s="603"/>
      <c r="AA161" s="386"/>
      <c r="AB161" s="386"/>
      <c r="AC161" s="386"/>
      <c r="AE161" s="386"/>
      <c r="AF161" s="386"/>
      <c r="AG161" s="386"/>
      <c r="AH161" s="386"/>
      <c r="AI161" s="386"/>
      <c r="AJ161" s="386"/>
      <c r="AK161" s="386"/>
      <c r="AL161" s="386"/>
      <c r="AN161" s="386"/>
      <c r="AO161" s="386"/>
      <c r="AP161" s="386"/>
      <c r="AQ161" s="386"/>
      <c r="AR161" s="386"/>
      <c r="AS161" s="386"/>
      <c r="AT161" s="386"/>
      <c r="AU161" s="386"/>
      <c r="AV161" s="386"/>
      <c r="AW161" s="386"/>
      <c r="AX161" s="386"/>
      <c r="AY161" s="386"/>
      <c r="AZ161" s="386"/>
      <c r="BA161" s="386"/>
      <c r="BB161" s="386"/>
      <c r="BD161" s="604"/>
      <c r="BE161" s="614"/>
      <c r="BF161" s="614"/>
      <c r="BG161" s="9"/>
      <c r="BH161" s="48"/>
      <c r="BI161" s="386"/>
      <c r="BJ161" s="386"/>
      <c r="BK161" s="386"/>
      <c r="BL161" s="386"/>
      <c r="BM161" s="386"/>
    </row>
    <row r="162" spans="8:65" x14ac:dyDescent="0.2">
      <c r="H162" s="610"/>
      <c r="I162" s="4"/>
      <c r="L162" s="4"/>
      <c r="M162" s="4"/>
      <c r="Q162" s="386"/>
      <c r="R162" s="386"/>
      <c r="S162" s="386"/>
      <c r="T162" s="386"/>
      <c r="V162" s="386"/>
      <c r="W162" s="386"/>
      <c r="X162" s="386"/>
      <c r="Y162" s="386"/>
      <c r="Z162" s="603"/>
      <c r="AA162" s="386"/>
      <c r="AB162" s="386"/>
      <c r="AC162" s="386"/>
      <c r="AE162" s="386"/>
      <c r="AF162" s="386"/>
      <c r="AG162" s="386"/>
      <c r="AH162" s="386"/>
      <c r="AI162" s="386"/>
      <c r="AJ162" s="386"/>
      <c r="AK162" s="386"/>
      <c r="AL162" s="386"/>
      <c r="AN162" s="386"/>
      <c r="AO162" s="386"/>
      <c r="AP162" s="386"/>
      <c r="AQ162" s="386"/>
      <c r="AR162" s="386"/>
      <c r="AS162" s="386"/>
      <c r="AT162" s="386"/>
      <c r="AU162" s="386"/>
      <c r="AV162" s="386"/>
      <c r="AW162" s="386"/>
      <c r="AX162" s="386"/>
      <c r="AY162" s="386"/>
      <c r="AZ162" s="386"/>
      <c r="BA162" s="386"/>
      <c r="BB162" s="386"/>
      <c r="BD162" s="604"/>
      <c r="BE162" s="614"/>
      <c r="BF162" s="614"/>
      <c r="BG162" s="9"/>
      <c r="BH162" s="48"/>
      <c r="BI162" s="386"/>
      <c r="BJ162" s="386"/>
      <c r="BK162" s="386"/>
      <c r="BL162" s="386"/>
      <c r="BM162" s="386"/>
    </row>
    <row r="163" spans="8:65" x14ac:dyDescent="0.2">
      <c r="H163" s="610"/>
      <c r="I163" s="4"/>
      <c r="L163" s="4"/>
      <c r="M163" s="4"/>
      <c r="Q163" s="386"/>
      <c r="R163" s="386"/>
      <c r="S163" s="386"/>
      <c r="T163" s="386"/>
      <c r="V163" s="386"/>
      <c r="W163" s="386"/>
      <c r="X163" s="386"/>
      <c r="Y163" s="386"/>
      <c r="Z163" s="603"/>
      <c r="AA163" s="386"/>
      <c r="AB163" s="386"/>
      <c r="AC163" s="386"/>
      <c r="AE163" s="386"/>
      <c r="AF163" s="386"/>
      <c r="AG163" s="386"/>
      <c r="AH163" s="386"/>
      <c r="AI163" s="386"/>
      <c r="AJ163" s="386"/>
      <c r="AK163" s="386"/>
      <c r="AL163" s="386"/>
      <c r="AN163" s="386"/>
      <c r="AO163" s="386"/>
      <c r="AP163" s="386"/>
      <c r="AQ163" s="386"/>
      <c r="AR163" s="386"/>
      <c r="AS163" s="386"/>
      <c r="AT163" s="386"/>
      <c r="AU163" s="386"/>
      <c r="AV163" s="386"/>
      <c r="AW163" s="386"/>
      <c r="AX163" s="386"/>
      <c r="AY163" s="386"/>
      <c r="AZ163" s="386"/>
      <c r="BA163" s="386"/>
      <c r="BB163" s="386"/>
      <c r="BD163" s="604"/>
      <c r="BE163" s="614"/>
      <c r="BF163" s="614"/>
      <c r="BG163" s="9"/>
      <c r="BH163" s="48"/>
      <c r="BI163" s="386"/>
      <c r="BJ163" s="386"/>
      <c r="BK163" s="386"/>
      <c r="BL163" s="386"/>
      <c r="BM163" s="386"/>
    </row>
    <row r="164" spans="8:65" x14ac:dyDescent="0.2">
      <c r="H164" s="610"/>
      <c r="I164" s="4"/>
      <c r="L164" s="4"/>
      <c r="M164" s="4"/>
      <c r="Q164" s="386"/>
      <c r="R164" s="386"/>
      <c r="S164" s="386"/>
      <c r="T164" s="386"/>
      <c r="V164" s="386"/>
      <c r="W164" s="386"/>
      <c r="X164" s="386"/>
      <c r="Y164" s="386"/>
      <c r="Z164" s="603"/>
      <c r="AA164" s="386"/>
      <c r="AB164" s="386"/>
      <c r="AC164" s="386"/>
      <c r="AE164" s="386"/>
      <c r="AF164" s="386"/>
      <c r="AG164" s="386"/>
      <c r="AH164" s="386"/>
      <c r="AI164" s="386"/>
      <c r="AJ164" s="386"/>
      <c r="AK164" s="386"/>
      <c r="AL164" s="386"/>
      <c r="AN164" s="386"/>
      <c r="AO164" s="386"/>
      <c r="AP164" s="386"/>
      <c r="AQ164" s="386"/>
      <c r="AR164" s="386"/>
      <c r="AS164" s="386"/>
      <c r="AT164" s="386"/>
      <c r="AU164" s="386"/>
      <c r="AV164" s="386"/>
      <c r="AW164" s="386"/>
      <c r="AX164" s="386"/>
      <c r="AY164" s="386"/>
      <c r="AZ164" s="386"/>
      <c r="BA164" s="386"/>
      <c r="BB164" s="386"/>
      <c r="BD164" s="604"/>
      <c r="BE164" s="614"/>
      <c r="BF164" s="614"/>
      <c r="BG164" s="9"/>
      <c r="BH164" s="48"/>
      <c r="BI164" s="386"/>
      <c r="BJ164" s="386"/>
      <c r="BK164" s="386"/>
      <c r="BL164" s="386"/>
      <c r="BM164" s="386"/>
    </row>
    <row r="165" spans="8:65" x14ac:dyDescent="0.2">
      <c r="H165" s="610"/>
      <c r="I165" s="4"/>
      <c r="L165" s="4"/>
      <c r="M165" s="4"/>
      <c r="Q165" s="386"/>
      <c r="R165" s="386"/>
      <c r="S165" s="386"/>
      <c r="T165" s="386"/>
      <c r="V165" s="386"/>
      <c r="W165" s="386"/>
      <c r="X165" s="386"/>
      <c r="Y165" s="386"/>
      <c r="Z165" s="603"/>
      <c r="AA165" s="386"/>
      <c r="AB165" s="386"/>
      <c r="AC165" s="386"/>
      <c r="AE165" s="386"/>
      <c r="AF165" s="386"/>
      <c r="AG165" s="386"/>
      <c r="AH165" s="386"/>
      <c r="AI165" s="386"/>
      <c r="AJ165" s="386"/>
      <c r="AK165" s="386"/>
      <c r="AL165" s="386"/>
      <c r="AN165" s="386"/>
      <c r="AO165" s="386"/>
      <c r="AP165" s="386"/>
      <c r="AQ165" s="386"/>
      <c r="AR165" s="386"/>
      <c r="AS165" s="386"/>
      <c r="AT165" s="386"/>
      <c r="AU165" s="386"/>
      <c r="AV165" s="386"/>
      <c r="AW165" s="386"/>
      <c r="AX165" s="386"/>
      <c r="AY165" s="386"/>
      <c r="AZ165" s="386"/>
      <c r="BA165" s="386"/>
      <c r="BB165" s="386"/>
      <c r="BD165" s="604"/>
      <c r="BE165" s="614"/>
      <c r="BF165" s="614"/>
      <c r="BG165" s="9"/>
      <c r="BH165" s="48"/>
      <c r="BI165" s="386"/>
      <c r="BJ165" s="386"/>
      <c r="BK165" s="386"/>
      <c r="BL165" s="386"/>
      <c r="BM165" s="386"/>
    </row>
    <row r="166" spans="8:65" x14ac:dyDescent="0.2">
      <c r="H166" s="610"/>
      <c r="I166" s="4"/>
      <c r="L166" s="4"/>
      <c r="M166" s="4"/>
      <c r="Q166" s="386"/>
      <c r="R166" s="386"/>
      <c r="S166" s="386"/>
      <c r="T166" s="386"/>
      <c r="V166" s="386"/>
      <c r="W166" s="386"/>
      <c r="X166" s="386"/>
      <c r="Y166" s="386"/>
      <c r="Z166" s="603"/>
      <c r="AA166" s="386"/>
      <c r="AB166" s="386"/>
      <c r="AC166" s="386"/>
      <c r="AE166" s="386"/>
      <c r="AF166" s="386"/>
      <c r="AG166" s="386"/>
      <c r="AH166" s="386"/>
      <c r="AI166" s="386"/>
      <c r="AJ166" s="386"/>
      <c r="AK166" s="386"/>
      <c r="AL166" s="386"/>
      <c r="AN166" s="386"/>
      <c r="AO166" s="386"/>
      <c r="AP166" s="386"/>
      <c r="AQ166" s="386"/>
      <c r="AR166" s="386"/>
      <c r="AS166" s="386"/>
      <c r="AT166" s="386"/>
      <c r="AU166" s="386"/>
      <c r="AV166" s="386"/>
      <c r="AW166" s="386"/>
      <c r="AX166" s="386"/>
      <c r="AY166" s="386"/>
      <c r="AZ166" s="386"/>
      <c r="BA166" s="386"/>
      <c r="BB166" s="386"/>
      <c r="BD166" s="604"/>
      <c r="BE166" s="614"/>
      <c r="BF166" s="614"/>
      <c r="BG166" s="9"/>
      <c r="BH166" s="48"/>
      <c r="BI166" s="386"/>
      <c r="BJ166" s="386"/>
      <c r="BK166" s="386"/>
      <c r="BL166" s="386"/>
      <c r="BM166" s="386"/>
    </row>
    <row r="167" spans="8:65" x14ac:dyDescent="0.2">
      <c r="H167" s="610"/>
      <c r="I167" s="4"/>
      <c r="L167" s="4"/>
      <c r="M167" s="4"/>
      <c r="Q167" s="386"/>
      <c r="R167" s="386"/>
      <c r="S167" s="386"/>
      <c r="T167" s="386"/>
      <c r="V167" s="386"/>
      <c r="W167" s="386"/>
      <c r="X167" s="386"/>
      <c r="Y167" s="386"/>
      <c r="Z167" s="603"/>
      <c r="AA167" s="386"/>
      <c r="AB167" s="386"/>
      <c r="AC167" s="386"/>
      <c r="AE167" s="386"/>
      <c r="AF167" s="386"/>
      <c r="AG167" s="386"/>
      <c r="AH167" s="386"/>
      <c r="AI167" s="386"/>
      <c r="AJ167" s="386"/>
      <c r="AK167" s="386"/>
      <c r="AL167" s="386"/>
      <c r="AN167" s="386"/>
      <c r="AO167" s="386"/>
      <c r="AP167" s="386"/>
      <c r="AQ167" s="386"/>
      <c r="AR167" s="386"/>
      <c r="AS167" s="386"/>
      <c r="AT167" s="386"/>
      <c r="AU167" s="386"/>
      <c r="AV167" s="386"/>
      <c r="AW167" s="386"/>
      <c r="AX167" s="386"/>
      <c r="AY167" s="386"/>
      <c r="AZ167" s="386"/>
      <c r="BA167" s="386"/>
      <c r="BB167" s="386"/>
      <c r="BD167" s="604"/>
      <c r="BE167" s="614"/>
      <c r="BF167" s="614"/>
      <c r="BG167" s="9"/>
      <c r="BH167" s="48"/>
      <c r="BI167" s="386"/>
      <c r="BJ167" s="386"/>
      <c r="BK167" s="386"/>
      <c r="BL167" s="386"/>
      <c r="BM167" s="386"/>
    </row>
    <row r="168" spans="8:65" x14ac:dyDescent="0.2">
      <c r="H168" s="610"/>
      <c r="I168" s="4"/>
      <c r="L168" s="4"/>
      <c r="M168" s="4"/>
      <c r="Q168" s="386"/>
      <c r="R168" s="386"/>
      <c r="S168" s="386"/>
      <c r="T168" s="386"/>
      <c r="V168" s="386"/>
      <c r="W168" s="386"/>
      <c r="X168" s="386"/>
      <c r="Y168" s="386"/>
      <c r="Z168" s="603"/>
      <c r="AA168" s="386"/>
      <c r="AB168" s="386"/>
      <c r="AC168" s="386"/>
      <c r="AE168" s="386"/>
      <c r="AF168" s="386"/>
      <c r="AG168" s="386"/>
      <c r="AH168" s="386"/>
      <c r="AI168" s="386"/>
      <c r="AJ168" s="386"/>
      <c r="AK168" s="386"/>
      <c r="AL168" s="386"/>
      <c r="AN168" s="386"/>
      <c r="AO168" s="386"/>
      <c r="AP168" s="386"/>
      <c r="AQ168" s="386"/>
      <c r="AR168" s="386"/>
      <c r="AS168" s="386"/>
      <c r="AT168" s="386"/>
      <c r="AU168" s="386"/>
      <c r="AV168" s="386"/>
      <c r="AW168" s="386"/>
      <c r="AX168" s="386"/>
      <c r="AY168" s="386"/>
      <c r="AZ168" s="386"/>
      <c r="BA168" s="386"/>
      <c r="BB168" s="386"/>
      <c r="BD168" s="604"/>
      <c r="BE168" s="614"/>
      <c r="BF168" s="614"/>
      <c r="BG168" s="9"/>
      <c r="BH168" s="48"/>
      <c r="BI168" s="386"/>
      <c r="BJ168" s="386"/>
      <c r="BK168" s="386"/>
      <c r="BL168" s="386"/>
      <c r="BM168" s="386"/>
    </row>
    <row r="169" spans="8:65" x14ac:dyDescent="0.2">
      <c r="H169" s="610"/>
      <c r="I169" s="4"/>
      <c r="L169" s="4"/>
      <c r="M169" s="4"/>
      <c r="Q169" s="386"/>
      <c r="R169" s="386"/>
      <c r="S169" s="386"/>
      <c r="T169" s="386"/>
      <c r="V169" s="386"/>
      <c r="W169" s="386"/>
      <c r="X169" s="386"/>
      <c r="Y169" s="386"/>
      <c r="Z169" s="603"/>
      <c r="AA169" s="386"/>
      <c r="AB169" s="386"/>
      <c r="AC169" s="386"/>
      <c r="AE169" s="386"/>
      <c r="AF169" s="386"/>
      <c r="AG169" s="386"/>
      <c r="AH169" s="386"/>
      <c r="AI169" s="386"/>
      <c r="AJ169" s="386"/>
      <c r="AK169" s="386"/>
      <c r="AL169" s="386"/>
      <c r="AN169" s="386"/>
      <c r="AO169" s="386"/>
      <c r="AP169" s="386"/>
      <c r="AQ169" s="386"/>
      <c r="AR169" s="386"/>
      <c r="AS169" s="386"/>
      <c r="AT169" s="386"/>
      <c r="AU169" s="386"/>
      <c r="AV169" s="386"/>
      <c r="AW169" s="386"/>
      <c r="AX169" s="386"/>
      <c r="AY169" s="386"/>
      <c r="AZ169" s="386"/>
      <c r="BA169" s="386"/>
      <c r="BB169" s="386"/>
      <c r="BD169" s="604"/>
      <c r="BE169" s="614"/>
      <c r="BF169" s="614"/>
      <c r="BG169" s="9"/>
      <c r="BH169" s="48"/>
      <c r="BI169" s="386"/>
      <c r="BJ169" s="386"/>
      <c r="BK169" s="386"/>
      <c r="BL169" s="386"/>
      <c r="BM169" s="386"/>
    </row>
    <row r="170" spans="8:65" x14ac:dyDescent="0.2">
      <c r="H170" s="610"/>
      <c r="I170" s="4"/>
      <c r="L170" s="4"/>
      <c r="M170" s="4"/>
      <c r="Q170" s="386"/>
      <c r="R170" s="386"/>
      <c r="S170" s="386"/>
      <c r="T170" s="386"/>
      <c r="V170" s="386"/>
      <c r="W170" s="386"/>
      <c r="X170" s="386"/>
      <c r="Y170" s="386"/>
      <c r="Z170" s="603"/>
      <c r="AA170" s="386"/>
      <c r="AB170" s="386"/>
      <c r="AC170" s="386"/>
      <c r="AE170" s="386"/>
      <c r="AF170" s="386"/>
      <c r="AG170" s="386"/>
      <c r="AH170" s="386"/>
      <c r="AI170" s="386"/>
      <c r="AJ170" s="386"/>
      <c r="AK170" s="386"/>
      <c r="AL170" s="386"/>
      <c r="AN170" s="386"/>
      <c r="AO170" s="386"/>
      <c r="AP170" s="386"/>
      <c r="AQ170" s="386"/>
      <c r="AR170" s="386"/>
      <c r="AS170" s="386"/>
      <c r="AT170" s="386"/>
      <c r="AU170" s="386"/>
      <c r="AV170" s="386"/>
      <c r="AW170" s="386"/>
      <c r="AX170" s="386"/>
      <c r="AY170" s="386"/>
      <c r="AZ170" s="386"/>
      <c r="BA170" s="386"/>
      <c r="BB170" s="386"/>
      <c r="BD170" s="604"/>
      <c r="BE170" s="614"/>
      <c r="BF170" s="614"/>
      <c r="BG170" s="9"/>
      <c r="BH170" s="48"/>
      <c r="BI170" s="386"/>
      <c r="BJ170" s="386"/>
      <c r="BK170" s="386"/>
      <c r="BL170" s="386"/>
      <c r="BM170" s="386"/>
    </row>
    <row r="171" spans="8:65" x14ac:dyDescent="0.2">
      <c r="H171" s="610"/>
      <c r="I171" s="4"/>
      <c r="L171" s="4"/>
      <c r="M171" s="4"/>
      <c r="Q171" s="386"/>
      <c r="R171" s="386"/>
      <c r="S171" s="386"/>
      <c r="T171" s="386"/>
      <c r="V171" s="386"/>
      <c r="W171" s="386"/>
      <c r="X171" s="386"/>
      <c r="Y171" s="386"/>
      <c r="Z171" s="603"/>
      <c r="AA171" s="386"/>
      <c r="AB171" s="386"/>
      <c r="AC171" s="386"/>
      <c r="AE171" s="386"/>
      <c r="AF171" s="386"/>
      <c r="AG171" s="386"/>
      <c r="AH171" s="386"/>
      <c r="AI171" s="386"/>
      <c r="AJ171" s="386"/>
      <c r="AK171" s="386"/>
      <c r="AL171" s="386"/>
      <c r="AN171" s="386"/>
      <c r="AO171" s="386"/>
      <c r="AP171" s="386"/>
      <c r="AQ171" s="386"/>
      <c r="AR171" s="386"/>
      <c r="AS171" s="386"/>
      <c r="AT171" s="386"/>
      <c r="AU171" s="386"/>
      <c r="AV171" s="386"/>
      <c r="AW171" s="386"/>
      <c r="AX171" s="386"/>
      <c r="AY171" s="386"/>
      <c r="AZ171" s="386"/>
      <c r="BA171" s="386"/>
      <c r="BB171" s="386"/>
      <c r="BD171" s="604"/>
      <c r="BE171" s="614"/>
      <c r="BF171" s="614"/>
      <c r="BG171" s="9"/>
      <c r="BH171" s="48"/>
      <c r="BI171" s="386"/>
      <c r="BJ171" s="386"/>
      <c r="BK171" s="386"/>
      <c r="BL171" s="386"/>
      <c r="BM171" s="386"/>
    </row>
    <row r="172" spans="8:65" x14ac:dyDescent="0.2">
      <c r="H172" s="610"/>
      <c r="I172" s="4"/>
      <c r="L172" s="4"/>
      <c r="M172" s="4"/>
      <c r="Q172" s="386"/>
      <c r="R172" s="386"/>
      <c r="S172" s="386"/>
      <c r="T172" s="386"/>
      <c r="V172" s="386"/>
      <c r="W172" s="386"/>
      <c r="X172" s="386"/>
      <c r="Y172" s="386"/>
      <c r="Z172" s="603"/>
      <c r="AA172" s="386"/>
      <c r="AB172" s="386"/>
      <c r="AC172" s="386"/>
      <c r="AE172" s="386"/>
      <c r="AF172" s="386"/>
      <c r="AG172" s="386"/>
      <c r="AH172" s="386"/>
      <c r="AI172" s="386"/>
      <c r="AJ172" s="386"/>
      <c r="AK172" s="386"/>
      <c r="AL172" s="386"/>
      <c r="AN172" s="386"/>
      <c r="AO172" s="386"/>
      <c r="AP172" s="386"/>
      <c r="AQ172" s="386"/>
      <c r="AR172" s="386"/>
      <c r="AS172" s="386"/>
      <c r="AT172" s="386"/>
      <c r="AU172" s="386"/>
      <c r="AV172" s="386"/>
      <c r="AW172" s="386"/>
      <c r="AX172" s="386"/>
      <c r="AY172" s="386"/>
      <c r="AZ172" s="386"/>
      <c r="BA172" s="386"/>
      <c r="BB172" s="386"/>
      <c r="BD172" s="604"/>
      <c r="BE172" s="614"/>
      <c r="BF172" s="614"/>
      <c r="BG172" s="9"/>
      <c r="BH172" s="48"/>
      <c r="BI172" s="386"/>
      <c r="BJ172" s="386"/>
      <c r="BK172" s="386"/>
      <c r="BL172" s="386"/>
      <c r="BM172" s="386"/>
    </row>
    <row r="173" spans="8:65" x14ac:dyDescent="0.2">
      <c r="H173" s="610"/>
      <c r="I173" s="4"/>
      <c r="L173" s="4"/>
      <c r="M173" s="4"/>
      <c r="Q173" s="386"/>
      <c r="R173" s="386"/>
      <c r="S173" s="386"/>
      <c r="T173" s="386"/>
      <c r="V173" s="386"/>
      <c r="W173" s="386"/>
      <c r="X173" s="386"/>
      <c r="Y173" s="386"/>
      <c r="Z173" s="603"/>
      <c r="AA173" s="386"/>
      <c r="AB173" s="386"/>
      <c r="AC173" s="386"/>
      <c r="AE173" s="386"/>
      <c r="AF173" s="386"/>
      <c r="AG173" s="386"/>
      <c r="AH173" s="386"/>
      <c r="AI173" s="386"/>
      <c r="AJ173" s="386"/>
      <c r="AK173" s="386"/>
      <c r="AL173" s="386"/>
      <c r="AN173" s="386"/>
      <c r="AO173" s="386"/>
      <c r="AP173" s="386"/>
      <c r="AQ173" s="386"/>
      <c r="AR173" s="386"/>
      <c r="AS173" s="386"/>
      <c r="AT173" s="386"/>
      <c r="AU173" s="386"/>
      <c r="AV173" s="386"/>
      <c r="AW173" s="386"/>
      <c r="AX173" s="386"/>
      <c r="AY173" s="386"/>
      <c r="AZ173" s="386"/>
      <c r="BA173" s="386"/>
      <c r="BB173" s="386"/>
      <c r="BD173" s="604"/>
      <c r="BE173" s="614"/>
      <c r="BF173" s="614"/>
      <c r="BG173" s="9"/>
      <c r="BH173" s="48"/>
      <c r="BI173" s="386"/>
      <c r="BJ173" s="386"/>
      <c r="BK173" s="386"/>
      <c r="BL173" s="386"/>
      <c r="BM173" s="386"/>
    </row>
    <row r="174" spans="8:65" x14ac:dyDescent="0.2">
      <c r="H174" s="610"/>
      <c r="I174" s="4"/>
      <c r="L174" s="4"/>
      <c r="M174" s="4"/>
      <c r="Q174" s="386"/>
      <c r="R174" s="386"/>
      <c r="S174" s="386"/>
      <c r="T174" s="386"/>
      <c r="V174" s="386"/>
      <c r="W174" s="386"/>
      <c r="X174" s="386"/>
      <c r="Y174" s="386"/>
      <c r="Z174" s="603"/>
      <c r="AA174" s="386"/>
      <c r="AB174" s="386"/>
      <c r="AC174" s="386"/>
      <c r="AE174" s="386"/>
      <c r="AF174" s="386"/>
      <c r="AG174" s="386"/>
      <c r="AH174" s="386"/>
      <c r="AI174" s="386"/>
      <c r="AJ174" s="386"/>
      <c r="AK174" s="386"/>
      <c r="AL174" s="386"/>
      <c r="AN174" s="386"/>
      <c r="AO174" s="386"/>
      <c r="AP174" s="386"/>
      <c r="AQ174" s="386"/>
      <c r="AR174" s="386"/>
      <c r="AS174" s="386"/>
      <c r="AT174" s="386"/>
      <c r="AU174" s="386"/>
      <c r="AV174" s="386"/>
      <c r="AW174" s="386"/>
      <c r="AX174" s="386"/>
      <c r="AY174" s="386"/>
      <c r="AZ174" s="386"/>
      <c r="BA174" s="386"/>
      <c r="BB174" s="386"/>
      <c r="BD174" s="604"/>
      <c r="BE174" s="614"/>
      <c r="BF174" s="614"/>
      <c r="BG174" s="9"/>
      <c r="BH174" s="48"/>
      <c r="BI174" s="386"/>
      <c r="BJ174" s="386"/>
      <c r="BK174" s="386"/>
      <c r="BL174" s="386"/>
      <c r="BM174" s="386"/>
    </row>
    <row r="175" spans="8:65" x14ac:dyDescent="0.2">
      <c r="H175" s="610"/>
      <c r="I175" s="4"/>
      <c r="L175" s="4"/>
      <c r="M175" s="4"/>
      <c r="Q175" s="386"/>
      <c r="R175" s="386"/>
      <c r="S175" s="386"/>
      <c r="T175" s="386"/>
      <c r="V175" s="386"/>
      <c r="W175" s="386"/>
      <c r="X175" s="386"/>
      <c r="Y175" s="386"/>
      <c r="Z175" s="603"/>
      <c r="AA175" s="386"/>
      <c r="AB175" s="386"/>
      <c r="AC175" s="386"/>
      <c r="AE175" s="386"/>
      <c r="AF175" s="386"/>
      <c r="AG175" s="386"/>
      <c r="AH175" s="386"/>
      <c r="AI175" s="386"/>
      <c r="AJ175" s="386"/>
      <c r="AK175" s="386"/>
      <c r="AL175" s="386"/>
      <c r="AN175" s="386"/>
      <c r="AO175" s="386"/>
      <c r="AP175" s="386"/>
      <c r="AQ175" s="386"/>
      <c r="AR175" s="386"/>
      <c r="AS175" s="386"/>
      <c r="AT175" s="386"/>
      <c r="AU175" s="386"/>
      <c r="AV175" s="386"/>
      <c r="AW175" s="386"/>
      <c r="AX175" s="386"/>
      <c r="AY175" s="386"/>
      <c r="AZ175" s="386"/>
      <c r="BA175" s="386"/>
      <c r="BB175" s="386"/>
      <c r="BD175" s="604"/>
      <c r="BE175" s="614"/>
      <c r="BF175" s="614"/>
      <c r="BG175" s="9"/>
      <c r="BH175" s="48"/>
      <c r="BI175" s="386"/>
      <c r="BJ175" s="386"/>
      <c r="BK175" s="386"/>
      <c r="BL175" s="386"/>
      <c r="BM175" s="386"/>
    </row>
    <row r="176" spans="8:65" x14ac:dyDescent="0.2">
      <c r="H176" s="610"/>
      <c r="I176" s="4"/>
      <c r="L176" s="4"/>
      <c r="M176" s="4"/>
      <c r="Q176" s="386"/>
      <c r="R176" s="386"/>
      <c r="S176" s="386"/>
      <c r="T176" s="386"/>
      <c r="V176" s="386"/>
      <c r="W176" s="386"/>
      <c r="X176" s="386"/>
      <c r="Y176" s="386"/>
      <c r="Z176" s="603"/>
      <c r="AA176" s="386"/>
      <c r="AB176" s="386"/>
      <c r="AC176" s="386"/>
      <c r="AE176" s="386"/>
      <c r="AF176" s="386"/>
      <c r="AG176" s="386"/>
      <c r="AH176" s="386"/>
      <c r="AI176" s="386"/>
      <c r="AJ176" s="386"/>
      <c r="AK176" s="386"/>
      <c r="AL176" s="386"/>
      <c r="AN176" s="386"/>
      <c r="AO176" s="386"/>
      <c r="AP176" s="386"/>
      <c r="AQ176" s="386"/>
      <c r="AR176" s="386"/>
      <c r="AS176" s="386"/>
      <c r="AT176" s="386"/>
      <c r="AU176" s="386"/>
      <c r="AV176" s="386"/>
      <c r="AW176" s="386"/>
      <c r="AX176" s="386"/>
      <c r="AY176" s="386"/>
      <c r="AZ176" s="386"/>
      <c r="BA176" s="386"/>
      <c r="BB176" s="386"/>
      <c r="BD176" s="604"/>
      <c r="BE176" s="614"/>
      <c r="BF176" s="614"/>
      <c r="BG176" s="9"/>
      <c r="BH176" s="48"/>
      <c r="BI176" s="386"/>
      <c r="BJ176" s="386"/>
      <c r="BK176" s="386"/>
      <c r="BL176" s="386"/>
      <c r="BM176" s="386"/>
    </row>
    <row r="177" spans="8:65" x14ac:dyDescent="0.2">
      <c r="H177" s="610"/>
      <c r="I177" s="4"/>
      <c r="L177" s="4"/>
      <c r="M177" s="4"/>
      <c r="Q177" s="386"/>
      <c r="R177" s="386"/>
      <c r="S177" s="386"/>
      <c r="T177" s="386"/>
      <c r="V177" s="386"/>
      <c r="W177" s="386"/>
      <c r="X177" s="386"/>
      <c r="Y177" s="386"/>
      <c r="Z177" s="603"/>
      <c r="AA177" s="386"/>
      <c r="AB177" s="386"/>
      <c r="AC177" s="386"/>
      <c r="AE177" s="386"/>
      <c r="AF177" s="386"/>
      <c r="AG177" s="386"/>
      <c r="AH177" s="386"/>
      <c r="AI177" s="386"/>
      <c r="AJ177" s="386"/>
      <c r="AK177" s="386"/>
      <c r="AL177" s="386"/>
      <c r="AN177" s="386"/>
      <c r="AO177" s="386"/>
      <c r="AP177" s="386"/>
      <c r="AQ177" s="386"/>
      <c r="AR177" s="386"/>
      <c r="AS177" s="386"/>
      <c r="AT177" s="386"/>
      <c r="AU177" s="386"/>
      <c r="AV177" s="386"/>
      <c r="AW177" s="386"/>
      <c r="AX177" s="386"/>
      <c r="AY177" s="386"/>
      <c r="AZ177" s="386"/>
      <c r="BA177" s="386"/>
      <c r="BB177" s="386"/>
      <c r="BD177" s="604"/>
      <c r="BE177" s="614"/>
      <c r="BF177" s="614"/>
      <c r="BG177" s="9"/>
      <c r="BH177" s="48"/>
      <c r="BI177" s="386"/>
      <c r="BJ177" s="386"/>
      <c r="BK177" s="386"/>
      <c r="BL177" s="386"/>
      <c r="BM177" s="386"/>
    </row>
    <row r="178" spans="8:65" x14ac:dyDescent="0.2">
      <c r="H178" s="610"/>
      <c r="I178" s="4"/>
      <c r="L178" s="4"/>
      <c r="M178" s="4"/>
      <c r="Q178" s="386"/>
      <c r="R178" s="386"/>
      <c r="S178" s="386"/>
      <c r="T178" s="386"/>
      <c r="V178" s="386"/>
      <c r="W178" s="386"/>
      <c r="X178" s="386"/>
      <c r="Y178" s="386"/>
      <c r="Z178" s="603"/>
      <c r="AA178" s="386"/>
      <c r="AB178" s="386"/>
      <c r="AC178" s="386"/>
      <c r="AE178" s="386"/>
      <c r="AF178" s="386"/>
      <c r="AG178" s="386"/>
      <c r="AH178" s="386"/>
      <c r="AI178" s="386"/>
      <c r="AJ178" s="386"/>
      <c r="AK178" s="386"/>
      <c r="AL178" s="386"/>
      <c r="AN178" s="386"/>
      <c r="AO178" s="386"/>
      <c r="AP178" s="386"/>
      <c r="AQ178" s="386"/>
      <c r="AR178" s="386"/>
      <c r="AS178" s="386"/>
      <c r="AT178" s="386"/>
      <c r="AU178" s="386"/>
      <c r="AV178" s="386"/>
      <c r="AW178" s="386"/>
      <c r="AX178" s="386"/>
      <c r="AY178" s="386"/>
      <c r="AZ178" s="386"/>
      <c r="BA178" s="386"/>
      <c r="BB178" s="386"/>
      <c r="BD178" s="604"/>
      <c r="BE178" s="614"/>
      <c r="BF178" s="614"/>
      <c r="BG178" s="9"/>
      <c r="BH178" s="48"/>
      <c r="BI178" s="386"/>
      <c r="BJ178" s="386"/>
      <c r="BK178" s="386"/>
      <c r="BL178" s="386"/>
      <c r="BM178" s="386"/>
    </row>
    <row r="179" spans="8:65" x14ac:dyDescent="0.2">
      <c r="H179" s="610"/>
      <c r="I179" s="4"/>
      <c r="L179" s="4"/>
      <c r="M179" s="4"/>
      <c r="Q179" s="386"/>
      <c r="R179" s="386"/>
      <c r="S179" s="386"/>
      <c r="T179" s="386"/>
      <c r="V179" s="386"/>
      <c r="W179" s="386"/>
      <c r="X179" s="386"/>
      <c r="Y179" s="386"/>
      <c r="Z179" s="603"/>
      <c r="AA179" s="386"/>
      <c r="AB179" s="386"/>
      <c r="AC179" s="386"/>
      <c r="AE179" s="386"/>
      <c r="AF179" s="386"/>
      <c r="AG179" s="386"/>
      <c r="AH179" s="386"/>
      <c r="AI179" s="386"/>
      <c r="AJ179" s="386"/>
      <c r="AK179" s="386"/>
      <c r="AL179" s="386"/>
      <c r="AN179" s="386"/>
      <c r="AO179" s="386"/>
      <c r="AP179" s="386"/>
      <c r="AQ179" s="386"/>
      <c r="AR179" s="386"/>
      <c r="AS179" s="386"/>
      <c r="AT179" s="386"/>
      <c r="AU179" s="386"/>
      <c r="AV179" s="386"/>
      <c r="AW179" s="386"/>
      <c r="AX179" s="386"/>
      <c r="AY179" s="386"/>
      <c r="AZ179" s="386"/>
      <c r="BA179" s="386"/>
      <c r="BB179" s="386"/>
      <c r="BD179" s="604"/>
      <c r="BE179" s="614"/>
      <c r="BF179" s="614"/>
      <c r="BG179" s="9"/>
      <c r="BH179" s="48"/>
      <c r="BI179" s="386"/>
      <c r="BJ179" s="386"/>
      <c r="BK179" s="386"/>
      <c r="BL179" s="386"/>
      <c r="BM179" s="386"/>
    </row>
    <row r="180" spans="8:65" x14ac:dyDescent="0.2">
      <c r="H180" s="610"/>
      <c r="I180" s="4"/>
      <c r="L180" s="4"/>
      <c r="M180" s="4"/>
      <c r="Q180" s="386"/>
      <c r="R180" s="386"/>
      <c r="S180" s="386"/>
      <c r="T180" s="386"/>
      <c r="V180" s="386"/>
      <c r="W180" s="386"/>
      <c r="X180" s="386"/>
      <c r="Y180" s="386"/>
      <c r="Z180" s="603"/>
      <c r="AA180" s="386"/>
      <c r="AB180" s="386"/>
      <c r="AC180" s="386"/>
      <c r="AE180" s="386"/>
      <c r="AF180" s="386"/>
      <c r="AG180" s="386"/>
      <c r="AH180" s="386"/>
      <c r="AI180" s="386"/>
      <c r="AJ180" s="386"/>
      <c r="AK180" s="386"/>
      <c r="AL180" s="386"/>
      <c r="AN180" s="386"/>
      <c r="AO180" s="386"/>
      <c r="AP180" s="386"/>
      <c r="AQ180" s="386"/>
      <c r="AR180" s="386"/>
      <c r="AS180" s="386"/>
      <c r="AT180" s="386"/>
      <c r="AU180" s="386"/>
      <c r="AV180" s="386"/>
      <c r="AW180" s="386"/>
      <c r="AX180" s="386"/>
      <c r="AY180" s="386"/>
      <c r="AZ180" s="386"/>
      <c r="BA180" s="386"/>
      <c r="BB180" s="386"/>
      <c r="BD180" s="604"/>
      <c r="BE180" s="614"/>
      <c r="BF180" s="614"/>
      <c r="BG180" s="9"/>
      <c r="BH180" s="48"/>
      <c r="BI180" s="386"/>
      <c r="BJ180" s="386"/>
      <c r="BK180" s="386"/>
      <c r="BL180" s="386"/>
      <c r="BM180" s="386"/>
    </row>
    <row r="181" spans="8:65" x14ac:dyDescent="0.2">
      <c r="H181" s="610"/>
      <c r="I181" s="4"/>
      <c r="L181" s="4"/>
      <c r="M181" s="4"/>
      <c r="Q181" s="386"/>
      <c r="R181" s="386"/>
      <c r="S181" s="386"/>
      <c r="T181" s="386"/>
      <c r="V181" s="386"/>
      <c r="W181" s="386"/>
      <c r="X181" s="386"/>
      <c r="Y181" s="386"/>
      <c r="Z181" s="603"/>
      <c r="AA181" s="386"/>
      <c r="AB181" s="386"/>
      <c r="AC181" s="386"/>
      <c r="AE181" s="386"/>
      <c r="AF181" s="386"/>
      <c r="AG181" s="386"/>
      <c r="AH181" s="386"/>
      <c r="AI181" s="386"/>
      <c r="AJ181" s="386"/>
      <c r="AK181" s="386"/>
      <c r="AL181" s="386"/>
      <c r="AN181" s="386"/>
      <c r="AO181" s="386"/>
      <c r="AP181" s="386"/>
      <c r="AQ181" s="386"/>
      <c r="AR181" s="386"/>
      <c r="AS181" s="386"/>
      <c r="AT181" s="386"/>
      <c r="AU181" s="386"/>
      <c r="AV181" s="386"/>
      <c r="AW181" s="386"/>
      <c r="AX181" s="386"/>
      <c r="AY181" s="386"/>
      <c r="AZ181" s="386"/>
      <c r="BA181" s="386"/>
      <c r="BB181" s="386"/>
      <c r="BD181" s="604"/>
      <c r="BE181" s="614"/>
      <c r="BF181" s="614"/>
      <c r="BG181" s="9"/>
      <c r="BH181" s="48"/>
      <c r="BI181" s="386"/>
      <c r="BJ181" s="386"/>
      <c r="BK181" s="386"/>
      <c r="BL181" s="386"/>
      <c r="BM181" s="386"/>
    </row>
    <row r="182" spans="8:65" x14ac:dyDescent="0.2">
      <c r="H182" s="610"/>
      <c r="I182" s="4"/>
      <c r="L182" s="4"/>
      <c r="M182" s="4"/>
      <c r="Q182" s="386"/>
      <c r="R182" s="386"/>
      <c r="S182" s="386"/>
      <c r="T182" s="386"/>
      <c r="V182" s="386"/>
      <c r="W182" s="386"/>
      <c r="X182" s="386"/>
      <c r="Y182" s="386"/>
      <c r="Z182" s="603"/>
      <c r="AA182" s="386"/>
      <c r="AB182" s="386"/>
      <c r="AC182" s="386"/>
      <c r="AE182" s="386"/>
      <c r="AF182" s="386"/>
      <c r="AG182" s="386"/>
      <c r="AH182" s="386"/>
      <c r="AI182" s="386"/>
      <c r="AJ182" s="386"/>
      <c r="AK182" s="386"/>
      <c r="AL182" s="386"/>
      <c r="AN182" s="386"/>
      <c r="AO182" s="386"/>
      <c r="AP182" s="386"/>
      <c r="AQ182" s="386"/>
      <c r="AR182" s="386"/>
      <c r="AS182" s="386"/>
      <c r="AT182" s="386"/>
      <c r="AU182" s="386"/>
      <c r="AV182" s="386"/>
      <c r="AW182" s="386"/>
      <c r="AX182" s="386"/>
      <c r="AY182" s="386"/>
      <c r="AZ182" s="386"/>
      <c r="BA182" s="386"/>
      <c r="BB182" s="386"/>
      <c r="BD182" s="604"/>
      <c r="BE182" s="614"/>
      <c r="BF182" s="614"/>
      <c r="BG182" s="9"/>
      <c r="BH182" s="48"/>
      <c r="BI182" s="386"/>
      <c r="BJ182" s="386"/>
      <c r="BK182" s="386"/>
      <c r="BL182" s="386"/>
      <c r="BM182" s="386"/>
    </row>
    <row r="183" spans="8:65" x14ac:dyDescent="0.2">
      <c r="H183" s="610"/>
      <c r="I183" s="4"/>
      <c r="L183" s="4"/>
      <c r="M183" s="4"/>
      <c r="Q183" s="386"/>
      <c r="R183" s="386"/>
      <c r="S183" s="386"/>
      <c r="T183" s="386"/>
      <c r="V183" s="386"/>
      <c r="W183" s="386"/>
      <c r="X183" s="386"/>
      <c r="Y183" s="386"/>
      <c r="Z183" s="603"/>
      <c r="AA183" s="386"/>
      <c r="AB183" s="386"/>
      <c r="AC183" s="386"/>
      <c r="AE183" s="386"/>
      <c r="AF183" s="386"/>
      <c r="AG183" s="386"/>
      <c r="AH183" s="386"/>
      <c r="AI183" s="386"/>
      <c r="AJ183" s="386"/>
      <c r="AK183" s="386"/>
      <c r="AL183" s="386"/>
      <c r="AN183" s="386"/>
      <c r="AO183" s="386"/>
      <c r="AP183" s="386"/>
      <c r="AQ183" s="386"/>
      <c r="AR183" s="386"/>
      <c r="AS183" s="386"/>
      <c r="AT183" s="386"/>
      <c r="AU183" s="386"/>
      <c r="AV183" s="386"/>
      <c r="AW183" s="386"/>
      <c r="AX183" s="386"/>
      <c r="AY183" s="386"/>
      <c r="AZ183" s="386"/>
      <c r="BA183" s="386"/>
      <c r="BB183" s="386"/>
      <c r="BD183" s="604"/>
      <c r="BE183" s="614"/>
      <c r="BF183" s="614"/>
      <c r="BG183" s="9"/>
      <c r="BH183" s="48"/>
      <c r="BI183" s="386"/>
      <c r="BJ183" s="386"/>
      <c r="BK183" s="386"/>
      <c r="BL183" s="386"/>
      <c r="BM183" s="386"/>
    </row>
    <row r="184" spans="8:65" x14ac:dyDescent="0.2">
      <c r="H184" s="610"/>
      <c r="I184" s="4"/>
      <c r="L184" s="4"/>
      <c r="M184" s="4"/>
      <c r="Q184" s="386"/>
      <c r="R184" s="386"/>
      <c r="S184" s="386"/>
      <c r="T184" s="386"/>
      <c r="V184" s="386"/>
      <c r="W184" s="386"/>
      <c r="X184" s="386"/>
      <c r="Y184" s="386"/>
      <c r="Z184" s="603"/>
      <c r="AA184" s="386"/>
      <c r="AB184" s="386"/>
      <c r="AC184" s="386"/>
      <c r="AE184" s="386"/>
      <c r="AF184" s="386"/>
      <c r="AG184" s="386"/>
      <c r="AH184" s="386"/>
      <c r="AI184" s="386"/>
      <c r="AJ184" s="386"/>
      <c r="AK184" s="386"/>
      <c r="AL184" s="386"/>
      <c r="AN184" s="386"/>
      <c r="AO184" s="386"/>
      <c r="AP184" s="386"/>
      <c r="AQ184" s="386"/>
      <c r="AR184" s="386"/>
      <c r="AS184" s="386"/>
      <c r="AT184" s="386"/>
      <c r="AU184" s="386"/>
      <c r="AV184" s="386"/>
      <c r="AW184" s="386"/>
      <c r="AX184" s="386"/>
      <c r="AY184" s="386"/>
      <c r="AZ184" s="386"/>
      <c r="BA184" s="386"/>
      <c r="BB184" s="386"/>
      <c r="BD184" s="604"/>
      <c r="BE184" s="614"/>
      <c r="BF184" s="614"/>
      <c r="BG184" s="9"/>
      <c r="BH184" s="48"/>
      <c r="BI184" s="386"/>
      <c r="BJ184" s="386"/>
      <c r="BK184" s="386"/>
      <c r="BL184" s="386"/>
      <c r="BM184" s="386"/>
    </row>
    <row r="185" spans="8:65" x14ac:dyDescent="0.2">
      <c r="H185" s="610"/>
      <c r="I185" s="4"/>
      <c r="L185" s="4"/>
      <c r="M185" s="4"/>
      <c r="Q185" s="386"/>
      <c r="R185" s="386"/>
      <c r="S185" s="386"/>
      <c r="T185" s="386"/>
      <c r="V185" s="386"/>
      <c r="W185" s="386"/>
      <c r="X185" s="386"/>
      <c r="Y185" s="386"/>
      <c r="Z185" s="603"/>
      <c r="AA185" s="386"/>
      <c r="AB185" s="386"/>
      <c r="AC185" s="386"/>
      <c r="AE185" s="386"/>
      <c r="AF185" s="386"/>
      <c r="AG185" s="386"/>
      <c r="AH185" s="386"/>
      <c r="AI185" s="386"/>
      <c r="AJ185" s="386"/>
      <c r="AK185" s="386"/>
      <c r="AL185" s="386"/>
      <c r="AN185" s="386"/>
      <c r="AO185" s="386"/>
      <c r="AP185" s="386"/>
      <c r="AQ185" s="386"/>
      <c r="AR185" s="386"/>
      <c r="AS185" s="386"/>
      <c r="AT185" s="386"/>
      <c r="AU185" s="386"/>
      <c r="AV185" s="386"/>
      <c r="AW185" s="386"/>
      <c r="AX185" s="386"/>
      <c r="AY185" s="386"/>
      <c r="AZ185" s="386"/>
      <c r="BA185" s="386"/>
      <c r="BB185" s="386"/>
      <c r="BD185" s="604"/>
      <c r="BE185" s="614"/>
      <c r="BF185" s="614"/>
      <c r="BG185" s="9"/>
      <c r="BH185" s="48"/>
      <c r="BI185" s="386"/>
      <c r="BJ185" s="386"/>
      <c r="BK185" s="386"/>
      <c r="BL185" s="386"/>
      <c r="BM185" s="386"/>
    </row>
    <row r="186" spans="8:65" x14ac:dyDescent="0.2">
      <c r="H186" s="610"/>
      <c r="I186" s="4"/>
      <c r="L186" s="4"/>
      <c r="M186" s="4"/>
      <c r="Q186" s="386"/>
      <c r="R186" s="386"/>
      <c r="S186" s="386"/>
      <c r="T186" s="386"/>
      <c r="V186" s="386"/>
      <c r="W186" s="386"/>
      <c r="X186" s="386"/>
      <c r="Y186" s="386"/>
      <c r="Z186" s="603"/>
      <c r="AA186" s="386"/>
      <c r="AB186" s="386"/>
      <c r="AC186" s="386"/>
      <c r="AE186" s="386"/>
      <c r="AF186" s="386"/>
      <c r="AG186" s="386"/>
      <c r="AH186" s="386"/>
      <c r="AI186" s="386"/>
      <c r="AJ186" s="386"/>
      <c r="AK186" s="386"/>
      <c r="AL186" s="386"/>
      <c r="AN186" s="386"/>
      <c r="AO186" s="386"/>
      <c r="AP186" s="386"/>
      <c r="AQ186" s="386"/>
      <c r="AR186" s="386"/>
      <c r="AS186" s="386"/>
      <c r="AT186" s="386"/>
      <c r="AU186" s="386"/>
      <c r="AV186" s="386"/>
      <c r="AW186" s="386"/>
      <c r="AX186" s="386"/>
      <c r="AY186" s="386"/>
      <c r="AZ186" s="386"/>
      <c r="BA186" s="386"/>
      <c r="BB186" s="386"/>
      <c r="BD186" s="604"/>
      <c r="BE186" s="614"/>
      <c r="BF186" s="614"/>
      <c r="BG186" s="9"/>
      <c r="BH186" s="48"/>
      <c r="BI186" s="386"/>
      <c r="BJ186" s="386"/>
      <c r="BK186" s="386"/>
      <c r="BL186" s="386"/>
      <c r="BM186" s="386"/>
    </row>
    <row r="187" spans="8:65" x14ac:dyDescent="0.2">
      <c r="H187" s="610"/>
      <c r="I187" s="4"/>
      <c r="L187" s="4"/>
      <c r="M187" s="4"/>
      <c r="Q187" s="386"/>
      <c r="R187" s="386"/>
      <c r="S187" s="386"/>
      <c r="T187" s="386"/>
      <c r="V187" s="386"/>
      <c r="W187" s="386"/>
      <c r="X187" s="386"/>
      <c r="Y187" s="386"/>
      <c r="Z187" s="603"/>
      <c r="AA187" s="386"/>
      <c r="AB187" s="386"/>
      <c r="AC187" s="386"/>
      <c r="AE187" s="386"/>
      <c r="AF187" s="386"/>
      <c r="AG187" s="386"/>
      <c r="AH187" s="386"/>
      <c r="AI187" s="386"/>
      <c r="AJ187" s="386"/>
      <c r="AK187" s="386"/>
      <c r="AL187" s="386"/>
      <c r="AN187" s="386"/>
      <c r="AO187" s="386"/>
      <c r="AP187" s="386"/>
      <c r="AQ187" s="386"/>
      <c r="AR187" s="386"/>
      <c r="AS187" s="386"/>
      <c r="AT187" s="386"/>
      <c r="AU187" s="386"/>
      <c r="AV187" s="386"/>
      <c r="AW187" s="386"/>
      <c r="AX187" s="386"/>
      <c r="AY187" s="386"/>
      <c r="AZ187" s="386"/>
      <c r="BA187" s="386"/>
      <c r="BB187" s="386"/>
      <c r="BD187" s="604"/>
      <c r="BE187" s="614"/>
      <c r="BF187" s="614"/>
      <c r="BG187" s="9"/>
      <c r="BH187" s="48"/>
      <c r="BI187" s="386"/>
      <c r="BJ187" s="386"/>
      <c r="BK187" s="386"/>
      <c r="BL187" s="386"/>
      <c r="BM187" s="386"/>
    </row>
    <row r="188" spans="8:65" x14ac:dyDescent="0.2">
      <c r="H188" s="610"/>
      <c r="I188" s="4"/>
      <c r="L188" s="4"/>
      <c r="M188" s="4"/>
      <c r="Q188" s="386"/>
      <c r="R188" s="386"/>
      <c r="S188" s="386"/>
      <c r="T188" s="386"/>
      <c r="V188" s="386"/>
      <c r="W188" s="386"/>
      <c r="X188" s="386"/>
      <c r="Y188" s="386"/>
      <c r="Z188" s="603"/>
      <c r="AA188" s="386"/>
      <c r="AB188" s="386"/>
      <c r="AC188" s="386"/>
      <c r="AE188" s="386"/>
      <c r="AF188" s="386"/>
      <c r="AG188" s="386"/>
      <c r="AH188" s="386"/>
      <c r="AI188" s="386"/>
      <c r="AJ188" s="386"/>
      <c r="AK188" s="386"/>
      <c r="AL188" s="386"/>
      <c r="AN188" s="386"/>
      <c r="AO188" s="386"/>
      <c r="AP188" s="386"/>
      <c r="AQ188" s="386"/>
      <c r="AR188" s="386"/>
      <c r="AS188" s="386"/>
      <c r="AT188" s="386"/>
      <c r="AU188" s="386"/>
      <c r="AV188" s="386"/>
      <c r="AW188" s="386"/>
      <c r="AX188" s="386"/>
      <c r="AY188" s="386"/>
      <c r="AZ188" s="386"/>
      <c r="BA188" s="386"/>
      <c r="BB188" s="386"/>
      <c r="BD188" s="604"/>
      <c r="BE188" s="614"/>
      <c r="BF188" s="614"/>
      <c r="BG188" s="9"/>
      <c r="BH188" s="48"/>
      <c r="BI188" s="386"/>
      <c r="BJ188" s="386"/>
      <c r="BK188" s="386"/>
      <c r="BL188" s="386"/>
      <c r="BM188" s="386"/>
    </row>
    <row r="189" spans="8:65" x14ac:dyDescent="0.2">
      <c r="H189" s="610"/>
      <c r="I189" s="4"/>
      <c r="L189" s="4"/>
      <c r="M189" s="4"/>
      <c r="Q189" s="386"/>
      <c r="R189" s="386"/>
      <c r="S189" s="386"/>
      <c r="T189" s="386"/>
      <c r="V189" s="386"/>
      <c r="W189" s="386"/>
      <c r="X189" s="386"/>
      <c r="Y189" s="386"/>
      <c r="Z189" s="603"/>
      <c r="AA189" s="386"/>
      <c r="AB189" s="386"/>
      <c r="AC189" s="386"/>
      <c r="AE189" s="386"/>
      <c r="AF189" s="386"/>
      <c r="AG189" s="386"/>
      <c r="AH189" s="386"/>
      <c r="AI189" s="386"/>
      <c r="AJ189" s="386"/>
      <c r="AK189" s="386"/>
      <c r="AL189" s="386"/>
      <c r="AN189" s="386"/>
      <c r="AO189" s="386"/>
      <c r="AP189" s="386"/>
      <c r="AQ189" s="386"/>
      <c r="AR189" s="386"/>
      <c r="AS189" s="386"/>
      <c r="AT189" s="386"/>
      <c r="AU189" s="386"/>
      <c r="AV189" s="386"/>
      <c r="AW189" s="386"/>
      <c r="AX189" s="386"/>
      <c r="AY189" s="386"/>
      <c r="AZ189" s="386"/>
      <c r="BA189" s="386"/>
      <c r="BB189" s="386"/>
      <c r="BD189" s="604"/>
      <c r="BE189" s="614"/>
      <c r="BF189" s="614"/>
      <c r="BG189" s="9"/>
      <c r="BH189" s="48"/>
      <c r="BI189" s="386"/>
      <c r="BJ189" s="386"/>
      <c r="BK189" s="386"/>
      <c r="BL189" s="386"/>
      <c r="BM189" s="386"/>
    </row>
    <row r="190" spans="8:65" x14ac:dyDescent="0.2">
      <c r="H190" s="610"/>
      <c r="I190" s="4"/>
      <c r="L190" s="4"/>
      <c r="M190" s="4"/>
      <c r="Q190" s="386"/>
      <c r="R190" s="386"/>
      <c r="S190" s="386"/>
      <c r="T190" s="386"/>
      <c r="V190" s="386"/>
      <c r="W190" s="386"/>
      <c r="X190" s="386"/>
      <c r="Y190" s="386"/>
      <c r="Z190" s="603"/>
      <c r="AA190" s="386"/>
      <c r="AB190" s="386"/>
      <c r="AC190" s="386"/>
      <c r="AE190" s="386"/>
      <c r="AF190" s="386"/>
      <c r="AG190" s="386"/>
      <c r="AH190" s="386"/>
      <c r="AI190" s="386"/>
      <c r="AJ190" s="386"/>
      <c r="AK190" s="386"/>
      <c r="AL190" s="386"/>
      <c r="AN190" s="386"/>
      <c r="AO190" s="386"/>
      <c r="AP190" s="386"/>
      <c r="AQ190" s="386"/>
      <c r="AR190" s="386"/>
      <c r="AS190" s="386"/>
      <c r="AT190" s="386"/>
      <c r="AU190" s="386"/>
      <c r="AV190" s="386"/>
      <c r="AW190" s="386"/>
      <c r="AX190" s="386"/>
      <c r="AY190" s="386"/>
      <c r="AZ190" s="386"/>
      <c r="BA190" s="386"/>
      <c r="BB190" s="386"/>
      <c r="BD190" s="604"/>
      <c r="BE190" s="614"/>
      <c r="BF190" s="614"/>
      <c r="BG190" s="9"/>
      <c r="BH190" s="48"/>
      <c r="BI190" s="386"/>
      <c r="BJ190" s="386"/>
      <c r="BK190" s="386"/>
      <c r="BL190" s="386"/>
      <c r="BM190" s="386"/>
    </row>
    <row r="191" spans="8:65" x14ac:dyDescent="0.2">
      <c r="H191" s="610"/>
      <c r="I191" s="4"/>
      <c r="L191" s="4"/>
      <c r="M191" s="4"/>
      <c r="Q191" s="386"/>
      <c r="R191" s="386"/>
      <c r="S191" s="386"/>
      <c r="T191" s="386"/>
      <c r="V191" s="386"/>
      <c r="W191" s="386"/>
      <c r="X191" s="386"/>
      <c r="Y191" s="386"/>
      <c r="Z191" s="603"/>
      <c r="AA191" s="386"/>
      <c r="AB191" s="386"/>
      <c r="AC191" s="386"/>
      <c r="AE191" s="386"/>
      <c r="AF191" s="386"/>
      <c r="AG191" s="386"/>
      <c r="AH191" s="386"/>
      <c r="AI191" s="386"/>
      <c r="AJ191" s="386"/>
      <c r="AK191" s="386"/>
      <c r="AL191" s="386"/>
      <c r="AN191" s="386"/>
      <c r="AO191" s="386"/>
      <c r="AP191" s="386"/>
      <c r="AQ191" s="386"/>
      <c r="AR191" s="386"/>
      <c r="AS191" s="386"/>
      <c r="AT191" s="386"/>
      <c r="AU191" s="386"/>
      <c r="AV191" s="386"/>
      <c r="AW191" s="386"/>
      <c r="AX191" s="386"/>
      <c r="AY191" s="386"/>
      <c r="AZ191" s="386"/>
      <c r="BA191" s="386"/>
      <c r="BB191" s="386"/>
      <c r="BD191" s="604"/>
      <c r="BE191" s="614"/>
      <c r="BF191" s="614"/>
      <c r="BG191" s="9"/>
      <c r="BH191" s="48"/>
      <c r="BI191" s="386"/>
      <c r="BJ191" s="386"/>
      <c r="BK191" s="386"/>
      <c r="BL191" s="386"/>
      <c r="BM191" s="386"/>
    </row>
    <row r="192" spans="8:65" x14ac:dyDescent="0.2">
      <c r="H192" s="610"/>
      <c r="I192" s="4"/>
      <c r="L192" s="4"/>
      <c r="M192" s="4"/>
      <c r="Q192" s="386"/>
      <c r="R192" s="386"/>
      <c r="S192" s="386"/>
      <c r="T192" s="386"/>
      <c r="V192" s="386"/>
      <c r="W192" s="386"/>
      <c r="X192" s="386"/>
      <c r="Y192" s="386"/>
      <c r="Z192" s="603"/>
      <c r="AA192" s="386"/>
      <c r="AB192" s="386"/>
      <c r="AC192" s="386"/>
      <c r="AE192" s="386"/>
      <c r="AF192" s="386"/>
      <c r="AG192" s="386"/>
      <c r="AH192" s="386"/>
      <c r="AI192" s="386"/>
      <c r="AJ192" s="386"/>
      <c r="AK192" s="386"/>
      <c r="AL192" s="386"/>
      <c r="AN192" s="386"/>
      <c r="AO192" s="386"/>
      <c r="AP192" s="386"/>
      <c r="AQ192" s="386"/>
      <c r="AR192" s="386"/>
      <c r="AS192" s="386"/>
      <c r="AT192" s="386"/>
      <c r="AU192" s="386"/>
      <c r="AV192" s="386"/>
      <c r="AW192" s="386"/>
      <c r="AX192" s="386"/>
      <c r="AY192" s="386"/>
      <c r="AZ192" s="386"/>
      <c r="BA192" s="386"/>
      <c r="BB192" s="386"/>
      <c r="BD192" s="604"/>
      <c r="BE192" s="614"/>
      <c r="BF192" s="614"/>
      <c r="BG192" s="9"/>
      <c r="BH192" s="48"/>
      <c r="BI192" s="386"/>
      <c r="BJ192" s="386"/>
      <c r="BK192" s="386"/>
      <c r="BL192" s="386"/>
      <c r="BM192" s="386"/>
    </row>
    <row r="193" spans="8:65" x14ac:dyDescent="0.2">
      <c r="H193" s="610"/>
      <c r="I193" s="4"/>
      <c r="L193" s="4"/>
      <c r="M193" s="4"/>
      <c r="Q193" s="386"/>
      <c r="R193" s="386"/>
      <c r="S193" s="386"/>
      <c r="T193" s="386"/>
      <c r="V193" s="386"/>
      <c r="W193" s="386"/>
      <c r="X193" s="386"/>
      <c r="Y193" s="386"/>
      <c r="Z193" s="603"/>
      <c r="AA193" s="386"/>
      <c r="AB193" s="386"/>
      <c r="AC193" s="386"/>
      <c r="AE193" s="386"/>
      <c r="AF193" s="386"/>
      <c r="AG193" s="386"/>
      <c r="AH193" s="386"/>
      <c r="AI193" s="386"/>
      <c r="AJ193" s="386"/>
      <c r="AK193" s="386"/>
      <c r="AL193" s="386"/>
      <c r="AN193" s="386"/>
      <c r="AO193" s="386"/>
      <c r="AP193" s="386"/>
      <c r="AQ193" s="386"/>
      <c r="AR193" s="386"/>
      <c r="AS193" s="386"/>
      <c r="AT193" s="386"/>
      <c r="AU193" s="386"/>
      <c r="AV193" s="386"/>
      <c r="AW193" s="386"/>
      <c r="AX193" s="386"/>
      <c r="AY193" s="386"/>
      <c r="AZ193" s="386"/>
      <c r="BA193" s="386"/>
      <c r="BB193" s="386"/>
      <c r="BD193" s="604"/>
      <c r="BE193" s="614"/>
      <c r="BF193" s="614"/>
      <c r="BG193" s="9"/>
      <c r="BH193" s="48"/>
      <c r="BI193" s="386"/>
      <c r="BJ193" s="386"/>
      <c r="BK193" s="386"/>
      <c r="BL193" s="386"/>
      <c r="BM193" s="386"/>
    </row>
    <row r="194" spans="8:65" x14ac:dyDescent="0.2">
      <c r="H194" s="610"/>
      <c r="I194" s="4"/>
      <c r="L194" s="4"/>
      <c r="M194" s="4"/>
      <c r="Q194" s="386"/>
      <c r="R194" s="386"/>
      <c r="S194" s="386"/>
      <c r="T194" s="386"/>
      <c r="V194" s="386"/>
      <c r="W194" s="386"/>
      <c r="X194" s="386"/>
      <c r="Y194" s="386"/>
      <c r="Z194" s="603"/>
      <c r="AA194" s="386"/>
      <c r="AB194" s="386"/>
      <c r="AC194" s="386"/>
      <c r="AE194" s="386"/>
      <c r="AF194" s="386"/>
      <c r="AG194" s="386"/>
      <c r="AH194" s="386"/>
      <c r="AI194" s="386"/>
      <c r="AJ194" s="386"/>
      <c r="AK194" s="386"/>
      <c r="AL194" s="386"/>
      <c r="AN194" s="386"/>
      <c r="AO194" s="386"/>
      <c r="AP194" s="386"/>
      <c r="AQ194" s="386"/>
      <c r="AR194" s="386"/>
      <c r="AS194" s="386"/>
      <c r="AT194" s="386"/>
      <c r="AU194" s="386"/>
      <c r="AV194" s="386"/>
      <c r="AW194" s="386"/>
      <c r="AX194" s="386"/>
      <c r="AY194" s="386"/>
      <c r="AZ194" s="386"/>
      <c r="BA194" s="386"/>
      <c r="BB194" s="386"/>
      <c r="BD194" s="604"/>
      <c r="BE194" s="614"/>
      <c r="BF194" s="614"/>
      <c r="BG194" s="9"/>
      <c r="BH194" s="48"/>
      <c r="BI194" s="386"/>
      <c r="BJ194" s="386"/>
      <c r="BK194" s="386"/>
      <c r="BL194" s="386"/>
      <c r="BM194" s="386"/>
    </row>
    <row r="195" spans="8:65" x14ac:dyDescent="0.2">
      <c r="H195" s="610"/>
      <c r="I195" s="4"/>
      <c r="L195" s="4"/>
      <c r="M195" s="4"/>
      <c r="Q195" s="386"/>
      <c r="R195" s="386"/>
      <c r="S195" s="386"/>
      <c r="T195" s="386"/>
      <c r="V195" s="386"/>
      <c r="W195" s="386"/>
      <c r="X195" s="386"/>
      <c r="Y195" s="386"/>
      <c r="Z195" s="603"/>
      <c r="AA195" s="386"/>
      <c r="AB195" s="386"/>
      <c r="AC195" s="386"/>
      <c r="AE195" s="386"/>
      <c r="AF195" s="386"/>
      <c r="AG195" s="386"/>
      <c r="AH195" s="386"/>
      <c r="AI195" s="386"/>
      <c r="AJ195" s="386"/>
      <c r="AK195" s="386"/>
      <c r="AL195" s="386"/>
      <c r="AN195" s="386"/>
      <c r="AO195" s="386"/>
      <c r="AP195" s="386"/>
      <c r="AQ195" s="386"/>
      <c r="AR195" s="386"/>
      <c r="AS195" s="386"/>
      <c r="AT195" s="386"/>
      <c r="AU195" s="386"/>
      <c r="AV195" s="386"/>
      <c r="AW195" s="386"/>
      <c r="AX195" s="386"/>
      <c r="AY195" s="386"/>
      <c r="AZ195" s="386"/>
      <c r="BA195" s="386"/>
      <c r="BB195" s="386"/>
      <c r="BD195" s="604"/>
      <c r="BE195" s="614"/>
      <c r="BF195" s="614"/>
      <c r="BG195" s="9"/>
      <c r="BH195" s="48"/>
      <c r="BI195" s="386"/>
      <c r="BJ195" s="386"/>
      <c r="BK195" s="386"/>
      <c r="BL195" s="386"/>
      <c r="BM195" s="386"/>
    </row>
    <row r="196" spans="8:65" x14ac:dyDescent="0.2">
      <c r="H196" s="610"/>
      <c r="I196" s="4"/>
      <c r="L196" s="4"/>
      <c r="M196" s="4"/>
      <c r="Q196" s="386"/>
      <c r="R196" s="386"/>
      <c r="S196" s="386"/>
      <c r="T196" s="386"/>
      <c r="V196" s="386"/>
      <c r="W196" s="386"/>
      <c r="X196" s="386"/>
      <c r="Y196" s="386"/>
      <c r="Z196" s="603"/>
      <c r="AA196" s="386"/>
      <c r="AB196" s="386"/>
      <c r="AC196" s="386"/>
      <c r="AE196" s="386"/>
      <c r="AF196" s="386"/>
      <c r="AG196" s="386"/>
      <c r="AH196" s="386"/>
      <c r="AI196" s="386"/>
      <c r="AJ196" s="386"/>
      <c r="AK196" s="386"/>
      <c r="AL196" s="386"/>
      <c r="AN196" s="386"/>
      <c r="AO196" s="386"/>
      <c r="AP196" s="386"/>
      <c r="AQ196" s="386"/>
      <c r="AR196" s="386"/>
      <c r="AS196" s="386"/>
      <c r="AT196" s="386"/>
      <c r="AU196" s="386"/>
      <c r="AV196" s="386"/>
      <c r="AW196" s="386"/>
      <c r="AX196" s="386"/>
      <c r="AY196" s="386"/>
      <c r="AZ196" s="386"/>
      <c r="BA196" s="386"/>
      <c r="BB196" s="386"/>
      <c r="BD196" s="604"/>
      <c r="BE196" s="614"/>
      <c r="BF196" s="614"/>
      <c r="BG196" s="9"/>
      <c r="BH196" s="48"/>
      <c r="BI196" s="386"/>
      <c r="BJ196" s="386"/>
      <c r="BK196" s="386"/>
      <c r="BL196" s="386"/>
      <c r="BM196" s="386"/>
    </row>
    <row r="197" spans="8:65" x14ac:dyDescent="0.2">
      <c r="H197" s="610"/>
      <c r="I197" s="4"/>
      <c r="L197" s="4"/>
      <c r="M197" s="4"/>
      <c r="Q197" s="386"/>
      <c r="R197" s="386"/>
      <c r="S197" s="386"/>
      <c r="T197" s="386"/>
      <c r="V197" s="386"/>
      <c r="W197" s="386"/>
      <c r="X197" s="386"/>
      <c r="Y197" s="386"/>
      <c r="Z197" s="603"/>
      <c r="AA197" s="386"/>
      <c r="AB197" s="386"/>
      <c r="AC197" s="386"/>
      <c r="AE197" s="386"/>
      <c r="AF197" s="386"/>
      <c r="AG197" s="386"/>
      <c r="AH197" s="386"/>
      <c r="AI197" s="386"/>
      <c r="AJ197" s="386"/>
      <c r="AK197" s="386"/>
      <c r="AL197" s="386"/>
      <c r="AN197" s="386"/>
      <c r="AO197" s="386"/>
      <c r="AP197" s="386"/>
      <c r="AQ197" s="386"/>
      <c r="AR197" s="386"/>
      <c r="AS197" s="386"/>
      <c r="AT197" s="386"/>
      <c r="AU197" s="386"/>
      <c r="AV197" s="386"/>
      <c r="AW197" s="386"/>
      <c r="AX197" s="386"/>
      <c r="AY197" s="386"/>
      <c r="AZ197" s="386"/>
      <c r="BA197" s="386"/>
      <c r="BB197" s="386"/>
      <c r="BD197" s="604"/>
      <c r="BE197" s="614"/>
      <c r="BF197" s="614"/>
      <c r="BG197" s="9"/>
      <c r="BH197" s="48"/>
      <c r="BI197" s="386"/>
      <c r="BJ197" s="386"/>
      <c r="BK197" s="386"/>
      <c r="BL197" s="386"/>
      <c r="BM197" s="386"/>
    </row>
    <row r="198" spans="8:65" x14ac:dyDescent="0.2">
      <c r="H198" s="610"/>
      <c r="I198" s="4"/>
      <c r="L198" s="4"/>
      <c r="M198" s="4"/>
      <c r="Q198" s="386"/>
      <c r="R198" s="386"/>
      <c r="S198" s="386"/>
      <c r="T198" s="386"/>
      <c r="V198" s="386"/>
      <c r="W198" s="386"/>
      <c r="X198" s="386"/>
      <c r="Y198" s="386"/>
      <c r="Z198" s="603"/>
      <c r="AA198" s="386"/>
      <c r="AB198" s="386"/>
      <c r="AC198" s="386"/>
      <c r="AE198" s="386"/>
      <c r="AF198" s="386"/>
      <c r="AG198" s="386"/>
      <c r="AH198" s="386"/>
      <c r="AI198" s="386"/>
      <c r="AJ198" s="386"/>
      <c r="AK198" s="386"/>
      <c r="AL198" s="386"/>
      <c r="AN198" s="386"/>
      <c r="AO198" s="386"/>
      <c r="AP198" s="386"/>
      <c r="AQ198" s="386"/>
      <c r="AR198" s="386"/>
      <c r="AS198" s="386"/>
      <c r="AT198" s="386"/>
      <c r="AU198" s="386"/>
      <c r="AV198" s="386"/>
      <c r="AW198" s="386"/>
      <c r="AX198" s="386"/>
      <c r="AY198" s="386"/>
      <c r="AZ198" s="386"/>
      <c r="BA198" s="386"/>
      <c r="BB198" s="386"/>
      <c r="BD198" s="604"/>
      <c r="BE198" s="614"/>
      <c r="BF198" s="614"/>
      <c r="BG198" s="9"/>
      <c r="BH198" s="48"/>
      <c r="BI198" s="386"/>
      <c r="BJ198" s="386"/>
      <c r="BK198" s="386"/>
      <c r="BL198" s="386"/>
      <c r="BM198" s="386"/>
    </row>
    <row r="199" spans="8:65" x14ac:dyDescent="0.2">
      <c r="H199" s="610"/>
      <c r="I199" s="4"/>
      <c r="L199" s="4"/>
      <c r="M199" s="4"/>
      <c r="Q199" s="386"/>
      <c r="R199" s="386"/>
      <c r="S199" s="386"/>
      <c r="T199" s="386"/>
      <c r="V199" s="386"/>
      <c r="W199" s="386"/>
      <c r="X199" s="386"/>
      <c r="Y199" s="386"/>
      <c r="Z199" s="603"/>
      <c r="AA199" s="386"/>
      <c r="AB199" s="386"/>
      <c r="AC199" s="386"/>
      <c r="AE199" s="386"/>
      <c r="AF199" s="386"/>
      <c r="AG199" s="386"/>
      <c r="AH199" s="386"/>
      <c r="AI199" s="386"/>
      <c r="AJ199" s="386"/>
      <c r="AK199" s="386"/>
      <c r="AL199" s="386"/>
      <c r="AN199" s="386"/>
      <c r="AO199" s="386"/>
      <c r="AP199" s="386"/>
      <c r="AQ199" s="386"/>
      <c r="AR199" s="386"/>
      <c r="AS199" s="386"/>
      <c r="AT199" s="386"/>
      <c r="AU199" s="386"/>
      <c r="AV199" s="386"/>
      <c r="AW199" s="386"/>
      <c r="AX199" s="386"/>
      <c r="AY199" s="386"/>
      <c r="AZ199" s="386"/>
      <c r="BA199" s="386"/>
      <c r="BB199" s="386"/>
      <c r="BD199" s="604"/>
      <c r="BE199" s="614"/>
      <c r="BF199" s="614"/>
      <c r="BG199" s="9"/>
      <c r="BH199" s="48"/>
      <c r="BI199" s="386"/>
      <c r="BJ199" s="386"/>
      <c r="BK199" s="386"/>
      <c r="BL199" s="386"/>
      <c r="BM199" s="386"/>
    </row>
    <row r="200" spans="8:65" x14ac:dyDescent="0.2">
      <c r="H200" s="610"/>
      <c r="I200" s="4"/>
      <c r="L200" s="4"/>
      <c r="M200" s="4"/>
      <c r="Q200" s="386"/>
      <c r="R200" s="386"/>
      <c r="S200" s="386"/>
      <c r="T200" s="386"/>
      <c r="V200" s="386"/>
      <c r="W200" s="386"/>
      <c r="X200" s="386"/>
      <c r="Y200" s="386"/>
      <c r="Z200" s="603"/>
      <c r="AA200" s="386"/>
      <c r="AB200" s="386"/>
      <c r="AC200" s="386"/>
      <c r="AE200" s="386"/>
      <c r="AF200" s="386"/>
      <c r="AG200" s="386"/>
      <c r="AH200" s="386"/>
      <c r="AI200" s="386"/>
      <c r="AJ200" s="386"/>
      <c r="AK200" s="386"/>
      <c r="AL200" s="386"/>
      <c r="AN200" s="386"/>
      <c r="AO200" s="386"/>
      <c r="AP200" s="386"/>
      <c r="AQ200" s="386"/>
      <c r="AR200" s="386"/>
      <c r="AS200" s="386"/>
      <c r="AT200" s="386"/>
      <c r="AU200" s="386"/>
      <c r="AV200" s="386"/>
      <c r="AW200" s="386"/>
      <c r="AX200" s="386"/>
      <c r="AY200" s="386"/>
      <c r="AZ200" s="386"/>
      <c r="BA200" s="386"/>
      <c r="BB200" s="386"/>
      <c r="BD200" s="604"/>
      <c r="BE200" s="614"/>
      <c r="BF200" s="614"/>
      <c r="BG200" s="9"/>
      <c r="BH200" s="48"/>
      <c r="BI200" s="386"/>
      <c r="BJ200" s="386"/>
      <c r="BK200" s="386"/>
      <c r="BL200" s="386"/>
      <c r="BM200" s="386"/>
    </row>
    <row r="201" spans="8:65" x14ac:dyDescent="0.2">
      <c r="H201" s="610"/>
      <c r="I201" s="4"/>
      <c r="L201" s="4"/>
      <c r="M201" s="4"/>
      <c r="Q201" s="386"/>
      <c r="R201" s="386"/>
      <c r="S201" s="386"/>
      <c r="T201" s="386"/>
      <c r="V201" s="386"/>
      <c r="W201" s="386"/>
      <c r="X201" s="386"/>
      <c r="Y201" s="386"/>
      <c r="Z201" s="603"/>
      <c r="AA201" s="386"/>
      <c r="AB201" s="386"/>
      <c r="AC201" s="386"/>
      <c r="AE201" s="386"/>
      <c r="AF201" s="386"/>
      <c r="AG201" s="386"/>
      <c r="AH201" s="386"/>
      <c r="AI201" s="386"/>
      <c r="AJ201" s="386"/>
      <c r="AK201" s="386"/>
      <c r="AL201" s="386"/>
      <c r="AN201" s="386"/>
      <c r="AO201" s="386"/>
      <c r="AP201" s="386"/>
      <c r="AQ201" s="386"/>
      <c r="AR201" s="386"/>
      <c r="AS201" s="386"/>
      <c r="AT201" s="386"/>
      <c r="AU201" s="386"/>
      <c r="AV201" s="386"/>
      <c r="AW201" s="386"/>
      <c r="AX201" s="386"/>
      <c r="AY201" s="386"/>
      <c r="AZ201" s="386"/>
      <c r="BA201" s="386"/>
      <c r="BB201" s="386"/>
      <c r="BD201" s="604"/>
      <c r="BE201" s="614"/>
      <c r="BF201" s="614"/>
      <c r="BG201" s="9"/>
      <c r="BH201" s="48"/>
      <c r="BI201" s="386"/>
      <c r="BJ201" s="386"/>
      <c r="BK201" s="386"/>
      <c r="BL201" s="386"/>
      <c r="BM201" s="386"/>
    </row>
    <row r="202" spans="8:65" x14ac:dyDescent="0.2">
      <c r="H202" s="610"/>
      <c r="I202" s="4"/>
      <c r="L202" s="4"/>
      <c r="M202" s="4"/>
      <c r="Q202" s="386"/>
      <c r="R202" s="386"/>
      <c r="S202" s="386"/>
      <c r="T202" s="386"/>
      <c r="V202" s="386"/>
      <c r="W202" s="386"/>
      <c r="X202" s="386"/>
      <c r="Y202" s="386"/>
      <c r="Z202" s="603"/>
      <c r="AA202" s="386"/>
      <c r="AB202" s="386"/>
      <c r="AC202" s="386"/>
      <c r="AE202" s="386"/>
      <c r="AF202" s="386"/>
      <c r="AG202" s="386"/>
      <c r="AH202" s="386"/>
      <c r="AI202" s="386"/>
      <c r="AJ202" s="386"/>
      <c r="AK202" s="386"/>
      <c r="AL202" s="386"/>
      <c r="AN202" s="386"/>
      <c r="AO202" s="386"/>
      <c r="AP202" s="386"/>
      <c r="AQ202" s="386"/>
      <c r="AR202" s="386"/>
      <c r="AS202" s="386"/>
      <c r="AT202" s="386"/>
      <c r="AU202" s="386"/>
      <c r="AV202" s="386"/>
      <c r="AW202" s="386"/>
      <c r="AX202" s="386"/>
      <c r="AY202" s="386"/>
      <c r="AZ202" s="386"/>
      <c r="BA202" s="386"/>
      <c r="BB202" s="386"/>
      <c r="BD202" s="604"/>
      <c r="BE202" s="614"/>
      <c r="BF202" s="614"/>
      <c r="BG202" s="9"/>
      <c r="BH202" s="48"/>
      <c r="BI202" s="386"/>
      <c r="BJ202" s="386"/>
      <c r="BK202" s="386"/>
      <c r="BL202" s="386"/>
      <c r="BM202" s="386"/>
    </row>
    <row r="203" spans="8:65" x14ac:dyDescent="0.2">
      <c r="H203" s="610"/>
      <c r="I203" s="4"/>
      <c r="L203" s="4"/>
      <c r="M203" s="4"/>
      <c r="Q203" s="386"/>
      <c r="R203" s="386"/>
      <c r="S203" s="386"/>
      <c r="T203" s="386"/>
      <c r="V203" s="386"/>
      <c r="W203" s="386"/>
      <c r="X203" s="386"/>
      <c r="Y203" s="386"/>
      <c r="Z203" s="603"/>
      <c r="AA203" s="386"/>
      <c r="AB203" s="386"/>
      <c r="AC203" s="386"/>
      <c r="AE203" s="386"/>
      <c r="AF203" s="386"/>
      <c r="AG203" s="386"/>
      <c r="AH203" s="386"/>
      <c r="AI203" s="386"/>
      <c r="AJ203" s="386"/>
      <c r="AK203" s="386"/>
      <c r="AL203" s="386"/>
      <c r="AN203" s="386"/>
      <c r="AO203" s="386"/>
      <c r="AP203" s="386"/>
      <c r="AQ203" s="386"/>
      <c r="AR203" s="386"/>
      <c r="AS203" s="386"/>
      <c r="AT203" s="386"/>
      <c r="AU203" s="386"/>
      <c r="AV203" s="386"/>
      <c r="AW203" s="386"/>
      <c r="AX203" s="386"/>
      <c r="AY203" s="386"/>
      <c r="AZ203" s="386"/>
      <c r="BA203" s="386"/>
      <c r="BB203" s="386"/>
      <c r="BD203" s="604"/>
      <c r="BE203" s="614"/>
      <c r="BF203" s="614"/>
      <c r="BG203" s="9"/>
      <c r="BH203" s="48"/>
      <c r="BI203" s="386"/>
      <c r="BJ203" s="386"/>
      <c r="BK203" s="386"/>
      <c r="BL203" s="386"/>
      <c r="BM203" s="386"/>
    </row>
    <row r="204" spans="8:65" x14ac:dyDescent="0.2">
      <c r="H204" s="610"/>
      <c r="I204" s="4"/>
      <c r="L204" s="4"/>
      <c r="M204" s="4"/>
      <c r="Q204" s="386"/>
      <c r="R204" s="386"/>
      <c r="S204" s="386"/>
      <c r="T204" s="386"/>
      <c r="V204" s="386"/>
      <c r="W204" s="386"/>
      <c r="X204" s="386"/>
      <c r="Y204" s="386"/>
      <c r="Z204" s="603"/>
      <c r="AA204" s="386"/>
      <c r="AB204" s="386"/>
      <c r="AC204" s="386"/>
      <c r="AE204" s="386"/>
      <c r="AF204" s="386"/>
      <c r="AG204" s="386"/>
      <c r="AH204" s="386"/>
      <c r="AI204" s="386"/>
      <c r="AJ204" s="386"/>
      <c r="AK204" s="386"/>
      <c r="AL204" s="386"/>
      <c r="AN204" s="386"/>
      <c r="AO204" s="386"/>
      <c r="AP204" s="386"/>
      <c r="AQ204" s="386"/>
      <c r="AR204" s="386"/>
      <c r="AS204" s="386"/>
      <c r="AT204" s="386"/>
      <c r="AU204" s="386"/>
      <c r="AV204" s="386"/>
      <c r="AW204" s="386"/>
      <c r="AX204" s="386"/>
      <c r="AY204" s="386"/>
      <c r="AZ204" s="386"/>
      <c r="BA204" s="386"/>
      <c r="BB204" s="386"/>
      <c r="BD204" s="604"/>
      <c r="BE204" s="614"/>
      <c r="BF204" s="614"/>
      <c r="BG204" s="9"/>
      <c r="BH204" s="48"/>
      <c r="BI204" s="386"/>
      <c r="BJ204" s="386"/>
      <c r="BK204" s="386"/>
      <c r="BL204" s="386"/>
      <c r="BM204" s="386"/>
    </row>
    <row r="205" spans="8:65" x14ac:dyDescent="0.2">
      <c r="H205" s="610"/>
      <c r="I205" s="4"/>
      <c r="L205" s="4"/>
      <c r="M205" s="4"/>
      <c r="Q205" s="386"/>
      <c r="R205" s="386"/>
      <c r="S205" s="386"/>
      <c r="T205" s="386"/>
      <c r="V205" s="386"/>
      <c r="W205" s="386"/>
      <c r="X205" s="386"/>
      <c r="Y205" s="386"/>
      <c r="Z205" s="603"/>
      <c r="AA205" s="386"/>
      <c r="AB205" s="386"/>
      <c r="AC205" s="386"/>
      <c r="AE205" s="386"/>
      <c r="AF205" s="386"/>
      <c r="AG205" s="386"/>
      <c r="AH205" s="386"/>
      <c r="AI205" s="386"/>
      <c r="AJ205" s="386"/>
      <c r="AK205" s="386"/>
      <c r="AL205" s="386"/>
      <c r="AN205" s="386"/>
      <c r="AO205" s="386"/>
      <c r="AP205" s="386"/>
      <c r="AQ205" s="386"/>
      <c r="AR205" s="386"/>
      <c r="AS205" s="386"/>
      <c r="AT205" s="386"/>
      <c r="AU205" s="386"/>
      <c r="AV205" s="386"/>
      <c r="AW205" s="386"/>
      <c r="AX205" s="386"/>
      <c r="AY205" s="386"/>
      <c r="AZ205" s="386"/>
      <c r="BA205" s="386"/>
      <c r="BB205" s="386"/>
      <c r="BD205" s="604"/>
      <c r="BE205" s="614"/>
      <c r="BF205" s="614"/>
      <c r="BG205" s="9"/>
      <c r="BH205" s="48"/>
      <c r="BI205" s="386"/>
      <c r="BJ205" s="386"/>
      <c r="BK205" s="386"/>
      <c r="BL205" s="386"/>
      <c r="BM205" s="386"/>
    </row>
    <row r="206" spans="8:65" x14ac:dyDescent="0.2">
      <c r="H206" s="610"/>
      <c r="I206" s="4"/>
      <c r="L206" s="4"/>
      <c r="M206" s="4"/>
      <c r="Q206" s="386"/>
      <c r="R206" s="386"/>
      <c r="S206" s="386"/>
      <c r="T206" s="386"/>
      <c r="V206" s="386"/>
      <c r="W206" s="386"/>
      <c r="X206" s="386"/>
      <c r="Y206" s="386"/>
      <c r="Z206" s="603"/>
      <c r="AA206" s="386"/>
      <c r="AB206" s="386"/>
      <c r="AC206" s="386"/>
      <c r="AE206" s="386"/>
      <c r="AF206" s="386"/>
      <c r="AG206" s="386"/>
      <c r="AH206" s="386"/>
      <c r="AI206" s="386"/>
      <c r="AJ206" s="386"/>
      <c r="AK206" s="386"/>
      <c r="AL206" s="386"/>
      <c r="AN206" s="386"/>
      <c r="AO206" s="386"/>
      <c r="AP206" s="386"/>
      <c r="AQ206" s="386"/>
      <c r="AR206" s="386"/>
      <c r="AS206" s="386"/>
      <c r="AT206" s="386"/>
      <c r="AU206" s="386"/>
      <c r="AV206" s="386"/>
      <c r="AW206" s="386"/>
      <c r="AX206" s="386"/>
      <c r="AY206" s="386"/>
      <c r="AZ206" s="386"/>
      <c r="BA206" s="386"/>
      <c r="BB206" s="386"/>
      <c r="BD206" s="604"/>
      <c r="BE206" s="614"/>
      <c r="BF206" s="614"/>
      <c r="BG206" s="9"/>
      <c r="BH206" s="48"/>
      <c r="BI206" s="386"/>
      <c r="BJ206" s="386"/>
      <c r="BK206" s="386"/>
      <c r="BL206" s="386"/>
      <c r="BM206" s="386"/>
    </row>
    <row r="207" spans="8:65" x14ac:dyDescent="0.2">
      <c r="H207" s="610"/>
      <c r="I207" s="4"/>
      <c r="L207" s="4"/>
      <c r="M207" s="4"/>
      <c r="Q207" s="386"/>
      <c r="R207" s="386"/>
      <c r="S207" s="386"/>
      <c r="T207" s="386"/>
      <c r="V207" s="386"/>
      <c r="W207" s="386"/>
      <c r="X207" s="386"/>
      <c r="Y207" s="386"/>
      <c r="Z207" s="603"/>
      <c r="AA207" s="386"/>
      <c r="AB207" s="386"/>
      <c r="AC207" s="386"/>
      <c r="AE207" s="386"/>
      <c r="AF207" s="386"/>
      <c r="AG207" s="386"/>
      <c r="AH207" s="386"/>
      <c r="AI207" s="386"/>
      <c r="AJ207" s="386"/>
      <c r="AK207" s="386"/>
      <c r="AL207" s="386"/>
      <c r="AN207" s="386"/>
      <c r="AO207" s="386"/>
      <c r="AP207" s="386"/>
      <c r="AQ207" s="386"/>
      <c r="AR207" s="386"/>
      <c r="AS207" s="386"/>
      <c r="AT207" s="386"/>
      <c r="AU207" s="386"/>
      <c r="AV207" s="386"/>
      <c r="AW207" s="386"/>
      <c r="AX207" s="386"/>
      <c r="AY207" s="386"/>
      <c r="AZ207" s="386"/>
      <c r="BA207" s="386"/>
      <c r="BB207" s="386"/>
      <c r="BD207" s="604"/>
      <c r="BE207" s="614"/>
      <c r="BF207" s="614"/>
      <c r="BG207" s="9"/>
      <c r="BH207" s="48"/>
      <c r="BI207" s="386"/>
      <c r="BJ207" s="386"/>
      <c r="BK207" s="386"/>
      <c r="BL207" s="386"/>
      <c r="BM207" s="386"/>
    </row>
    <row r="208" spans="8:65" x14ac:dyDescent="0.2">
      <c r="H208" s="610"/>
      <c r="I208" s="4"/>
      <c r="L208" s="4"/>
      <c r="M208" s="4"/>
      <c r="Q208" s="386"/>
      <c r="R208" s="386"/>
      <c r="S208" s="386"/>
      <c r="T208" s="386"/>
      <c r="V208" s="386"/>
      <c r="W208" s="386"/>
      <c r="X208" s="386"/>
      <c r="Y208" s="386"/>
      <c r="Z208" s="603"/>
      <c r="AA208" s="386"/>
      <c r="AB208" s="386"/>
      <c r="AC208" s="386"/>
      <c r="AE208" s="386"/>
      <c r="AF208" s="386"/>
      <c r="AG208" s="386"/>
      <c r="AH208" s="386"/>
      <c r="AI208" s="386"/>
      <c r="AJ208" s="386"/>
      <c r="AK208" s="386"/>
      <c r="AL208" s="386"/>
      <c r="AN208" s="386"/>
      <c r="AO208" s="386"/>
      <c r="AP208" s="386"/>
      <c r="AQ208" s="386"/>
      <c r="AR208" s="386"/>
      <c r="AS208" s="386"/>
      <c r="AT208" s="386"/>
      <c r="AU208" s="386"/>
      <c r="AV208" s="386"/>
      <c r="AW208" s="386"/>
      <c r="AX208" s="386"/>
      <c r="AY208" s="386"/>
      <c r="AZ208" s="386"/>
      <c r="BA208" s="386"/>
      <c r="BB208" s="386"/>
      <c r="BD208" s="604"/>
      <c r="BE208" s="614"/>
      <c r="BF208" s="614"/>
      <c r="BG208" s="9"/>
      <c r="BH208" s="48"/>
      <c r="BI208" s="386"/>
      <c r="BJ208" s="386"/>
      <c r="BK208" s="386"/>
      <c r="BL208" s="386"/>
      <c r="BM208" s="386"/>
    </row>
    <row r="209" spans="8:65" x14ac:dyDescent="0.2">
      <c r="H209" s="610"/>
      <c r="I209" s="4"/>
      <c r="L209" s="4"/>
      <c r="M209" s="4"/>
      <c r="Q209" s="386"/>
      <c r="R209" s="386"/>
      <c r="S209" s="386"/>
      <c r="T209" s="386"/>
      <c r="V209" s="386"/>
      <c r="W209" s="386"/>
      <c r="X209" s="386"/>
      <c r="Y209" s="386"/>
      <c r="Z209" s="603"/>
      <c r="AA209" s="386"/>
      <c r="AB209" s="386"/>
      <c r="AC209" s="386"/>
      <c r="AE209" s="386"/>
      <c r="AF209" s="386"/>
      <c r="AG209" s="386"/>
      <c r="AH209" s="386"/>
      <c r="AI209" s="386"/>
      <c r="AJ209" s="386"/>
      <c r="AK209" s="386"/>
      <c r="AL209" s="386"/>
      <c r="AN209" s="386"/>
      <c r="AO209" s="386"/>
      <c r="AP209" s="386"/>
      <c r="AQ209" s="386"/>
      <c r="AR209" s="386"/>
      <c r="AS209" s="386"/>
      <c r="AT209" s="386"/>
      <c r="AU209" s="386"/>
      <c r="AV209" s="386"/>
      <c r="AW209" s="386"/>
      <c r="AX209" s="386"/>
      <c r="AY209" s="386"/>
      <c r="AZ209" s="386"/>
      <c r="BA209" s="386"/>
      <c r="BB209" s="386"/>
      <c r="BD209" s="604"/>
      <c r="BE209" s="614"/>
      <c r="BF209" s="614"/>
      <c r="BG209" s="9"/>
      <c r="BH209" s="48"/>
      <c r="BI209" s="386"/>
      <c r="BJ209" s="386"/>
      <c r="BK209" s="386"/>
      <c r="BL209" s="386"/>
      <c r="BM209" s="386"/>
    </row>
  </sheetData>
  <sheetProtection selectLockedCells="1"/>
  <mergeCells count="13">
    <mergeCell ref="BH7:BM7"/>
    <mergeCell ref="AA7:AE7"/>
    <mergeCell ref="AF7:AI7"/>
    <mergeCell ref="AJ7:AN7"/>
    <mergeCell ref="AO7:AR7"/>
    <mergeCell ref="AX7:BA7"/>
    <mergeCell ref="BB7:BF7"/>
    <mergeCell ref="X7:Z7"/>
    <mergeCell ref="A1:D4"/>
    <mergeCell ref="A6:D7"/>
    <mergeCell ref="G7:P7"/>
    <mergeCell ref="Q7:T7"/>
    <mergeCell ref="U7:W7"/>
  </mergeCells>
  <phoneticPr fontId="98" type="noConversion"/>
  <pageMargins left="0.75" right="0.75" top="1" bottom="1" header="0.5" footer="0.5"/>
  <pageSetup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AE687"/>
  <sheetViews>
    <sheetView zoomScaleNormal="100" workbookViewId="0">
      <pane ySplit="11" topLeftCell="A13" activePane="bottomLeft" state="frozen"/>
      <selection activeCell="A93" sqref="A93"/>
      <selection pane="bottomLeft" activeCell="K5" sqref="K5"/>
    </sheetView>
  </sheetViews>
  <sheetFormatPr defaultColWidth="9.140625" defaultRowHeight="12.75" x14ac:dyDescent="0.2"/>
  <cols>
    <col min="1" max="1" width="16.140625" style="345" customWidth="1"/>
    <col min="2" max="2" width="15.7109375" style="345" customWidth="1"/>
    <col min="3" max="3" width="10" style="345" customWidth="1"/>
    <col min="4" max="4" width="10.85546875" style="345" customWidth="1"/>
    <col min="5" max="5" width="10.140625" style="345" customWidth="1"/>
    <col min="6" max="8" width="11.85546875" style="345" customWidth="1"/>
    <col min="9" max="9" width="14.28515625" style="345" customWidth="1"/>
    <col min="10" max="10" width="11" style="345" customWidth="1"/>
    <col min="11" max="11" width="12" style="345" customWidth="1"/>
    <col min="12" max="12" width="11.42578125" style="345" customWidth="1"/>
    <col min="13" max="13" width="10.85546875" style="345" customWidth="1"/>
    <col min="14" max="14" width="11.42578125" style="345" customWidth="1"/>
    <col min="15" max="15" width="12.28515625" style="345" customWidth="1"/>
    <col min="16" max="16" width="12.140625" style="345" customWidth="1"/>
    <col min="17" max="17" width="9.42578125" style="345" customWidth="1"/>
    <col min="18" max="18" width="16.140625" style="345" bestFit="1" customWidth="1"/>
    <col min="19" max="19" width="13.140625" style="385" customWidth="1"/>
    <col min="20" max="20" width="9.140625" style="345"/>
    <col min="21" max="21" width="13.42578125" style="345" bestFit="1" customWidth="1"/>
    <col min="22" max="22" width="9.28515625" style="345" bestFit="1" customWidth="1"/>
    <col min="23" max="23" width="9.140625" style="345"/>
    <col min="24" max="24" width="13.5703125" style="345" customWidth="1"/>
    <col min="25" max="25" width="10.5703125" style="345" customWidth="1"/>
    <col min="26" max="26" width="9.140625" style="345"/>
    <col min="27" max="27" width="9.28515625" style="345" bestFit="1" customWidth="1"/>
    <col min="28" max="28" width="11.28515625" style="345" bestFit="1" customWidth="1"/>
    <col min="29" max="29" width="9.140625" style="345"/>
    <col min="30" max="30" width="12.28515625" customWidth="1"/>
    <col min="31" max="31" width="8.85546875" customWidth="1"/>
    <col min="32" max="16384" width="9.140625" style="345"/>
  </cols>
  <sheetData>
    <row r="1" spans="1:31" ht="13.5" thickBot="1" x14ac:dyDescent="0.25"/>
    <row r="2" spans="1:31" x14ac:dyDescent="0.2">
      <c r="A2" s="725" t="s">
        <v>586</v>
      </c>
      <c r="B2" s="726"/>
      <c r="C2" s="727"/>
      <c r="D2" s="728"/>
      <c r="E2" s="725" t="s">
        <v>473</v>
      </c>
      <c r="F2" s="726"/>
      <c r="G2" s="726"/>
      <c r="H2" s="436"/>
      <c r="I2" s="453"/>
      <c r="J2" s="725" t="s">
        <v>584</v>
      </c>
      <c r="K2" s="727"/>
      <c r="L2" s="728"/>
      <c r="M2" s="725" t="s">
        <v>585</v>
      </c>
      <c r="N2" s="727"/>
      <c r="O2" s="728"/>
      <c r="P2" s="725" t="s">
        <v>474</v>
      </c>
      <c r="Q2" s="726"/>
      <c r="R2" s="734"/>
      <c r="AD2" s="118"/>
      <c r="AE2" s="118"/>
    </row>
    <row r="3" spans="1:31" x14ac:dyDescent="0.2">
      <c r="B3" s="346" t="s">
        <v>475</v>
      </c>
      <c r="C3" s="439">
        <f>Afb</f>
        <v>6.6666666666666666E-2</v>
      </c>
      <c r="D3" s="348" t="s">
        <v>30</v>
      </c>
      <c r="E3" s="349" t="s">
        <v>476</v>
      </c>
      <c r="F3" s="347">
        <f>Acs</f>
        <v>13.333333333333334</v>
      </c>
      <c r="G3" s="348" t="s">
        <v>583</v>
      </c>
      <c r="H3" s="451" t="s">
        <v>492</v>
      </c>
      <c r="I3" s="464">
        <f>gm</f>
        <v>1.2700000000000001E-3</v>
      </c>
      <c r="J3" s="349" t="s">
        <v>611</v>
      </c>
      <c r="K3" s="350">
        <f>Fesr</f>
        <v>26793.761493898379</v>
      </c>
      <c r="L3" s="348" t="s">
        <v>10</v>
      </c>
      <c r="M3" s="349" t="s">
        <v>478</v>
      </c>
      <c r="N3" s="350">
        <f>Fsw/2</f>
        <v>185000</v>
      </c>
      <c r="O3" s="348" t="s">
        <v>10</v>
      </c>
      <c r="P3" s="351" t="s">
        <v>479</v>
      </c>
      <c r="Q3" s="350">
        <f>Am*Afb*AEA</f>
        <v>21355.749003653982</v>
      </c>
      <c r="R3" s="348" t="s">
        <v>30</v>
      </c>
    </row>
    <row r="4" spans="1:31" x14ac:dyDescent="0.2">
      <c r="B4" s="346" t="s">
        <v>618</v>
      </c>
      <c r="C4" s="350">
        <f>Fz1_u</f>
        <v>1210.3957964389413</v>
      </c>
      <c r="D4" s="348" t="s">
        <v>10</v>
      </c>
      <c r="E4" s="349" t="s">
        <v>481</v>
      </c>
      <c r="F4" s="355">
        <f>Am</f>
        <v>12.611662797433453</v>
      </c>
      <c r="G4" s="348" t="s">
        <v>30</v>
      </c>
      <c r="H4" s="452"/>
      <c r="I4" s="452"/>
      <c r="J4" s="349" t="s">
        <v>610</v>
      </c>
      <c r="K4" s="350">
        <f>Fp_dominant</f>
        <v>761.06805460157761</v>
      </c>
      <c r="L4" s="348" t="s">
        <v>10</v>
      </c>
      <c r="M4" s="349" t="s">
        <v>483</v>
      </c>
      <c r="N4" s="437">
        <f>Q*pole3</f>
        <v>88114.835955360846</v>
      </c>
      <c r="O4" s="348"/>
      <c r="P4" s="351" t="s">
        <v>484</v>
      </c>
      <c r="Q4" s="391">
        <f>AE7</f>
        <v>3.9811000000000001</v>
      </c>
      <c r="R4" s="348" t="s">
        <v>3</v>
      </c>
    </row>
    <row r="5" spans="1:31" x14ac:dyDescent="0.2">
      <c r="B5" s="346" t="s">
        <v>617</v>
      </c>
      <c r="C5" s="355">
        <f>Fp1_u</f>
        <v>0.29465962681375302</v>
      </c>
      <c r="D5" s="348" t="s">
        <v>10</v>
      </c>
      <c r="E5" s="349" t="s">
        <v>29</v>
      </c>
      <c r="F5" s="439">
        <f>Q</f>
        <v>0.4762964105695181</v>
      </c>
      <c r="G5" s="348"/>
      <c r="H5" s="452"/>
      <c r="I5" s="452"/>
      <c r="J5" s="349" t="s">
        <v>612</v>
      </c>
      <c r="K5" s="350">
        <f>IF(VIN_nom&gt;Vout, 10000000,Frhp)</f>
        <v>100591.86030319271</v>
      </c>
      <c r="L5" s="348" t="s">
        <v>10</v>
      </c>
      <c r="M5" s="349" t="s">
        <v>486</v>
      </c>
      <c r="N5" s="347">
        <f>pole3^2</f>
        <v>34225000000</v>
      </c>
      <c r="O5" s="348"/>
      <c r="P5" s="351" t="s">
        <v>487</v>
      </c>
      <c r="Q5" s="355">
        <f>AE9</f>
        <v>81.633669371328608</v>
      </c>
      <c r="R5" s="418" t="s">
        <v>552</v>
      </c>
    </row>
    <row r="6" spans="1:31" x14ac:dyDescent="0.2">
      <c r="B6" s="346" t="s">
        <v>488</v>
      </c>
      <c r="C6" s="347">
        <f>AEA</f>
        <v>25400</v>
      </c>
      <c r="D6" s="348" t="s">
        <v>30</v>
      </c>
      <c r="E6" s="349" t="s">
        <v>517</v>
      </c>
      <c r="F6" s="439">
        <f>mc</f>
        <v>1.174074074074074</v>
      </c>
      <c r="G6" s="451"/>
      <c r="H6" s="454"/>
      <c r="I6" s="354"/>
      <c r="J6" s="352"/>
      <c r="K6" s="353"/>
      <c r="L6" s="354"/>
      <c r="M6" s="352"/>
      <c r="N6" s="467"/>
      <c r="O6" s="354"/>
      <c r="P6" s="435" t="s">
        <v>489</v>
      </c>
      <c r="Q6" s="353">
        <f>180/Pi</f>
        <v>57.295779578552292</v>
      </c>
      <c r="R6" s="354"/>
      <c r="AD6" s="5" t="s">
        <v>50</v>
      </c>
      <c r="AE6" s="5"/>
    </row>
    <row r="7" spans="1:31" ht="13.5" thickBot="1" x14ac:dyDescent="0.25">
      <c r="B7" s="431" t="s">
        <v>616</v>
      </c>
      <c r="C7" s="438">
        <f>Fp2_u</f>
        <v>38663.204730653437</v>
      </c>
      <c r="D7" s="433" t="s">
        <v>10</v>
      </c>
      <c r="E7" s="432" t="s">
        <v>491</v>
      </c>
      <c r="F7" s="434">
        <f>k</f>
        <v>1.1683020897992966</v>
      </c>
      <c r="G7" s="434"/>
      <c r="H7" s="455"/>
      <c r="I7" s="433"/>
      <c r="J7" s="432"/>
      <c r="K7" s="432"/>
      <c r="L7" s="433"/>
      <c r="M7" s="432"/>
      <c r="N7" s="432"/>
      <c r="O7" s="433"/>
      <c r="P7" s="432"/>
      <c r="Q7" s="432"/>
      <c r="R7" s="433"/>
      <c r="AD7" t="s">
        <v>47</v>
      </c>
      <c r="AE7">
        <f>SUM(AD12:AD613)/1000</f>
        <v>3.9811000000000001</v>
      </c>
    </row>
    <row r="8" spans="1:31" x14ac:dyDescent="0.2">
      <c r="B8" s="440"/>
      <c r="C8" s="441"/>
      <c r="F8" s="442"/>
      <c r="G8" s="442"/>
      <c r="H8" s="442"/>
    </row>
    <row r="9" spans="1:31" ht="13.5" thickBot="1" x14ac:dyDescent="0.25">
      <c r="AD9" t="s">
        <v>48</v>
      </c>
      <c r="AE9" s="4">
        <f>SUM(AE13:AE613)</f>
        <v>81.633669371328608</v>
      </c>
    </row>
    <row r="10" spans="1:31" ht="15" x14ac:dyDescent="0.25">
      <c r="A10" s="729" t="s">
        <v>626</v>
      </c>
      <c r="B10" s="723"/>
      <c r="C10" s="737" t="s">
        <v>493</v>
      </c>
      <c r="D10" s="738"/>
      <c r="E10" s="738"/>
      <c r="F10" s="738"/>
      <c r="G10" s="738"/>
      <c r="H10" s="739"/>
      <c r="I10" s="737" t="s">
        <v>494</v>
      </c>
      <c r="J10" s="738"/>
      <c r="K10" s="738"/>
      <c r="L10" s="738"/>
      <c r="M10" s="738"/>
      <c r="N10" s="739"/>
      <c r="O10" s="732" t="s">
        <v>495</v>
      </c>
      <c r="P10" s="733"/>
      <c r="Q10" s="732" t="s">
        <v>496</v>
      </c>
      <c r="R10" s="740"/>
      <c r="S10" s="741"/>
      <c r="X10" s="742" t="s">
        <v>497</v>
      </c>
      <c r="Y10" s="743"/>
      <c r="AA10" s="742" t="s">
        <v>498</v>
      </c>
      <c r="AB10" s="743"/>
    </row>
    <row r="11" spans="1:31" x14ac:dyDescent="0.2">
      <c r="A11" s="730"/>
      <c r="B11" s="724"/>
      <c r="C11" s="744" t="s">
        <v>610</v>
      </c>
      <c r="D11" s="745"/>
      <c r="E11" s="745" t="s">
        <v>611</v>
      </c>
      <c r="F11" s="746"/>
      <c r="G11" s="735" t="s">
        <v>612</v>
      </c>
      <c r="H11" s="736"/>
      <c r="I11" s="744" t="s">
        <v>482</v>
      </c>
      <c r="J11" s="745"/>
      <c r="K11" s="745" t="s">
        <v>477</v>
      </c>
      <c r="L11" s="746"/>
      <c r="M11" s="735" t="s">
        <v>485</v>
      </c>
      <c r="N11" s="736"/>
      <c r="O11" s="744" t="s">
        <v>478</v>
      </c>
      <c r="P11" s="746"/>
      <c r="Q11" s="349"/>
      <c r="R11" s="347"/>
      <c r="S11" s="392"/>
      <c r="X11" s="349"/>
      <c r="Y11" s="348"/>
      <c r="AA11" s="349"/>
      <c r="AB11" s="348"/>
    </row>
    <row r="12" spans="1:31" ht="13.5" thickBot="1" x14ac:dyDescent="0.25">
      <c r="A12" s="731"/>
      <c r="B12" s="389"/>
      <c r="C12" s="356" t="s">
        <v>499</v>
      </c>
      <c r="D12" s="357" t="s">
        <v>500</v>
      </c>
      <c r="E12" s="357" t="s">
        <v>499</v>
      </c>
      <c r="F12" s="358" t="s">
        <v>500</v>
      </c>
      <c r="G12" s="357" t="s">
        <v>499</v>
      </c>
      <c r="H12" s="358" t="s">
        <v>500</v>
      </c>
      <c r="I12" s="356" t="s">
        <v>499</v>
      </c>
      <c r="J12" s="357" t="s">
        <v>500</v>
      </c>
      <c r="K12" s="357" t="s">
        <v>499</v>
      </c>
      <c r="L12" s="358" t="s">
        <v>500</v>
      </c>
      <c r="M12" s="356" t="s">
        <v>499</v>
      </c>
      <c r="N12" s="357" t="s">
        <v>500</v>
      </c>
      <c r="O12" s="356" t="s">
        <v>499</v>
      </c>
      <c r="P12" s="358" t="s">
        <v>500</v>
      </c>
      <c r="Q12" s="356" t="s">
        <v>501</v>
      </c>
      <c r="R12" s="357" t="s">
        <v>502</v>
      </c>
      <c r="S12" s="393" t="s">
        <v>503</v>
      </c>
      <c r="V12" s="359" t="s">
        <v>504</v>
      </c>
      <c r="X12" s="360" t="s">
        <v>505</v>
      </c>
      <c r="Y12" s="361" t="s">
        <v>506</v>
      </c>
      <c r="AA12" s="360" t="s">
        <v>505</v>
      </c>
      <c r="AB12" s="361" t="s">
        <v>506</v>
      </c>
    </row>
    <row r="13" spans="1:31" x14ac:dyDescent="0.2">
      <c r="A13" s="362">
        <v>1</v>
      </c>
      <c r="B13" s="390">
        <f>A13/1000</f>
        <v>1E-3</v>
      </c>
      <c r="C13" s="363">
        <f t="shared" ref="C13:C76" si="0">SQRT(1+(A13/pole1)^2)</f>
        <v>1.0000008632226571</v>
      </c>
      <c r="D13" s="364">
        <f t="shared" ref="D13:D76" si="1">ATAN(A13/pole1)</f>
        <v>1.313942187524978E-3</v>
      </c>
      <c r="E13" s="364">
        <f t="shared" ref="E13:E76" si="2">SQRT(1+(A13/Zero1)^2)</f>
        <v>1.0000000006964702</v>
      </c>
      <c r="F13" s="365">
        <f t="shared" ref="F13:F76" si="3">ATAN(A13/Zero1)</f>
        <v>3.7322120664670834E-5</v>
      </c>
      <c r="G13" s="364">
        <f t="shared" ref="G13:G76" si="4">IF(VIN_nom&gt;Vout, 1, SQRT(1+(A13/z_RHP)^2))</f>
        <v>1.0000000000494134</v>
      </c>
      <c r="H13" s="365">
        <f t="shared" ref="H13:H76" si="5">IF(VIN_nom&gt;Vout, 0, -ATAN(A13/z_RHP))</f>
        <v>-9.9411622068919885E-6</v>
      </c>
      <c r="I13" s="363">
        <f t="shared" ref="I13:I76" si="6">SQRT(1+(A13/Pole2)^2)</f>
        <v>3.5380098259017565</v>
      </c>
      <c r="J13" s="366">
        <f t="shared" ref="J13:J76" si="7">ATAN(A13/Pole2)</f>
        <v>1.2842461297928995</v>
      </c>
      <c r="K13" s="364">
        <f t="shared" ref="K13:K76" si="8">SQRT(1+(A13/Zero2)^2)</f>
        <v>1.0000003412833622</v>
      </c>
      <c r="L13" s="365">
        <f t="shared" ref="L13:L76" si="9">ATAN(A13/Zero2)</f>
        <v>8.2617584712362153E-4</v>
      </c>
      <c r="M13" s="363">
        <f t="shared" ref="M13:M76" si="10">SQRT(1+(A13/pole4)^2)</f>
        <v>1.0000000003344831</v>
      </c>
      <c r="N13" s="366">
        <f t="shared" ref="N13:N76" si="11">ATAN(A13/pole4)</f>
        <v>2.5864384671252535E-5</v>
      </c>
      <c r="O13" s="367">
        <f t="shared" ref="O13:O76" si="12">SQRT((1-(V13/pterm2))^2+(A13/pterm1)^2)</f>
        <v>1.0000000000351794</v>
      </c>
      <c r="P13" s="368">
        <f t="shared" ref="P13:P76" si="13">IF((ATAN((A13/pterm1)/(1-A13^2/pterm2))&gt;0),ATAN((A13/pterm1)/(1-A13^2/pterm2)),PI()+ATAN((A13/pterm1)/(1-A13^2/pterm2)))</f>
        <v>1.1348826666293614E-5</v>
      </c>
      <c r="Q13" s="369">
        <f t="shared" ref="Q13:Q76" si="14">20*LOG10(((E13*K13*G13)/(C13*I13*O13*M13))*Adc)</f>
        <v>75.615110933607554</v>
      </c>
      <c r="R13" s="370">
        <f t="shared" ref="R13:R76" si="15">((F13+L13+H13)-(D13+J13+P13+N13))*radconv</f>
        <v>-73.610393476542058</v>
      </c>
      <c r="S13" s="394">
        <f t="shared" ref="S13:S76" si="16">IF(R13&gt;0,R13,R13+180)</f>
        <v>106.38960652345794</v>
      </c>
      <c r="U13" s="345">
        <f>IF(Q13&lt;0,A13,1000000000)</f>
        <v>1000000000</v>
      </c>
      <c r="V13" s="345">
        <f>A13^2</f>
        <v>1</v>
      </c>
      <c r="X13" s="371">
        <f t="shared" ref="X13:X76" si="17">20*LOG10((K13/(I13*M13))*AEA)</f>
        <v>77.121496599536471</v>
      </c>
      <c r="Y13" s="372">
        <f t="shared" ref="Y13:Y76" si="18">(L13-(J13+N13))*radconv</f>
        <v>-73.536028708075975</v>
      </c>
      <c r="AA13" s="371">
        <f t="shared" ref="AA13:AA76" si="19">20*LOG10((E13*G13/(C13*O13))*Acs*Am)</f>
        <v>44.514214247350708</v>
      </c>
      <c r="AB13" s="372">
        <f t="shared" ref="AB13:AB76" si="20">(F13+H13-(D13+P13))*radconv</f>
        <v>-7.4364768466092718E-2</v>
      </c>
      <c r="AD13">
        <f>SUM((Q14&lt;0)*(Q13&gt;0))*A13</f>
        <v>0</v>
      </c>
      <c r="AE13">
        <f t="shared" ref="AE13:AE44" si="21">IF(AD13&gt;0,S11,0)</f>
        <v>0</v>
      </c>
    </row>
    <row r="14" spans="1:31" x14ac:dyDescent="0.2">
      <c r="A14" s="373">
        <v>1.0965</v>
      </c>
      <c r="B14" s="390">
        <f t="shared" ref="B14:B77" si="22">A14/1000</f>
        <v>1.0965E-3</v>
      </c>
      <c r="C14" s="363">
        <f t="shared" si="0"/>
        <v>1.0000010378630844</v>
      </c>
      <c r="D14" s="364">
        <f t="shared" si="1"/>
        <v>1.4407374408805776E-3</v>
      </c>
      <c r="E14" s="364">
        <f t="shared" si="2"/>
        <v>1.0000000008373748</v>
      </c>
      <c r="F14" s="365">
        <f t="shared" si="3"/>
        <v>4.0923705304967351E-5</v>
      </c>
      <c r="G14" s="364">
        <f t="shared" si="4"/>
        <v>1.0000000000594103</v>
      </c>
      <c r="H14" s="365">
        <f t="shared" si="5"/>
        <v>-1.0900484359784417E-5</v>
      </c>
      <c r="I14" s="363">
        <f t="shared" si="6"/>
        <v>3.8532645386046855</v>
      </c>
      <c r="J14" s="366">
        <f t="shared" si="7"/>
        <v>1.3082709749837633</v>
      </c>
      <c r="K14" s="374">
        <f t="shared" si="8"/>
        <v>1.0000004103291529</v>
      </c>
      <c r="L14" s="375">
        <f t="shared" si="9"/>
        <v>9.0590177467192532E-4</v>
      </c>
      <c r="M14" s="363">
        <f t="shared" si="10"/>
        <v>1.0000000004021532</v>
      </c>
      <c r="N14" s="366">
        <f t="shared" si="11"/>
        <v>2.8360297790748979E-5</v>
      </c>
      <c r="O14" s="367">
        <f t="shared" si="12"/>
        <v>1.0000000000422968</v>
      </c>
      <c r="P14" s="368">
        <f t="shared" si="13"/>
        <v>1.2443988439556423E-5</v>
      </c>
      <c r="Q14" s="369">
        <f t="shared" si="14"/>
        <v>74.873714197301965</v>
      </c>
      <c r="R14" s="370">
        <f t="shared" si="15"/>
        <v>-74.989666947669434</v>
      </c>
      <c r="S14" s="392">
        <f t="shared" si="16"/>
        <v>105.01033305233057</v>
      </c>
      <c r="U14" s="345">
        <f t="shared" ref="U14:U77" si="23">IF(Q14&lt;0,A14,1000000000)</f>
        <v>1000000000</v>
      </c>
      <c r="V14" s="345">
        <f t="shared" ref="V14:V77" si="24">A14^2</f>
        <v>1.2023122500000001</v>
      </c>
      <c r="X14" s="371">
        <f t="shared" si="17"/>
        <v>76.380101378888028</v>
      </c>
      <c r="Y14" s="372">
        <f t="shared" si="18"/>
        <v>-74.908125988656991</v>
      </c>
      <c r="AA14" s="371">
        <f t="shared" si="19"/>
        <v>44.514212731693576</v>
      </c>
      <c r="AB14" s="372">
        <f t="shared" si="20"/>
        <v>-8.1540959012458586E-2</v>
      </c>
      <c r="AD14">
        <f t="shared" ref="AD14:AD77" si="25">SUM((Q15&lt;0)*(Q14&gt;0))*A14</f>
        <v>0</v>
      </c>
      <c r="AE14">
        <f t="shared" si="21"/>
        <v>0</v>
      </c>
    </row>
    <row r="15" spans="1:31" x14ac:dyDescent="0.2">
      <c r="A15" s="373">
        <v>1.2022999999999999</v>
      </c>
      <c r="B15" s="390">
        <f t="shared" si="22"/>
        <v>1.2022999999999999E-3</v>
      </c>
      <c r="C15" s="363">
        <f t="shared" si="0"/>
        <v>1.0000012478099416</v>
      </c>
      <c r="D15" s="364">
        <f t="shared" si="1"/>
        <v>1.5797522870264478E-3</v>
      </c>
      <c r="E15" s="364">
        <f t="shared" si="2"/>
        <v>1.0000000010067653</v>
      </c>
      <c r="F15" s="365">
        <f t="shared" si="3"/>
        <v>4.4872385665851285E-5</v>
      </c>
      <c r="G15" s="364">
        <f t="shared" si="4"/>
        <v>1.0000000000714282</v>
      </c>
      <c r="H15" s="365">
        <f t="shared" si="5"/>
        <v>-1.1952259321170819E-5</v>
      </c>
      <c r="I15" s="363">
        <f t="shared" si="6"/>
        <v>4.201054282307898</v>
      </c>
      <c r="J15" s="366">
        <f t="shared" si="7"/>
        <v>1.3304536303603818</v>
      </c>
      <c r="K15" s="374">
        <f t="shared" si="8"/>
        <v>1.0000004933336937</v>
      </c>
      <c r="L15" s="375">
        <f t="shared" si="9"/>
        <v>9.9331112030789925E-4</v>
      </c>
      <c r="M15" s="363">
        <f t="shared" si="10"/>
        <v>1.0000000004835039</v>
      </c>
      <c r="N15" s="366">
        <f t="shared" si="11"/>
        <v>3.1096749687157549E-5</v>
      </c>
      <c r="O15" s="367">
        <f t="shared" si="12"/>
        <v>1.0000000000508529</v>
      </c>
      <c r="P15" s="368">
        <f t="shared" si="13"/>
        <v>1.3644694300801446E-5</v>
      </c>
      <c r="Q15" s="369">
        <f t="shared" si="14"/>
        <v>74.123123746713475</v>
      </c>
      <c r="R15" s="370">
        <f t="shared" si="15"/>
        <v>-76.263655860047237</v>
      </c>
      <c r="S15" s="392">
        <f t="shared" si="16"/>
        <v>103.73634413995276</v>
      </c>
      <c r="U15" s="345">
        <f t="shared" si="23"/>
        <v>1000000000</v>
      </c>
      <c r="V15" s="345">
        <f t="shared" si="24"/>
        <v>1.4455252899999997</v>
      </c>
      <c r="X15" s="371">
        <f t="shared" si="17"/>
        <v>75.629512750371305</v>
      </c>
      <c r="Y15" s="372">
        <f t="shared" si="18"/>
        <v>-76.174247122126715</v>
      </c>
      <c r="AA15" s="371">
        <f t="shared" si="19"/>
        <v>44.514210909621795</v>
      </c>
      <c r="AB15" s="372">
        <f t="shared" si="20"/>
        <v>-8.9408737920513764E-2</v>
      </c>
      <c r="AD15">
        <f t="shared" si="25"/>
        <v>0</v>
      </c>
      <c r="AE15">
        <f t="shared" si="21"/>
        <v>0</v>
      </c>
    </row>
    <row r="16" spans="1:31" x14ac:dyDescent="0.2">
      <c r="A16" s="373">
        <v>1.3183</v>
      </c>
      <c r="B16" s="390">
        <f t="shared" si="22"/>
        <v>1.3183000000000001E-3</v>
      </c>
      <c r="C16" s="363">
        <f t="shared" si="0"/>
        <v>1.0000015002070313</v>
      </c>
      <c r="D16" s="364">
        <f t="shared" si="1"/>
        <v>1.7321692502381626E-3</v>
      </c>
      <c r="E16" s="364">
        <f t="shared" si="2"/>
        <v>1.0000000012104062</v>
      </c>
      <c r="F16" s="365">
        <f t="shared" si="3"/>
        <v>4.9201751655377865E-5</v>
      </c>
      <c r="G16" s="364">
        <f t="shared" si="4"/>
        <v>1.0000000000858762</v>
      </c>
      <c r="H16" s="365">
        <f t="shared" si="5"/>
        <v>-1.3105434137027133E-5</v>
      </c>
      <c r="I16" s="363">
        <f t="shared" si="6"/>
        <v>4.5843710862446443</v>
      </c>
      <c r="J16" s="366">
        <f t="shared" si="7"/>
        <v>1.3508959203571964</v>
      </c>
      <c r="K16" s="374">
        <f t="shared" si="8"/>
        <v>1.0000005931213622</v>
      </c>
      <c r="L16" s="375">
        <f t="shared" si="9"/>
        <v>1.0891474364039763E-3</v>
      </c>
      <c r="M16" s="363">
        <f t="shared" si="10"/>
        <v>1.0000000005813032</v>
      </c>
      <c r="N16" s="366">
        <f t="shared" si="11"/>
        <v>3.4097018306501662E-5</v>
      </c>
      <c r="O16" s="367">
        <f t="shared" si="12"/>
        <v>1.0000000000611391</v>
      </c>
      <c r="P16" s="368">
        <f t="shared" si="13"/>
        <v>1.4961158194023474E-5</v>
      </c>
      <c r="Q16" s="369">
        <f t="shared" si="14"/>
        <v>73.364692989812269</v>
      </c>
      <c r="R16" s="370">
        <f t="shared" si="15"/>
        <v>-77.43821998227628</v>
      </c>
      <c r="S16" s="392">
        <f t="shared" si="16"/>
        <v>102.56178001772372</v>
      </c>
      <c r="U16" s="345">
        <f t="shared" si="23"/>
        <v>1000000000</v>
      </c>
      <c r="V16" s="345">
        <f t="shared" si="24"/>
        <v>1.7379148900000001</v>
      </c>
      <c r="X16" s="371">
        <f t="shared" si="17"/>
        <v>74.871084183955404</v>
      </c>
      <c r="Y16" s="372">
        <f t="shared" si="18"/>
        <v>-77.340184950151894</v>
      </c>
      <c r="AA16" s="371">
        <f t="shared" si="19"/>
        <v>44.514208719136491</v>
      </c>
      <c r="AB16" s="372">
        <f t="shared" si="20"/>
        <v>-9.8035032124387703E-2</v>
      </c>
      <c r="AD16">
        <f t="shared" si="25"/>
        <v>0</v>
      </c>
      <c r="AE16">
        <f t="shared" si="21"/>
        <v>0</v>
      </c>
    </row>
    <row r="17" spans="1:31" x14ac:dyDescent="0.2">
      <c r="A17" s="373">
        <v>1.4454</v>
      </c>
      <c r="B17" s="390">
        <f t="shared" si="22"/>
        <v>1.4454000000000001E-3</v>
      </c>
      <c r="C17" s="363">
        <f t="shared" si="0"/>
        <v>1.0000018034276641</v>
      </c>
      <c r="D17" s="364">
        <f t="shared" si="1"/>
        <v>1.8991708474427674E-3</v>
      </c>
      <c r="E17" s="364">
        <f t="shared" si="2"/>
        <v>1.0000000014550527</v>
      </c>
      <c r="F17" s="365">
        <f t="shared" si="3"/>
        <v>5.3945393181433876E-5</v>
      </c>
      <c r="G17" s="364">
        <f t="shared" si="4"/>
        <v>1.0000000001032334</v>
      </c>
      <c r="H17" s="365">
        <f t="shared" si="5"/>
        <v>-1.4368955853326122E-5</v>
      </c>
      <c r="I17" s="363">
        <f t="shared" si="6"/>
        <v>5.0062133667187316</v>
      </c>
      <c r="J17" s="366">
        <f t="shared" si="7"/>
        <v>1.3696917442661574</v>
      </c>
      <c r="K17" s="374">
        <f t="shared" si="8"/>
        <v>1.000000713002638</v>
      </c>
      <c r="L17" s="375">
        <f t="shared" si="9"/>
        <v>1.1941542735057857E-3</v>
      </c>
      <c r="M17" s="363">
        <f t="shared" si="10"/>
        <v>1.0000000006987959</v>
      </c>
      <c r="N17" s="366">
        <f t="shared" si="11"/>
        <v>3.7384381594748679E-5</v>
      </c>
      <c r="O17" s="367">
        <f t="shared" si="12"/>
        <v>1.0000000000734963</v>
      </c>
      <c r="P17" s="368">
        <f t="shared" si="13"/>
        <v>1.6403594063215773E-5</v>
      </c>
      <c r="Q17" s="369">
        <f t="shared" si="14"/>
        <v>72.600099584422864</v>
      </c>
      <c r="R17" s="370">
        <f t="shared" si="15"/>
        <v>-78.518765005423717</v>
      </c>
      <c r="S17" s="392">
        <f t="shared" si="16"/>
        <v>101.48123499457628</v>
      </c>
      <c r="U17" s="345">
        <f t="shared" si="23"/>
        <v>1000000000</v>
      </c>
      <c r="V17" s="345">
        <f t="shared" si="24"/>
        <v>2.0891811599999999</v>
      </c>
      <c r="X17" s="371">
        <f t="shared" si="17"/>
        <v>74.106493410134192</v>
      </c>
      <c r="Y17" s="372">
        <f t="shared" si="18"/>
        <v>-78.411278237286524</v>
      </c>
      <c r="AA17" s="371">
        <f t="shared" si="19"/>
        <v>44.514206087568297</v>
      </c>
      <c r="AB17" s="372">
        <f t="shared" si="20"/>
        <v>-0.10748676813717958</v>
      </c>
      <c r="AD17">
        <f t="shared" si="25"/>
        <v>0</v>
      </c>
      <c r="AE17">
        <f t="shared" si="21"/>
        <v>0</v>
      </c>
    </row>
    <row r="18" spans="1:31" x14ac:dyDescent="0.2">
      <c r="A18" s="373">
        <v>1.5849</v>
      </c>
      <c r="B18" s="390">
        <f t="shared" si="22"/>
        <v>1.5849E-3</v>
      </c>
      <c r="C18" s="363">
        <f t="shared" si="0"/>
        <v>1.0000021683344917</v>
      </c>
      <c r="D18" s="364">
        <f t="shared" si="1"/>
        <v>2.0824651611096126E-3</v>
      </c>
      <c r="E18" s="364">
        <f t="shared" si="2"/>
        <v>1.0000000017494695</v>
      </c>
      <c r="F18" s="365">
        <f t="shared" si="3"/>
        <v>5.9151828999912259E-5</v>
      </c>
      <c r="G18" s="364">
        <f t="shared" si="4"/>
        <v>1.0000000001241218</v>
      </c>
      <c r="H18" s="365">
        <f t="shared" si="5"/>
        <v>-1.5755747980918388E-5</v>
      </c>
      <c r="I18" s="363">
        <f t="shared" si="6"/>
        <v>5.4709171522434978</v>
      </c>
      <c r="J18" s="366">
        <f t="shared" si="7"/>
        <v>1.3869781900773575</v>
      </c>
      <c r="K18" s="374">
        <f t="shared" si="8"/>
        <v>1.0000008572721901</v>
      </c>
      <c r="L18" s="375">
        <f t="shared" si="9"/>
        <v>1.3094056496805572E-3</v>
      </c>
      <c r="M18" s="363">
        <f t="shared" si="10"/>
        <v>1.000000000840191</v>
      </c>
      <c r="N18" s="366">
        <f t="shared" si="11"/>
        <v>4.0992463251648003E-5</v>
      </c>
      <c r="O18" s="367">
        <f t="shared" si="12"/>
        <v>1.0000000000883678</v>
      </c>
      <c r="P18" s="368">
        <f t="shared" si="13"/>
        <v>1.7986755383035816E-5</v>
      </c>
      <c r="Q18" s="369">
        <f t="shared" si="14"/>
        <v>71.829082015147378</v>
      </c>
      <c r="R18" s="370">
        <f t="shared" si="15"/>
        <v>-79.513182554317581</v>
      </c>
      <c r="S18" s="392">
        <f t="shared" si="16"/>
        <v>100.48681744568242</v>
      </c>
      <c r="U18" s="345">
        <f t="shared" si="23"/>
        <v>1000000000</v>
      </c>
      <c r="V18" s="345">
        <f t="shared" si="24"/>
        <v>2.51190801</v>
      </c>
      <c r="X18" s="371">
        <f t="shared" si="17"/>
        <v>73.335479007783306</v>
      </c>
      <c r="Y18" s="372">
        <f t="shared" si="18"/>
        <v>-79.395321936587521</v>
      </c>
      <c r="AA18" s="371">
        <f t="shared" si="19"/>
        <v>44.51420292064369</v>
      </c>
      <c r="AB18" s="372">
        <f t="shared" si="20"/>
        <v>-0.11786061773007324</v>
      </c>
      <c r="AD18">
        <f t="shared" si="25"/>
        <v>0</v>
      </c>
      <c r="AE18">
        <f t="shared" si="21"/>
        <v>0</v>
      </c>
    </row>
    <row r="19" spans="1:31" x14ac:dyDescent="0.2">
      <c r="A19" s="373">
        <v>1.7378</v>
      </c>
      <c r="B19" s="390">
        <f t="shared" si="22"/>
        <v>1.7378000000000001E-3</v>
      </c>
      <c r="C19" s="363">
        <f t="shared" si="0"/>
        <v>1.0000026068859891</v>
      </c>
      <c r="D19" s="364">
        <f t="shared" si="1"/>
        <v>2.2833660792016043E-3</v>
      </c>
      <c r="E19" s="364">
        <f t="shared" si="2"/>
        <v>1.0000000021033049</v>
      </c>
      <c r="F19" s="365">
        <f t="shared" si="3"/>
        <v>6.4858381230234984E-5</v>
      </c>
      <c r="G19" s="364">
        <f t="shared" si="4"/>
        <v>1.0000000001492257</v>
      </c>
      <c r="H19" s="365">
        <f t="shared" si="5"/>
        <v>-1.7275751681987342E-5</v>
      </c>
      <c r="I19" s="363">
        <f t="shared" si="6"/>
        <v>5.9818309587536467</v>
      </c>
      <c r="J19" s="366">
        <f t="shared" si="7"/>
        <v>1.4028348158300079</v>
      </c>
      <c r="K19" s="374">
        <f t="shared" si="8"/>
        <v>1.0000010306579388</v>
      </c>
      <c r="L19" s="375">
        <f t="shared" si="9"/>
        <v>1.4357277272954807E-3</v>
      </c>
      <c r="M19" s="363">
        <f t="shared" si="10"/>
        <v>1.000000001010122</v>
      </c>
      <c r="N19" s="366">
        <f t="shared" si="11"/>
        <v>4.4947127661457301E-5</v>
      </c>
      <c r="O19" s="367">
        <f t="shared" si="12"/>
        <v>1.0000000001062403</v>
      </c>
      <c r="P19" s="368">
        <f t="shared" si="13"/>
        <v>1.9721990980138728E-5</v>
      </c>
      <c r="Q19" s="369">
        <f t="shared" si="14"/>
        <v>71.053599755277148</v>
      </c>
      <c r="R19" s="370">
        <f t="shared" si="15"/>
        <v>-80.426059476801143</v>
      </c>
      <c r="S19" s="392">
        <f t="shared" si="16"/>
        <v>99.573940523198857</v>
      </c>
      <c r="U19" s="345">
        <f t="shared" si="23"/>
        <v>1000000000</v>
      </c>
      <c r="V19" s="345">
        <f t="shared" si="24"/>
        <v>3.0199488400000001</v>
      </c>
      <c r="X19" s="371">
        <f t="shared" si="17"/>
        <v>72.560000553977702</v>
      </c>
      <c r="Y19" s="372">
        <f t="shared" si="18"/>
        <v>-80.296828534236383</v>
      </c>
      <c r="AA19" s="371">
        <f t="shared" si="19"/>
        <v>44.514199114579071</v>
      </c>
      <c r="AB19" s="372">
        <f t="shared" si="20"/>
        <v>-0.1292309425647622</v>
      </c>
      <c r="AD19">
        <f t="shared" si="25"/>
        <v>0</v>
      </c>
      <c r="AE19">
        <f t="shared" si="21"/>
        <v>0</v>
      </c>
    </row>
    <row r="20" spans="1:31" x14ac:dyDescent="0.2">
      <c r="A20" s="373">
        <v>1.9055</v>
      </c>
      <c r="B20" s="390">
        <f t="shared" si="22"/>
        <v>1.9055000000000001E-3</v>
      </c>
      <c r="C20" s="363">
        <f t="shared" si="0"/>
        <v>1.0000031342976989</v>
      </c>
      <c r="D20" s="364">
        <f t="shared" si="1"/>
        <v>2.5037130475847229E-3</v>
      </c>
      <c r="E20" s="364">
        <f t="shared" si="2"/>
        <v>1.0000000025288351</v>
      </c>
      <c r="F20" s="365">
        <f t="shared" si="3"/>
        <v>7.1117300839655057E-5</v>
      </c>
      <c r="G20" s="364">
        <f t="shared" si="4"/>
        <v>1.0000000001794165</v>
      </c>
      <c r="H20" s="365">
        <f t="shared" si="5"/>
        <v>-1.8942884583590929E-5</v>
      </c>
      <c r="I20" s="363">
        <f t="shared" si="6"/>
        <v>6.5436448768437501</v>
      </c>
      <c r="J20" s="366">
        <f t="shared" si="7"/>
        <v>1.4173751327711772</v>
      </c>
      <c r="K20" s="374">
        <f t="shared" si="8"/>
        <v>1.0000012391755275</v>
      </c>
      <c r="L20" s="375">
        <f t="shared" si="9"/>
        <v>1.5742771343402551E-3</v>
      </c>
      <c r="M20" s="363">
        <f t="shared" si="10"/>
        <v>1.0000000012144852</v>
      </c>
      <c r="N20" s="366">
        <f t="shared" si="11"/>
        <v>4.9284584962158015E-5</v>
      </c>
      <c r="O20" s="367">
        <f t="shared" si="12"/>
        <v>1.0000000001277343</v>
      </c>
      <c r="P20" s="368">
        <f t="shared" si="13"/>
        <v>2.1625189211842257E-5</v>
      </c>
      <c r="Q20" s="369">
        <f t="shared" si="14"/>
        <v>70.273885265805319</v>
      </c>
      <c r="R20" s="370">
        <f t="shared" si="15"/>
        <v>-81.263939399533896</v>
      </c>
      <c r="S20" s="392">
        <f t="shared" si="16"/>
        <v>98.736060600466104</v>
      </c>
      <c r="U20" s="345">
        <f t="shared" si="23"/>
        <v>1000000000</v>
      </c>
      <c r="V20" s="345">
        <f t="shared" si="24"/>
        <v>3.63093025</v>
      </c>
      <c r="X20" s="371">
        <f t="shared" si="17"/>
        <v>71.780290641760985</v>
      </c>
      <c r="Y20" s="372">
        <f t="shared" si="18"/>
        <v>-81.12223755041056</v>
      </c>
      <c r="AA20" s="371">
        <f t="shared" si="19"/>
        <v>44.514194537323959</v>
      </c>
      <c r="AB20" s="372">
        <f t="shared" si="20"/>
        <v>-0.1417018491233388</v>
      </c>
      <c r="AD20">
        <f t="shared" si="25"/>
        <v>0</v>
      </c>
      <c r="AE20">
        <f t="shared" si="21"/>
        <v>0</v>
      </c>
    </row>
    <row r="21" spans="1:31" x14ac:dyDescent="0.2">
      <c r="A21" s="373">
        <v>2.0893000000000002</v>
      </c>
      <c r="B21" s="390">
        <f t="shared" si="22"/>
        <v>2.0893000000000001E-3</v>
      </c>
      <c r="C21" s="363">
        <f t="shared" si="0"/>
        <v>1.0000037681120486</v>
      </c>
      <c r="D21" s="364">
        <f t="shared" si="1"/>
        <v>2.7452140960376134E-3</v>
      </c>
      <c r="E21" s="364">
        <f t="shared" si="2"/>
        <v>1.0000000030402145</v>
      </c>
      <c r="F21" s="365">
        <f t="shared" si="3"/>
        <v>7.7977106582857858E-5</v>
      </c>
      <c r="G21" s="364">
        <f t="shared" si="4"/>
        <v>1.0000000002156979</v>
      </c>
      <c r="H21" s="365">
        <f t="shared" si="5"/>
        <v>-2.0770070196556941E-5</v>
      </c>
      <c r="I21" s="363">
        <f t="shared" si="6"/>
        <v>7.1607231646971092</v>
      </c>
      <c r="J21" s="366">
        <f t="shared" si="7"/>
        <v>1.4306876779374706</v>
      </c>
      <c r="K21" s="374">
        <f t="shared" si="8"/>
        <v>1.0000014897605711</v>
      </c>
      <c r="L21" s="375">
        <f t="shared" si="9"/>
        <v>1.7261278757834137E-3</v>
      </c>
      <c r="M21" s="363">
        <f t="shared" si="10"/>
        <v>1.0000000014600774</v>
      </c>
      <c r="N21" s="366">
        <f t="shared" si="11"/>
        <v>5.4038458853097669E-5</v>
      </c>
      <c r="O21" s="367">
        <f t="shared" si="12"/>
        <v>1.0000000001535647</v>
      </c>
      <c r="P21" s="368">
        <f t="shared" si="13"/>
        <v>2.3711103552793019E-5</v>
      </c>
      <c r="Q21" s="369">
        <f t="shared" si="14"/>
        <v>69.491138700548646</v>
      </c>
      <c r="R21" s="370">
        <f t="shared" si="15"/>
        <v>-82.031932180346161</v>
      </c>
      <c r="S21" s="392">
        <f t="shared" si="16"/>
        <v>97.968067819653839</v>
      </c>
      <c r="U21" s="345">
        <f t="shared" si="23"/>
        <v>1000000000</v>
      </c>
      <c r="V21" s="345">
        <f t="shared" si="24"/>
        <v>4.3651744900000002</v>
      </c>
      <c r="X21" s="371">
        <f t="shared" si="17"/>
        <v>70.997549577194249</v>
      </c>
      <c r="Y21" s="372">
        <f t="shared" si="18"/>
        <v>-81.876562174188052</v>
      </c>
      <c r="AA21" s="371">
        <f t="shared" si="19"/>
        <v>44.514189036634022</v>
      </c>
      <c r="AB21" s="372">
        <f t="shared" si="20"/>
        <v>-0.15537000615809912</v>
      </c>
      <c r="AD21">
        <f t="shared" si="25"/>
        <v>0</v>
      </c>
      <c r="AE21">
        <f t="shared" si="21"/>
        <v>0</v>
      </c>
    </row>
    <row r="22" spans="1:31" x14ac:dyDescent="0.2">
      <c r="A22" s="373">
        <v>2.2909000000000002</v>
      </c>
      <c r="B22" s="390">
        <f t="shared" si="22"/>
        <v>2.2909000000000002E-3</v>
      </c>
      <c r="C22" s="363">
        <f t="shared" si="0"/>
        <v>1.0000045303765319</v>
      </c>
      <c r="D22" s="364">
        <f t="shared" si="1"/>
        <v>3.0101027983997701E-3</v>
      </c>
      <c r="E22" s="364">
        <f t="shared" si="2"/>
        <v>1.0000000036552315</v>
      </c>
      <c r="F22" s="365">
        <f t="shared" si="3"/>
        <v>8.5501246062042575E-5</v>
      </c>
      <c r="G22" s="364">
        <f t="shared" si="4"/>
        <v>1.0000000002593323</v>
      </c>
      <c r="H22" s="365">
        <f t="shared" si="5"/>
        <v>-2.27742084965817E-5</v>
      </c>
      <c r="I22" s="363">
        <f t="shared" si="6"/>
        <v>7.8387803396360134</v>
      </c>
      <c r="J22" s="366">
        <f t="shared" si="7"/>
        <v>1.4428768797860168</v>
      </c>
      <c r="K22" s="374">
        <f t="shared" si="8"/>
        <v>1.000001791129828</v>
      </c>
      <c r="L22" s="375">
        <f t="shared" si="9"/>
        <v>1.8926844187748407E-3</v>
      </c>
      <c r="M22" s="363">
        <f t="shared" si="10"/>
        <v>1.0000000017554422</v>
      </c>
      <c r="N22" s="366">
        <f t="shared" si="11"/>
        <v>5.9252718787241974E-5</v>
      </c>
      <c r="O22" s="367">
        <f t="shared" si="12"/>
        <v>1.0000000001846301</v>
      </c>
      <c r="P22" s="368">
        <f t="shared" si="13"/>
        <v>2.5999027008297382E-5</v>
      </c>
      <c r="Q22" s="369">
        <f t="shared" si="14"/>
        <v>68.705302488514633</v>
      </c>
      <c r="R22" s="370">
        <f t="shared" si="15"/>
        <v>-82.736069591102748</v>
      </c>
      <c r="S22" s="392">
        <f t="shared" si="16"/>
        <v>97.263930408897252</v>
      </c>
      <c r="U22" s="345">
        <f t="shared" si="23"/>
        <v>1000000000</v>
      </c>
      <c r="V22" s="345">
        <f t="shared" si="24"/>
        <v>5.2482228100000006</v>
      </c>
      <c r="X22" s="371">
        <f t="shared" si="17"/>
        <v>70.211719980626782</v>
      </c>
      <c r="Y22" s="372">
        <f t="shared" si="18"/>
        <v>-82.565707764654093</v>
      </c>
      <c r="AA22" s="371">
        <f t="shared" si="19"/>
        <v>44.514182421167462</v>
      </c>
      <c r="AB22" s="372">
        <f t="shared" si="20"/>
        <v>-0.17036182644865466</v>
      </c>
      <c r="AD22">
        <f t="shared" si="25"/>
        <v>0</v>
      </c>
      <c r="AE22">
        <f t="shared" si="21"/>
        <v>0</v>
      </c>
    </row>
    <row r="23" spans="1:31" x14ac:dyDescent="0.2">
      <c r="A23" s="373">
        <v>2.5118999999999998</v>
      </c>
      <c r="B23" s="390">
        <f t="shared" si="22"/>
        <v>2.5118999999999996E-3</v>
      </c>
      <c r="C23" s="363">
        <f t="shared" si="0"/>
        <v>1.0000054466131136</v>
      </c>
      <c r="D23" s="364">
        <f t="shared" si="1"/>
        <v>3.3004812959222677E-3</v>
      </c>
      <c r="E23" s="364">
        <f t="shared" si="2"/>
        <v>1.0000000043944781</v>
      </c>
      <c r="F23" s="365">
        <f t="shared" si="3"/>
        <v>9.3749434666462559E-5</v>
      </c>
      <c r="G23" s="364">
        <f t="shared" si="4"/>
        <v>1.0000000003117806</v>
      </c>
      <c r="H23" s="365">
        <f t="shared" si="5"/>
        <v>-2.4971205343124234E-5</v>
      </c>
      <c r="I23" s="363">
        <f t="shared" si="6"/>
        <v>8.5832035162359919</v>
      </c>
      <c r="J23" s="366">
        <f t="shared" si="7"/>
        <v>1.4540245144995831</v>
      </c>
      <c r="K23" s="374">
        <f t="shared" si="8"/>
        <v>1.0000021533737522</v>
      </c>
      <c r="L23" s="375">
        <f t="shared" si="9"/>
        <v>2.0752686033410754E-3</v>
      </c>
      <c r="M23" s="363">
        <f t="shared" si="10"/>
        <v>1.0000000021104691</v>
      </c>
      <c r="N23" s="366">
        <f t="shared" si="11"/>
        <v>6.4968747778796843E-5</v>
      </c>
      <c r="O23" s="367">
        <f t="shared" si="12"/>
        <v>1.0000000002219702</v>
      </c>
      <c r="P23" s="368">
        <f t="shared" si="13"/>
        <v>2.8507117700987205E-5</v>
      </c>
      <c r="Q23" s="369">
        <f t="shared" si="14"/>
        <v>67.917279370198443</v>
      </c>
      <c r="R23" s="370">
        <f t="shared" si="15"/>
        <v>-83.381082671267947</v>
      </c>
      <c r="S23" s="392">
        <f t="shared" si="16"/>
        <v>96.618917328732053</v>
      </c>
      <c r="U23" s="345">
        <f t="shared" si="23"/>
        <v>1000000000</v>
      </c>
      <c r="V23" s="345">
        <f t="shared" si="24"/>
        <v>6.309641609999999</v>
      </c>
      <c r="X23" s="371">
        <f t="shared" si="17"/>
        <v>69.423704814048492</v>
      </c>
      <c r="Y23" s="372">
        <f t="shared" si="18"/>
        <v>-83.194286387168532</v>
      </c>
      <c r="AA23" s="371">
        <f t="shared" si="19"/>
        <v>44.514174469429577</v>
      </c>
      <c r="AB23" s="372">
        <f t="shared" si="20"/>
        <v>-0.18679628409939936</v>
      </c>
      <c r="AD23">
        <f t="shared" si="25"/>
        <v>0</v>
      </c>
      <c r="AE23">
        <f t="shared" si="21"/>
        <v>0</v>
      </c>
    </row>
    <row r="24" spans="1:31" x14ac:dyDescent="0.2">
      <c r="A24" s="373">
        <v>2.7542</v>
      </c>
      <c r="B24" s="390">
        <f t="shared" si="22"/>
        <v>2.7542000000000001E-3</v>
      </c>
      <c r="C24" s="363">
        <f t="shared" si="0"/>
        <v>1.0000065480584022</v>
      </c>
      <c r="D24" s="364">
        <f t="shared" si="1"/>
        <v>3.61884585786305E-3</v>
      </c>
      <c r="E24" s="364">
        <f t="shared" si="2"/>
        <v>1.0000000052831577</v>
      </c>
      <c r="F24" s="365">
        <f t="shared" si="3"/>
        <v>1.0279258442031812E-4</v>
      </c>
      <c r="G24" s="364">
        <f t="shared" si="4"/>
        <v>1.0000000003748308</v>
      </c>
      <c r="H24" s="365">
        <f t="shared" si="5"/>
        <v>-2.7379948944281972E-5</v>
      </c>
      <c r="I24" s="363">
        <f t="shared" si="6"/>
        <v>9.4003964697389719</v>
      </c>
      <c r="J24" s="366">
        <f t="shared" si="7"/>
        <v>1.4642161695762335</v>
      </c>
      <c r="K24" s="374">
        <f t="shared" si="8"/>
        <v>1.0000025888421835</v>
      </c>
      <c r="L24" s="375">
        <f t="shared" si="9"/>
        <v>2.2754501086770106E-3</v>
      </c>
      <c r="M24" s="363">
        <f t="shared" si="10"/>
        <v>1.0000000025372615</v>
      </c>
      <c r="N24" s="366">
        <f t="shared" si="11"/>
        <v>7.1235688156952773E-5</v>
      </c>
      <c r="O24" s="367">
        <f t="shared" si="12"/>
        <v>1.0000000002668585</v>
      </c>
      <c r="P24" s="368">
        <f t="shared" si="13"/>
        <v>3.1256938401482991E-5</v>
      </c>
      <c r="Q24" s="369">
        <f t="shared" si="14"/>
        <v>67.127338379257253</v>
      </c>
      <c r="R24" s="370">
        <f t="shared" si="15"/>
        <v>-83.971929383324181</v>
      </c>
      <c r="S24" s="392">
        <f t="shared" si="16"/>
        <v>96.028070616675819</v>
      </c>
      <c r="U24" s="345">
        <f t="shared" si="23"/>
        <v>1000000000</v>
      </c>
      <c r="V24" s="345">
        <f t="shared" si="24"/>
        <v>7.5856176399999997</v>
      </c>
      <c r="X24" s="371">
        <f t="shared" si="17"/>
        <v>68.633773382205419</v>
      </c>
      <c r="Y24" s="372">
        <f t="shared" si="18"/>
        <v>-83.767114723810025</v>
      </c>
      <c r="AA24" s="371">
        <f t="shared" si="19"/>
        <v>44.514164910331459</v>
      </c>
      <c r="AB24" s="372">
        <f t="shared" si="20"/>
        <v>-0.20481465951415737</v>
      </c>
      <c r="AD24">
        <f t="shared" si="25"/>
        <v>0</v>
      </c>
      <c r="AE24">
        <f t="shared" si="21"/>
        <v>0</v>
      </c>
    </row>
    <row r="25" spans="1:31" x14ac:dyDescent="0.2">
      <c r="A25" s="373">
        <v>3.02</v>
      </c>
      <c r="B25" s="390">
        <f t="shared" si="22"/>
        <v>3.0200000000000001E-3</v>
      </c>
      <c r="C25" s="363">
        <f t="shared" si="0"/>
        <v>1.0000078729083279</v>
      </c>
      <c r="D25" s="364">
        <f t="shared" si="1"/>
        <v>3.9680868629804224E-3</v>
      </c>
      <c r="E25" s="364">
        <f t="shared" si="2"/>
        <v>1.0000000063520882</v>
      </c>
      <c r="F25" s="365">
        <f t="shared" si="3"/>
        <v>1.1271280398233223E-4</v>
      </c>
      <c r="G25" s="364">
        <f t="shared" si="4"/>
        <v>1.0000000004506695</v>
      </c>
      <c r="H25" s="365">
        <f t="shared" si="5"/>
        <v>-3.0022309856782713E-5</v>
      </c>
      <c r="I25" s="363">
        <f t="shared" si="6"/>
        <v>10.297782789629471</v>
      </c>
      <c r="J25" s="366">
        <f t="shared" si="7"/>
        <v>1.4735347708573887</v>
      </c>
      <c r="K25" s="374">
        <f t="shared" si="8"/>
        <v>1.0000031126364639</v>
      </c>
      <c r="L25" s="375">
        <f t="shared" si="9"/>
        <v>2.4950464485451072E-3</v>
      </c>
      <c r="M25" s="363">
        <f t="shared" si="10"/>
        <v>1.0000000030506204</v>
      </c>
      <c r="N25" s="366">
        <f t="shared" si="11"/>
        <v>7.811044156574352E-5</v>
      </c>
      <c r="O25" s="367">
        <f t="shared" si="12"/>
        <v>1.0000000003208513</v>
      </c>
      <c r="P25" s="368">
        <f t="shared" si="13"/>
        <v>3.4273456528390038E-5</v>
      </c>
      <c r="Q25" s="369">
        <f t="shared" si="14"/>
        <v>66.335380300056087</v>
      </c>
      <c r="R25" s="370">
        <f t="shared" si="15"/>
        <v>-84.513423738002004</v>
      </c>
      <c r="S25" s="392">
        <f t="shared" si="16"/>
        <v>95.486576261997996</v>
      </c>
      <c r="U25" s="345">
        <f t="shared" si="23"/>
        <v>1000000000</v>
      </c>
      <c r="V25" s="345">
        <f t="shared" si="24"/>
        <v>9.1204000000000001</v>
      </c>
      <c r="X25" s="371">
        <f t="shared" si="17"/>
        <v>67.84182680094716</v>
      </c>
      <c r="Y25" s="372">
        <f t="shared" si="18"/>
        <v>-84.288843199666147</v>
      </c>
      <c r="AA25" s="371">
        <f t="shared" si="19"/>
        <v>44.514153412388552</v>
      </c>
      <c r="AB25" s="372">
        <f t="shared" si="20"/>
        <v>-0.224580538335862</v>
      </c>
      <c r="AD25">
        <f t="shared" si="25"/>
        <v>0</v>
      </c>
      <c r="AE25">
        <f t="shared" si="21"/>
        <v>0</v>
      </c>
    </row>
    <row r="26" spans="1:31" x14ac:dyDescent="0.2">
      <c r="A26" s="373">
        <v>3.3113000000000001</v>
      </c>
      <c r="B26" s="390">
        <f t="shared" si="22"/>
        <v>3.3113000000000001E-3</v>
      </c>
      <c r="C26" s="363">
        <f t="shared" si="0"/>
        <v>1.0000094649433984</v>
      </c>
      <c r="D26" s="364">
        <f t="shared" si="1"/>
        <v>4.3508318158142264E-3</v>
      </c>
      <c r="E26" s="364">
        <f t="shared" si="2"/>
        <v>1.0000000076365938</v>
      </c>
      <c r="F26" s="365">
        <f t="shared" si="3"/>
        <v>1.23584737585129E-4</v>
      </c>
      <c r="G26" s="364">
        <f t="shared" si="4"/>
        <v>1.0000000005418028</v>
      </c>
      <c r="H26" s="365">
        <f t="shared" si="5"/>
        <v>-3.2918170404875735E-5</v>
      </c>
      <c r="I26" s="363">
        <f t="shared" si="6"/>
        <v>11.282117228254878</v>
      </c>
      <c r="J26" s="366">
        <f t="shared" si="7"/>
        <v>1.4820440105275636</v>
      </c>
      <c r="K26" s="374">
        <f t="shared" si="8"/>
        <v>1.0000037420659436</v>
      </c>
      <c r="L26" s="375">
        <f t="shared" si="9"/>
        <v>2.7357098802130312E-3</v>
      </c>
      <c r="M26" s="363">
        <f t="shared" si="10"/>
        <v>1.0000000036675105</v>
      </c>
      <c r="N26" s="366">
        <f t="shared" si="11"/>
        <v>8.5644736771614349E-5</v>
      </c>
      <c r="O26" s="367">
        <f t="shared" si="12"/>
        <v>1.0000000003857332</v>
      </c>
      <c r="P26" s="368">
        <f t="shared" si="13"/>
        <v>3.7579369734962767E-5</v>
      </c>
      <c r="Q26" s="369">
        <f t="shared" si="14"/>
        <v>65.542434325944456</v>
      </c>
      <c r="R26" s="370">
        <f t="shared" si="15"/>
        <v>-85.009272032912477</v>
      </c>
      <c r="S26" s="392">
        <f t="shared" si="16"/>
        <v>94.990727967087523</v>
      </c>
      <c r="U26" s="345">
        <f t="shared" si="23"/>
        <v>1000000000</v>
      </c>
      <c r="V26" s="345">
        <f t="shared" si="24"/>
        <v>10.964707690000001</v>
      </c>
      <c r="X26" s="371">
        <f t="shared" si="17"/>
        <v>67.048894643571487</v>
      </c>
      <c r="Y26" s="372">
        <f t="shared" si="18"/>
        <v>-84.763029404573501</v>
      </c>
      <c r="AA26" s="371">
        <f t="shared" si="19"/>
        <v>44.514139595652594</v>
      </c>
      <c r="AB26" s="372">
        <f t="shared" si="20"/>
        <v>-0.24624262833897589</v>
      </c>
      <c r="AD26">
        <f t="shared" si="25"/>
        <v>0</v>
      </c>
      <c r="AE26">
        <f t="shared" si="21"/>
        <v>0</v>
      </c>
    </row>
    <row r="27" spans="1:31" x14ac:dyDescent="0.2">
      <c r="A27" s="373">
        <v>3.6307999999999998</v>
      </c>
      <c r="B27" s="390">
        <f t="shared" si="22"/>
        <v>3.6308E-3</v>
      </c>
      <c r="C27" s="363">
        <f t="shared" si="0"/>
        <v>1.0000113795529437</v>
      </c>
      <c r="D27" s="364">
        <f t="shared" si="1"/>
        <v>4.7706278481665027E-3</v>
      </c>
      <c r="E27" s="364">
        <f t="shared" si="2"/>
        <v>1.0000000091813657</v>
      </c>
      <c r="F27" s="365">
        <f t="shared" si="3"/>
        <v>1.3550915494276618E-4</v>
      </c>
      <c r="G27" s="364">
        <f t="shared" si="4"/>
        <v>1.0000000006514018</v>
      </c>
      <c r="H27" s="365">
        <f t="shared" si="5"/>
        <v>-3.6094371726297832E-5</v>
      </c>
      <c r="I27" s="363">
        <f t="shared" si="6"/>
        <v>12.362525029265695</v>
      </c>
      <c r="J27" s="366">
        <f t="shared" si="7"/>
        <v>1.4898182302482832</v>
      </c>
      <c r="K27" s="374">
        <f t="shared" si="8"/>
        <v>1.0000044990297752</v>
      </c>
      <c r="L27" s="375">
        <f t="shared" si="9"/>
        <v>2.9996709511589197E-3</v>
      </c>
      <c r="M27" s="363">
        <f t="shared" si="10"/>
        <v>1.0000000044093944</v>
      </c>
      <c r="N27" s="366">
        <f t="shared" si="11"/>
        <v>9.3908407609271405E-5</v>
      </c>
      <c r="O27" s="367">
        <f t="shared" si="12"/>
        <v>1.0000000004637613</v>
      </c>
      <c r="P27" s="368">
        <f t="shared" si="13"/>
        <v>4.1205319853094751E-5</v>
      </c>
      <c r="Q27" s="369">
        <f t="shared" si="14"/>
        <v>64.74809276059527</v>
      </c>
      <c r="R27" s="370">
        <f t="shared" si="15"/>
        <v>-85.463810687269259</v>
      </c>
      <c r="S27" s="392">
        <f t="shared" si="16"/>
        <v>94.536189312730741</v>
      </c>
      <c r="U27" s="345">
        <f t="shared" si="23"/>
        <v>1000000000</v>
      </c>
      <c r="V27" s="345">
        <f t="shared" si="24"/>
        <v>13.182708639999998</v>
      </c>
      <c r="X27" s="371">
        <f t="shared" si="17"/>
        <v>66.254569694444257</v>
      </c>
      <c r="Y27" s="372">
        <f t="shared" si="18"/>
        <v>-85.193809002211665</v>
      </c>
      <c r="AA27" s="371">
        <f t="shared" si="19"/>
        <v>44.514122979430645</v>
      </c>
      <c r="AB27" s="372">
        <f t="shared" si="20"/>
        <v>-0.27000168505759747</v>
      </c>
      <c r="AD27">
        <f t="shared" si="25"/>
        <v>0</v>
      </c>
      <c r="AE27">
        <f t="shared" si="21"/>
        <v>0</v>
      </c>
    </row>
    <row r="28" spans="1:31" x14ac:dyDescent="0.2">
      <c r="A28" s="373">
        <v>3.9811000000000001</v>
      </c>
      <c r="B28" s="390">
        <f t="shared" si="22"/>
        <v>3.9811000000000004E-3</v>
      </c>
      <c r="C28" s="363">
        <f t="shared" si="0"/>
        <v>1.0000136812639151</v>
      </c>
      <c r="D28" s="364">
        <f t="shared" si="1"/>
        <v>5.2308905429558879E-3</v>
      </c>
      <c r="E28" s="364">
        <f t="shared" si="2"/>
        <v>1.0000000110384679</v>
      </c>
      <c r="F28" s="365">
        <f t="shared" si="3"/>
        <v>1.4858309355369041E-4</v>
      </c>
      <c r="G28" s="364">
        <f t="shared" si="4"/>
        <v>1.00000000078316</v>
      </c>
      <c r="H28" s="365">
        <f t="shared" si="5"/>
        <v>-3.9576760842498157E-5</v>
      </c>
      <c r="I28" s="363">
        <f t="shared" si="6"/>
        <v>13.547799916458207</v>
      </c>
      <c r="J28" s="366">
        <f t="shared" si="7"/>
        <v>1.49691641324879</v>
      </c>
      <c r="K28" s="374">
        <f t="shared" si="8"/>
        <v>1.0000054090399555</v>
      </c>
      <c r="L28" s="375">
        <f t="shared" si="9"/>
        <v>3.2890775528255384E-3</v>
      </c>
      <c r="M28" s="363">
        <f t="shared" si="10"/>
        <v>1.0000000053012768</v>
      </c>
      <c r="N28" s="366">
        <f t="shared" si="11"/>
        <v>1.0296870147377395E-4</v>
      </c>
      <c r="O28" s="367">
        <f t="shared" si="12"/>
        <v>1.0000000005575658</v>
      </c>
      <c r="P28" s="368">
        <f t="shared" si="13"/>
        <v>4.5180813831981133E-5</v>
      </c>
      <c r="Q28" s="369">
        <f t="shared" si="14"/>
        <v>63.952848877998619</v>
      </c>
      <c r="R28" s="370">
        <f t="shared" si="15"/>
        <v>-85.880493289246985</v>
      </c>
      <c r="S28" s="392">
        <f t="shared" si="16"/>
        <v>94.119506710753015</v>
      </c>
      <c r="U28" s="345">
        <f t="shared" si="23"/>
        <v>1000000000</v>
      </c>
      <c r="V28" s="345">
        <f t="shared" si="24"/>
        <v>15.849157210000001</v>
      </c>
      <c r="X28" s="371">
        <f t="shared" si="17"/>
        <v>65.459345787544322</v>
      </c>
      <c r="Y28" s="372">
        <f t="shared" si="18"/>
        <v>-85.584442270559435</v>
      </c>
      <c r="AA28" s="371">
        <f t="shared" si="19"/>
        <v>44.514103003733929</v>
      </c>
      <c r="AB28" s="372">
        <f t="shared" si="20"/>
        <v>-0.2960510186875443</v>
      </c>
      <c r="AD28">
        <f t="shared" si="25"/>
        <v>0</v>
      </c>
      <c r="AE28">
        <f t="shared" si="21"/>
        <v>0</v>
      </c>
    </row>
    <row r="29" spans="1:31" x14ac:dyDescent="0.2">
      <c r="A29" s="373">
        <v>4.3651999999999997</v>
      </c>
      <c r="B29" s="390">
        <f t="shared" si="22"/>
        <v>4.3651999999999996E-3</v>
      </c>
      <c r="C29" s="363">
        <f t="shared" si="0"/>
        <v>1.0000164485545529</v>
      </c>
      <c r="D29" s="364">
        <f t="shared" si="1"/>
        <v>5.7355608433064826E-3</v>
      </c>
      <c r="E29" s="364">
        <f t="shared" si="2"/>
        <v>1.0000000132712221</v>
      </c>
      <c r="F29" s="365">
        <f t="shared" si="3"/>
        <v>1.6291851975964783E-4</v>
      </c>
      <c r="G29" s="364">
        <f t="shared" si="4"/>
        <v>1.0000000009415699</v>
      </c>
      <c r="H29" s="365">
        <f t="shared" si="5"/>
        <v>-4.3395161239714716E-5</v>
      </c>
      <c r="I29" s="363">
        <f t="shared" si="6"/>
        <v>14.84809370701263</v>
      </c>
      <c r="J29" s="366">
        <f t="shared" si="7"/>
        <v>1.50339659577047</v>
      </c>
      <c r="K29" s="374">
        <f t="shared" si="8"/>
        <v>1.0000065031245484</v>
      </c>
      <c r="L29" s="375">
        <f t="shared" si="9"/>
        <v>3.6064079931285788E-3</v>
      </c>
      <c r="M29" s="363">
        <f t="shared" si="10"/>
        <v>1.0000000063735677</v>
      </c>
      <c r="N29" s="366">
        <f t="shared" si="11"/>
        <v>1.1290321151239687E-4</v>
      </c>
      <c r="O29" s="367">
        <f t="shared" si="12"/>
        <v>1.0000000006703449</v>
      </c>
      <c r="P29" s="368">
        <f t="shared" si="13"/>
        <v>4.9539898151438911E-5</v>
      </c>
      <c r="Q29" s="369">
        <f t="shared" si="14"/>
        <v>63.156795841778496</v>
      </c>
      <c r="R29" s="370">
        <f t="shared" si="15"/>
        <v>-86.262730563404688</v>
      </c>
      <c r="S29" s="392">
        <f t="shared" si="16"/>
        <v>93.737269436595312</v>
      </c>
      <c r="U29" s="345">
        <f t="shared" si="23"/>
        <v>1000000000</v>
      </c>
      <c r="V29" s="345">
        <f t="shared" si="24"/>
        <v>19.054971039999998</v>
      </c>
      <c r="X29" s="371">
        <f t="shared" si="17"/>
        <v>64.663316767553368</v>
      </c>
      <c r="Y29" s="372">
        <f t="shared" si="18"/>
        <v>-85.938116890486626</v>
      </c>
      <c r="AA29" s="371">
        <f t="shared" si="19"/>
        <v>44.514078987504746</v>
      </c>
      <c r="AB29" s="372">
        <f t="shared" si="20"/>
        <v>-0.32461367291804616</v>
      </c>
      <c r="AD29">
        <f t="shared" si="25"/>
        <v>0</v>
      </c>
      <c r="AE29">
        <f t="shared" si="21"/>
        <v>0</v>
      </c>
    </row>
    <row r="30" spans="1:31" x14ac:dyDescent="0.2">
      <c r="A30" s="373">
        <v>4.7862999999999998</v>
      </c>
      <c r="B30" s="390">
        <f t="shared" si="22"/>
        <v>4.7862999999999994E-3</v>
      </c>
      <c r="C30" s="363">
        <f t="shared" si="0"/>
        <v>1.0000197750940005</v>
      </c>
      <c r="D30" s="364">
        <f t="shared" si="1"/>
        <v>6.2888422030678804E-3</v>
      </c>
      <c r="E30" s="364">
        <f t="shared" si="2"/>
        <v>1.0000000159552076</v>
      </c>
      <c r="F30" s="365">
        <f t="shared" si="3"/>
        <v>1.7863486432015237E-4</v>
      </c>
      <c r="G30" s="364">
        <f t="shared" si="4"/>
        <v>1.0000000011319941</v>
      </c>
      <c r="H30" s="365">
        <f t="shared" si="5"/>
        <v>-4.7581384636506663E-5</v>
      </c>
      <c r="I30" s="363">
        <f t="shared" si="6"/>
        <v>16.274240075410429</v>
      </c>
      <c r="J30" s="366">
        <f t="shared" si="7"/>
        <v>1.5093107918713478</v>
      </c>
      <c r="K30" s="374">
        <f t="shared" si="8"/>
        <v>1.0000078183179049</v>
      </c>
      <c r="L30" s="375">
        <f t="shared" si="9"/>
        <v>3.9543057461105318E-3</v>
      </c>
      <c r="M30" s="363">
        <f t="shared" si="10"/>
        <v>1.0000000076625644</v>
      </c>
      <c r="N30" s="366">
        <f t="shared" si="11"/>
        <v>1.2379470374723091E-4</v>
      </c>
      <c r="O30" s="367">
        <f t="shared" si="12"/>
        <v>1.000000000805916</v>
      </c>
      <c r="P30" s="368">
        <f t="shared" si="13"/>
        <v>5.4318889056561251E-5</v>
      </c>
      <c r="Q30" s="369">
        <f t="shared" si="14"/>
        <v>62.360178011988872</v>
      </c>
      <c r="R30" s="370">
        <f t="shared" si="15"/>
        <v>-86.613593878715136</v>
      </c>
      <c r="S30" s="392">
        <f t="shared" si="16"/>
        <v>93.386406121284864</v>
      </c>
      <c r="U30" s="345">
        <f t="shared" si="23"/>
        <v>1000000000</v>
      </c>
      <c r="V30" s="345">
        <f t="shared" si="24"/>
        <v>22.908667689999998</v>
      </c>
      <c r="X30" s="371">
        <f t="shared" si="17"/>
        <v>63.866727807405695</v>
      </c>
      <c r="Y30" s="372">
        <f t="shared" si="18"/>
        <v>-86.2576663302345</v>
      </c>
      <c r="AA30" s="371">
        <f t="shared" si="19"/>
        <v>44.514050117862794</v>
      </c>
      <c r="AB30" s="372">
        <f t="shared" si="20"/>
        <v>-0.35592754848065455</v>
      </c>
      <c r="AD30">
        <f t="shared" si="25"/>
        <v>0</v>
      </c>
      <c r="AE30">
        <f t="shared" si="21"/>
        <v>0</v>
      </c>
    </row>
    <row r="31" spans="1:31" x14ac:dyDescent="0.2">
      <c r="A31" s="373">
        <v>5.2481</v>
      </c>
      <c r="B31" s="390">
        <f t="shared" si="22"/>
        <v>5.2481000000000003E-3</v>
      </c>
      <c r="C31" s="363">
        <f t="shared" si="0"/>
        <v>1.0000237750839434</v>
      </c>
      <c r="D31" s="364">
        <f t="shared" si="1"/>
        <v>6.8955946672246181E-3</v>
      </c>
      <c r="E31" s="364">
        <f t="shared" si="2"/>
        <v>1.0000000191825718</v>
      </c>
      <c r="F31" s="365">
        <f t="shared" si="3"/>
        <v>1.9587021904634121E-4</v>
      </c>
      <c r="G31" s="364">
        <f t="shared" si="4"/>
        <v>1.0000000013609698</v>
      </c>
      <c r="H31" s="365">
        <f t="shared" si="5"/>
        <v>-5.2172213332371965E-5</v>
      </c>
      <c r="I31" s="363">
        <f t="shared" si="6"/>
        <v>17.838770523882122</v>
      </c>
      <c r="J31" s="366">
        <f t="shared" si="7"/>
        <v>1.5147092503621367</v>
      </c>
      <c r="K31" s="374">
        <f t="shared" si="8"/>
        <v>1.0000093997727271</v>
      </c>
      <c r="L31" s="375">
        <f t="shared" si="9"/>
        <v>4.3358272792737391E-3</v>
      </c>
      <c r="M31" s="363">
        <f t="shared" si="10"/>
        <v>1.0000000092125214</v>
      </c>
      <c r="N31" s="366">
        <f t="shared" si="11"/>
        <v>1.3573887638980379E-4</v>
      </c>
      <c r="O31" s="367">
        <f t="shared" si="12"/>
        <v>1.0000000009689338</v>
      </c>
      <c r="P31" s="368">
        <f t="shared" si="13"/>
        <v>5.9559777205696201E-5</v>
      </c>
      <c r="Q31" s="369">
        <f t="shared" si="14"/>
        <v>61.562873011600978</v>
      </c>
      <c r="R31" s="370">
        <f t="shared" si="15"/>
        <v>-86.936067701722706</v>
      </c>
      <c r="S31" s="392">
        <f t="shared" si="16"/>
        <v>93.063932298277294</v>
      </c>
      <c r="U31" s="345">
        <f t="shared" si="23"/>
        <v>1000000000</v>
      </c>
      <c r="V31" s="345">
        <f t="shared" si="24"/>
        <v>27.542553609999999</v>
      </c>
      <c r="X31" s="371">
        <f t="shared" si="17"/>
        <v>63.069457521127049</v>
      </c>
      <c r="Y31" s="372">
        <f t="shared" si="18"/>
        <v>-86.54579999500109</v>
      </c>
      <c r="AA31" s="371">
        <f t="shared" si="19"/>
        <v>44.514015403753547</v>
      </c>
      <c r="AB31" s="372">
        <f t="shared" si="20"/>
        <v>-0.39026770672160249</v>
      </c>
      <c r="AD31">
        <f t="shared" si="25"/>
        <v>0</v>
      </c>
      <c r="AE31">
        <f t="shared" si="21"/>
        <v>0</v>
      </c>
    </row>
    <row r="32" spans="1:31" x14ac:dyDescent="0.2">
      <c r="A32" s="373">
        <v>5.7544000000000004</v>
      </c>
      <c r="B32" s="390">
        <f t="shared" si="22"/>
        <v>5.7544000000000007E-3</v>
      </c>
      <c r="C32" s="363">
        <f t="shared" si="0"/>
        <v>1.0000285835987028</v>
      </c>
      <c r="D32" s="364">
        <f t="shared" si="1"/>
        <v>7.5608091984618285E-3</v>
      </c>
      <c r="E32" s="364">
        <f t="shared" si="2"/>
        <v>1.0000000230623054</v>
      </c>
      <c r="F32" s="365">
        <f t="shared" si="3"/>
        <v>2.1476640795049516E-4</v>
      </c>
      <c r="G32" s="364">
        <f t="shared" si="4"/>
        <v>1.0000000016362303</v>
      </c>
      <c r="H32" s="365">
        <f t="shared" si="5"/>
        <v>-5.7205423742822906E-5</v>
      </c>
      <c r="I32" s="363">
        <f t="shared" si="6"/>
        <v>19.554559575427728</v>
      </c>
      <c r="J32" s="366">
        <f t="shared" si="7"/>
        <v>1.5196350426165564</v>
      </c>
      <c r="K32" s="374">
        <f t="shared" si="8"/>
        <v>1.0000113008947831</v>
      </c>
      <c r="L32" s="375">
        <f t="shared" si="9"/>
        <v>4.7541115592326577E-3</v>
      </c>
      <c r="M32" s="363">
        <f t="shared" si="10"/>
        <v>1.0000000110757821</v>
      </c>
      <c r="N32" s="366">
        <f t="shared" si="11"/>
        <v>1.4883401408647518E-4</v>
      </c>
      <c r="O32" s="367">
        <f t="shared" si="12"/>
        <v>1.0000000011649037</v>
      </c>
      <c r="P32" s="368">
        <f t="shared" si="13"/>
        <v>6.5305688139760342E-5</v>
      </c>
      <c r="Q32" s="369">
        <f t="shared" si="14"/>
        <v>60.76518537678696</v>
      </c>
      <c r="R32" s="370">
        <f t="shared" si="15"/>
        <v>-87.232728092639476</v>
      </c>
      <c r="S32" s="392">
        <f t="shared" si="16"/>
        <v>92.767271907360524</v>
      </c>
      <c r="U32" s="345">
        <f t="shared" si="23"/>
        <v>1000000000</v>
      </c>
      <c r="V32" s="345">
        <f t="shared" si="24"/>
        <v>33.113119360000006</v>
      </c>
      <c r="X32" s="371">
        <f t="shared" si="17"/>
        <v>62.271811617060528</v>
      </c>
      <c r="Y32" s="372">
        <f t="shared" si="18"/>
        <v>-86.804811474477376</v>
      </c>
      <c r="AA32" s="371">
        <f t="shared" si="19"/>
        <v>44.513973673006063</v>
      </c>
      <c r="AB32" s="372">
        <f t="shared" si="20"/>
        <v>-0.42791661816209842</v>
      </c>
      <c r="AD32">
        <f t="shared" si="25"/>
        <v>0</v>
      </c>
      <c r="AE32">
        <f t="shared" si="21"/>
        <v>0</v>
      </c>
    </row>
    <row r="33" spans="1:31" x14ac:dyDescent="0.2">
      <c r="A33" s="373">
        <v>6.3095999999999997</v>
      </c>
      <c r="B33" s="390">
        <f t="shared" si="22"/>
        <v>6.3095999999999994E-3</v>
      </c>
      <c r="C33" s="363">
        <f t="shared" si="0"/>
        <v>1.0000343652265733</v>
      </c>
      <c r="D33" s="364">
        <f t="shared" si="1"/>
        <v>8.2902644664165012E-3</v>
      </c>
      <c r="E33" s="364">
        <f t="shared" si="2"/>
        <v>1.000000027727217</v>
      </c>
      <c r="F33" s="365">
        <f t="shared" si="3"/>
        <v>2.3548764830220247E-4</v>
      </c>
      <c r="G33" s="364">
        <f t="shared" si="4"/>
        <v>1.0000000019671975</v>
      </c>
      <c r="H33" s="365">
        <f t="shared" si="5"/>
        <v>-6.2724756980410651E-5</v>
      </c>
      <c r="I33" s="363">
        <f t="shared" si="6"/>
        <v>21.436518649812871</v>
      </c>
      <c r="J33" s="366">
        <f t="shared" si="7"/>
        <v>1.5241300249635461</v>
      </c>
      <c r="K33" s="374">
        <f t="shared" si="8"/>
        <v>1.0000135867597542</v>
      </c>
      <c r="L33" s="375">
        <f t="shared" si="9"/>
        <v>5.2127930944244668E-3</v>
      </c>
      <c r="M33" s="363">
        <f t="shared" si="10"/>
        <v>1.000000013316128</v>
      </c>
      <c r="N33" s="366">
        <f t="shared" si="11"/>
        <v>1.6319392010938466E-4</v>
      </c>
      <c r="O33" s="367">
        <f t="shared" si="12"/>
        <v>1.0000000014005339</v>
      </c>
      <c r="P33" s="368">
        <f t="shared" si="13"/>
        <v>7.1606556695534497E-5</v>
      </c>
      <c r="Q33" s="369">
        <f t="shared" si="14"/>
        <v>59.967030690766592</v>
      </c>
      <c r="R33" s="370">
        <f t="shared" si="15"/>
        <v>-87.506098572577116</v>
      </c>
      <c r="S33" s="392">
        <f t="shared" si="16"/>
        <v>92.493901427422884</v>
      </c>
      <c r="U33" s="345">
        <f t="shared" si="23"/>
        <v>1000000000</v>
      </c>
      <c r="V33" s="345">
        <f t="shared" si="24"/>
        <v>39.811052159999996</v>
      </c>
      <c r="X33" s="371">
        <f t="shared" si="17"/>
        <v>61.473707106694214</v>
      </c>
      <c r="Y33" s="372">
        <f t="shared" si="18"/>
        <v>-87.036897238113141</v>
      </c>
      <c r="AA33" s="371">
        <f t="shared" si="19"/>
        <v>44.513923497351996</v>
      </c>
      <c r="AB33" s="372">
        <f t="shared" si="20"/>
        <v>-0.46920133446398399</v>
      </c>
      <c r="AD33">
        <f t="shared" si="25"/>
        <v>0</v>
      </c>
      <c r="AE33">
        <f t="shared" si="21"/>
        <v>0</v>
      </c>
    </row>
    <row r="34" spans="1:31" x14ac:dyDescent="0.2">
      <c r="A34" s="373">
        <v>6.9183000000000003</v>
      </c>
      <c r="B34" s="390">
        <f t="shared" si="22"/>
        <v>6.9183000000000005E-3</v>
      </c>
      <c r="C34" s="363">
        <f t="shared" si="0"/>
        <v>1.0000413154823842</v>
      </c>
      <c r="D34" s="364">
        <f t="shared" si="1"/>
        <v>9.0900010957162807E-3</v>
      </c>
      <c r="E34" s="364">
        <f t="shared" si="2"/>
        <v>1.0000000333350725</v>
      </c>
      <c r="F34" s="365">
        <f t="shared" si="3"/>
        <v>2.5820562177607855E-4</v>
      </c>
      <c r="G34" s="364">
        <f t="shared" si="4"/>
        <v>1.000000002365065</v>
      </c>
      <c r="H34" s="365">
        <f t="shared" si="5"/>
        <v>-6.8775942389766759E-5</v>
      </c>
      <c r="I34" s="363">
        <f t="shared" si="6"/>
        <v>23.500240616705103</v>
      </c>
      <c r="J34" s="366">
        <f t="shared" si="7"/>
        <v>1.5282307185531585</v>
      </c>
      <c r="K34" s="374">
        <f t="shared" si="8"/>
        <v>1.0000163346722459</v>
      </c>
      <c r="L34" s="375">
        <f t="shared" si="9"/>
        <v>5.7156714212325778E-3</v>
      </c>
      <c r="M34" s="363">
        <f t="shared" si="10"/>
        <v>1.0000000160093272</v>
      </c>
      <c r="N34" s="366">
        <f t="shared" si="11"/>
        <v>1.789375706012474E-4</v>
      </c>
      <c r="O34" s="367">
        <f t="shared" si="12"/>
        <v>1.0000000016837931</v>
      </c>
      <c r="P34" s="368">
        <f t="shared" si="13"/>
        <v>7.8514587474961216E-5</v>
      </c>
      <c r="Q34" s="369">
        <f t="shared" si="14"/>
        <v>59.16863316037233</v>
      </c>
      <c r="R34" s="370">
        <f t="shared" si="15"/>
        <v>-87.75840264559433</v>
      </c>
      <c r="S34" s="392">
        <f t="shared" si="16"/>
        <v>92.24159735440567</v>
      </c>
      <c r="U34" s="345">
        <f t="shared" si="23"/>
        <v>1000000000</v>
      </c>
      <c r="V34" s="345">
        <f t="shared" si="24"/>
        <v>47.862874890000008</v>
      </c>
      <c r="X34" s="371">
        <f t="shared" si="17"/>
        <v>60.675369893465898</v>
      </c>
      <c r="Y34" s="372">
        <f t="shared" si="18"/>
        <v>-87.243938913103477</v>
      </c>
      <c r="AA34" s="371">
        <f t="shared" si="19"/>
        <v>44.513863180186057</v>
      </c>
      <c r="AB34" s="372">
        <f t="shared" si="20"/>
        <v>-0.51446373249087118</v>
      </c>
      <c r="AD34">
        <f t="shared" si="25"/>
        <v>0</v>
      </c>
      <c r="AE34">
        <f t="shared" si="21"/>
        <v>0</v>
      </c>
    </row>
    <row r="35" spans="1:31" x14ac:dyDescent="0.2">
      <c r="A35" s="373">
        <v>7.5857999999999999</v>
      </c>
      <c r="B35" s="390">
        <f t="shared" si="22"/>
        <v>7.5858000000000002E-3</v>
      </c>
      <c r="C35" s="363">
        <f t="shared" si="0"/>
        <v>1.0000496723845194</v>
      </c>
      <c r="D35" s="364">
        <f t="shared" si="1"/>
        <v>9.9669783269542948E-3</v>
      </c>
      <c r="E35" s="364">
        <f t="shared" si="2"/>
        <v>1.0000000400779407</v>
      </c>
      <c r="F35" s="365">
        <f t="shared" si="3"/>
        <v>2.8311813550498772E-4</v>
      </c>
      <c r="G35" s="364">
        <f t="shared" si="4"/>
        <v>1.0000000028434597</v>
      </c>
      <c r="H35" s="365">
        <f t="shared" si="5"/>
        <v>-7.5411668128572094E-5</v>
      </c>
      <c r="I35" s="363">
        <f t="shared" si="6"/>
        <v>25.763694681839233</v>
      </c>
      <c r="J35" s="366">
        <f t="shared" si="7"/>
        <v>1.5319722654755532</v>
      </c>
      <c r="K35" s="374">
        <f t="shared" si="8"/>
        <v>1.0000196387437299</v>
      </c>
      <c r="L35" s="375">
        <f t="shared" si="9"/>
        <v>6.2671241147962591E-3</v>
      </c>
      <c r="M35" s="363">
        <f t="shared" si="10"/>
        <v>1.0000000192476219</v>
      </c>
      <c r="N35" s="366">
        <f t="shared" si="11"/>
        <v>1.9620204676532312E-4</v>
      </c>
      <c r="O35" s="367">
        <f t="shared" si="12"/>
        <v>1.0000000020243833</v>
      </c>
      <c r="P35" s="368">
        <f t="shared" si="13"/>
        <v>8.6089929258413906E-5</v>
      </c>
      <c r="Q35" s="369">
        <f t="shared" si="14"/>
        <v>58.369872610046386</v>
      </c>
      <c r="R35" s="370">
        <f t="shared" si="15"/>
        <v>-87.991804709418489</v>
      </c>
      <c r="S35" s="392">
        <f t="shared" si="16"/>
        <v>92.008195290581511</v>
      </c>
      <c r="U35" s="345">
        <f t="shared" si="23"/>
        <v>1000000000</v>
      </c>
      <c r="V35" s="345">
        <f t="shared" si="24"/>
        <v>57.544361639999998</v>
      </c>
      <c r="X35" s="371">
        <f t="shared" si="17"/>
        <v>59.876681867202734</v>
      </c>
      <c r="Y35" s="372">
        <f t="shared" si="18"/>
        <v>-87.427707030494233</v>
      </c>
      <c r="AA35" s="371">
        <f t="shared" si="19"/>
        <v>44.513790656123284</v>
      </c>
      <c r="AB35" s="372">
        <f t="shared" si="20"/>
        <v>-0.56409767892426554</v>
      </c>
      <c r="AD35">
        <f t="shared" si="25"/>
        <v>0</v>
      </c>
      <c r="AE35">
        <f t="shared" si="21"/>
        <v>0</v>
      </c>
    </row>
    <row r="36" spans="1:31" x14ac:dyDescent="0.2">
      <c r="A36" s="373">
        <v>8.3176000000000005</v>
      </c>
      <c r="B36" s="390">
        <f t="shared" si="22"/>
        <v>8.3176000000000014E-3</v>
      </c>
      <c r="C36" s="363">
        <f t="shared" si="0"/>
        <v>1.0000597181180158</v>
      </c>
      <c r="D36" s="364">
        <f t="shared" si="1"/>
        <v>1.0928416746187691E-2</v>
      </c>
      <c r="E36" s="364">
        <f t="shared" si="2"/>
        <v>1.0000000481835374</v>
      </c>
      <c r="F36" s="365">
        <f t="shared" si="3"/>
        <v>3.1043046101284476E-4</v>
      </c>
      <c r="G36" s="364">
        <f t="shared" si="4"/>
        <v>1.0000000034185377</v>
      </c>
      <c r="H36" s="365">
        <f t="shared" si="5"/>
        <v>-8.2686610586323825E-5</v>
      </c>
      <c r="I36" s="363">
        <f t="shared" si="6"/>
        <v>28.2455311752766</v>
      </c>
      <c r="J36" s="366">
        <f t="shared" si="7"/>
        <v>1.5353850960088264</v>
      </c>
      <c r="K36" s="374">
        <f t="shared" si="8"/>
        <v>1.0000236105511882</v>
      </c>
      <c r="L36" s="375">
        <f t="shared" si="9"/>
        <v>6.8716936266251848E-3</v>
      </c>
      <c r="M36" s="363">
        <f t="shared" si="10"/>
        <v>1.0000000231403734</v>
      </c>
      <c r="N36" s="366">
        <f t="shared" si="11"/>
        <v>2.1512960267079537E-4</v>
      </c>
      <c r="O36" s="367">
        <f t="shared" si="12"/>
        <v>1.0000000024338065</v>
      </c>
      <c r="P36" s="368">
        <f t="shared" si="13"/>
        <v>9.4395000591302201E-5</v>
      </c>
      <c r="Q36" s="369">
        <f t="shared" si="14"/>
        <v>57.570987844259498</v>
      </c>
      <c r="R36" s="370">
        <f t="shared" si="15"/>
        <v>-88.20820483477398</v>
      </c>
      <c r="S36" s="392">
        <f t="shared" si="16"/>
        <v>91.79179516522602</v>
      </c>
      <c r="U36" s="345">
        <f t="shared" si="23"/>
        <v>1000000000</v>
      </c>
      <c r="V36" s="345">
        <f t="shared" si="24"/>
        <v>69.182469760000004</v>
      </c>
      <c r="X36" s="371">
        <f t="shared" si="17"/>
        <v>59.077884280932921</v>
      </c>
      <c r="Y36" s="372">
        <f t="shared" si="18"/>
        <v>-87.589693004049067</v>
      </c>
      <c r="AA36" s="371">
        <f t="shared" si="19"/>
        <v>44.513703476606203</v>
      </c>
      <c r="AB36" s="372">
        <f t="shared" si="20"/>
        <v>-0.61851183072491744</v>
      </c>
      <c r="AD36">
        <f t="shared" si="25"/>
        <v>0</v>
      </c>
      <c r="AE36">
        <f t="shared" si="21"/>
        <v>0</v>
      </c>
    </row>
    <row r="37" spans="1:31" x14ac:dyDescent="0.2">
      <c r="A37" s="373">
        <v>9.1201000000000008</v>
      </c>
      <c r="B37" s="390">
        <f t="shared" si="22"/>
        <v>9.1201000000000008E-3</v>
      </c>
      <c r="C37" s="363">
        <f t="shared" si="0"/>
        <v>1.0000717970546733</v>
      </c>
      <c r="D37" s="364">
        <f t="shared" si="1"/>
        <v>1.1982717492765195E-2</v>
      </c>
      <c r="E37" s="364">
        <f t="shared" si="2"/>
        <v>1.0000000579297719</v>
      </c>
      <c r="F37" s="365">
        <f t="shared" si="3"/>
        <v>3.4038145968642803E-4</v>
      </c>
      <c r="G37" s="364">
        <f t="shared" si="4"/>
        <v>1.0000000041100161</v>
      </c>
      <c r="H37" s="365">
        <f t="shared" si="5"/>
        <v>-9.0664393197640908E-5</v>
      </c>
      <c r="I37" s="363">
        <f t="shared" si="6"/>
        <v>30.967455259641323</v>
      </c>
      <c r="J37" s="366">
        <f t="shared" si="7"/>
        <v>1.5384987463708204</v>
      </c>
      <c r="K37" s="374">
        <f t="shared" si="8"/>
        <v>1.000028386263343</v>
      </c>
      <c r="L37" s="375">
        <f t="shared" si="9"/>
        <v>7.5346654704909E-3</v>
      </c>
      <c r="M37" s="363">
        <f t="shared" si="10"/>
        <v>1.000000027821049</v>
      </c>
      <c r="N37" s="366">
        <f t="shared" si="11"/>
        <v>2.3588577031783043E-4</v>
      </c>
      <c r="O37" s="367">
        <f t="shared" si="12"/>
        <v>1.0000000029261</v>
      </c>
      <c r="P37" s="368">
        <f t="shared" si="13"/>
        <v>1.0350243396262464E-4</v>
      </c>
      <c r="Q37" s="369">
        <f t="shared" si="14"/>
        <v>56.771809011136433</v>
      </c>
      <c r="R37" s="370">
        <f t="shared" si="15"/>
        <v>-88.409477439909182</v>
      </c>
      <c r="S37" s="392">
        <f t="shared" si="16"/>
        <v>91.590522560090818</v>
      </c>
      <c r="U37" s="345">
        <f t="shared" si="23"/>
        <v>1000000000</v>
      </c>
      <c r="V37" s="345">
        <f t="shared" si="24"/>
        <v>83.176224010000013</v>
      </c>
      <c r="X37" s="371">
        <f t="shared" si="17"/>
        <v>58.278810270837205</v>
      </c>
      <c r="Y37" s="372">
        <f t="shared" si="18"/>
        <v>-87.731295781048019</v>
      </c>
      <c r="AA37" s="371">
        <f t="shared" si="19"/>
        <v>44.513598653578853</v>
      </c>
      <c r="AB37" s="372">
        <f t="shared" si="20"/>
        <v>-0.67818165886115944</v>
      </c>
      <c r="AD37">
        <f t="shared" si="25"/>
        <v>0</v>
      </c>
      <c r="AE37">
        <f t="shared" si="21"/>
        <v>0</v>
      </c>
    </row>
    <row r="38" spans="1:31" x14ac:dyDescent="0.2">
      <c r="A38" s="373">
        <v>10</v>
      </c>
      <c r="B38" s="390">
        <f t="shared" si="22"/>
        <v>0.01</v>
      </c>
      <c r="C38" s="363">
        <f t="shared" si="0"/>
        <v>1.0000863185775133</v>
      </c>
      <c r="D38" s="364">
        <f t="shared" si="1"/>
        <v>1.3138673364525814E-2</v>
      </c>
      <c r="E38" s="364">
        <f t="shared" si="2"/>
        <v>1.0000000696470321</v>
      </c>
      <c r="F38" s="365">
        <f t="shared" si="3"/>
        <v>3.7322118949083461E-4</v>
      </c>
      <c r="G38" s="364">
        <f t="shared" si="4"/>
        <v>1.0000000049413353</v>
      </c>
      <c r="H38" s="365">
        <f t="shared" si="5"/>
        <v>-9.9411621744710621E-5</v>
      </c>
      <c r="I38" s="363">
        <f t="shared" si="6"/>
        <v>33.952192165127386</v>
      </c>
      <c r="J38" s="366">
        <f t="shared" si="7"/>
        <v>1.5413388875452365</v>
      </c>
      <c r="K38" s="374">
        <f t="shared" si="8"/>
        <v>1.0000341277596965</v>
      </c>
      <c r="L38" s="375">
        <f t="shared" si="9"/>
        <v>8.2615723852124383E-3</v>
      </c>
      <c r="M38" s="363">
        <f t="shared" si="10"/>
        <v>1.0000000334483192</v>
      </c>
      <c r="N38" s="366">
        <f t="shared" si="11"/>
        <v>2.5864384100273221E-4</v>
      </c>
      <c r="O38" s="367">
        <f t="shared" si="12"/>
        <v>1.0000000035179526</v>
      </c>
      <c r="P38" s="368">
        <f t="shared" si="13"/>
        <v>1.1348826650885978E-4</v>
      </c>
      <c r="Q38" s="369">
        <f t="shared" si="14"/>
        <v>55.972486782942362</v>
      </c>
      <c r="R38" s="370">
        <f t="shared" si="15"/>
        <v>-88.597283925901962</v>
      </c>
      <c r="S38" s="392">
        <f t="shared" si="16"/>
        <v>91.402716074098038</v>
      </c>
      <c r="U38" s="345">
        <f t="shared" si="23"/>
        <v>1000000000</v>
      </c>
      <c r="V38" s="345">
        <f t="shared" si="24"/>
        <v>100</v>
      </c>
      <c r="X38" s="371">
        <f t="shared" si="17"/>
        <v>57.479614061162145</v>
      </c>
      <c r="Y38" s="372">
        <f t="shared" si="18"/>
        <v>-87.853679126790936</v>
      </c>
      <c r="AA38" s="371">
        <f t="shared" si="19"/>
        <v>44.513472635059841</v>
      </c>
      <c r="AB38" s="372">
        <f t="shared" si="20"/>
        <v>-0.74360479911103006</v>
      </c>
      <c r="AD38">
        <f t="shared" si="25"/>
        <v>0</v>
      </c>
      <c r="AE38">
        <f t="shared" si="21"/>
        <v>0</v>
      </c>
    </row>
    <row r="39" spans="1:31" x14ac:dyDescent="0.2">
      <c r="A39" s="373">
        <v>10.965</v>
      </c>
      <c r="B39" s="390">
        <f t="shared" si="22"/>
        <v>1.0964999999999999E-2</v>
      </c>
      <c r="C39" s="363">
        <f t="shared" si="0"/>
        <v>1.0001037809770534</v>
      </c>
      <c r="D39" s="364">
        <f t="shared" si="1"/>
        <v>1.4406387641517773E-2</v>
      </c>
      <c r="E39" s="364">
        <f t="shared" si="2"/>
        <v>1.0000000837374794</v>
      </c>
      <c r="F39" s="365">
        <f t="shared" si="3"/>
        <v>4.0923703043247849E-4</v>
      </c>
      <c r="G39" s="364">
        <f t="shared" si="4"/>
        <v>1.0000000059410279</v>
      </c>
      <c r="H39" s="365">
        <f t="shared" si="5"/>
        <v>-1.0900484317042763E-4</v>
      </c>
      <c r="I39" s="363">
        <f t="shared" si="6"/>
        <v>37.225861446672234</v>
      </c>
      <c r="J39" s="366">
        <f t="shared" si="7"/>
        <v>1.5439300496762802</v>
      </c>
      <c r="K39" s="374">
        <f t="shared" si="8"/>
        <v>1.0000410320819011</v>
      </c>
      <c r="L39" s="375">
        <f t="shared" si="9"/>
        <v>9.058772424982809E-3</v>
      </c>
      <c r="M39" s="363">
        <f t="shared" si="10"/>
        <v>1.0000000402153237</v>
      </c>
      <c r="N39" s="366">
        <f t="shared" si="11"/>
        <v>2.8360297038006752E-4</v>
      </c>
      <c r="O39" s="367">
        <f t="shared" si="12"/>
        <v>1.0000000042296775</v>
      </c>
      <c r="P39" s="368">
        <f t="shared" si="13"/>
        <v>1.2443988419243992E-4</v>
      </c>
      <c r="Q39" s="369">
        <f t="shared" si="14"/>
        <v>55.172856428840937</v>
      </c>
      <c r="R39" s="370">
        <f t="shared" si="15"/>
        <v>-88.773248689903369</v>
      </c>
      <c r="S39" s="392">
        <f t="shared" si="16"/>
        <v>91.226751310096631</v>
      </c>
      <c r="U39" s="345">
        <f t="shared" si="23"/>
        <v>1000000000</v>
      </c>
      <c r="V39" s="345">
        <f t="shared" si="24"/>
        <v>120.23122499999999</v>
      </c>
      <c r="X39" s="371">
        <f t="shared" si="17"/>
        <v>56.680135244231174</v>
      </c>
      <c r="Y39" s="372">
        <f t="shared" si="18"/>
        <v>-87.957895636120071</v>
      </c>
      <c r="AA39" s="371">
        <f t="shared" si="19"/>
        <v>44.513321097889374</v>
      </c>
      <c r="AB39" s="372">
        <f t="shared" si="20"/>
        <v>-0.8153530537832997</v>
      </c>
      <c r="AD39">
        <f t="shared" si="25"/>
        <v>0</v>
      </c>
      <c r="AE39">
        <f t="shared" si="21"/>
        <v>0</v>
      </c>
    </row>
    <row r="40" spans="1:31" x14ac:dyDescent="0.2">
      <c r="A40" s="373">
        <v>12.023</v>
      </c>
      <c r="B40" s="390">
        <f t="shared" si="22"/>
        <v>1.2022999999999999E-2</v>
      </c>
      <c r="C40" s="363">
        <f t="shared" si="0"/>
        <v>1.0001247732878353</v>
      </c>
      <c r="D40" s="364">
        <f t="shared" si="1"/>
        <v>1.5796222052891783E-2</v>
      </c>
      <c r="E40" s="364">
        <f t="shared" si="2"/>
        <v>1.0000001006765449</v>
      </c>
      <c r="F40" s="365">
        <f t="shared" si="3"/>
        <v>4.4872382684237652E-4</v>
      </c>
      <c r="G40" s="364">
        <f t="shared" si="4"/>
        <v>1.000000007142825</v>
      </c>
      <c r="H40" s="365">
        <f t="shared" si="5"/>
        <v>-1.1952259264824706E-4</v>
      </c>
      <c r="I40" s="363">
        <f t="shared" si="6"/>
        <v>40.815263178004287</v>
      </c>
      <c r="J40" s="366">
        <f t="shared" si="7"/>
        <v>1.5462932366260842</v>
      </c>
      <c r="K40" s="374">
        <f t="shared" si="8"/>
        <v>1.0000493321647055</v>
      </c>
      <c r="L40" s="375">
        <f t="shared" si="9"/>
        <v>9.9327877998925691E-3</v>
      </c>
      <c r="M40" s="363">
        <f t="shared" si="10"/>
        <v>1.000000048350391</v>
      </c>
      <c r="N40" s="366">
        <f t="shared" si="11"/>
        <v>3.1096748694821178E-4</v>
      </c>
      <c r="O40" s="367">
        <f t="shared" si="12"/>
        <v>1.0000000050852893</v>
      </c>
      <c r="P40" s="368">
        <f t="shared" si="13"/>
        <v>1.3644694274023668E-4</v>
      </c>
      <c r="Q40" s="369">
        <f t="shared" si="14"/>
        <v>54.373189390530911</v>
      </c>
      <c r="R40" s="370">
        <f t="shared" si="15"/>
        <v>-88.93879960325981</v>
      </c>
      <c r="S40" s="392">
        <f t="shared" si="16"/>
        <v>91.06120039674019</v>
      </c>
      <c r="U40" s="345">
        <f t="shared" si="23"/>
        <v>1000000000</v>
      </c>
      <c r="V40" s="345">
        <f t="shared" si="24"/>
        <v>144.55252899999999</v>
      </c>
      <c r="X40" s="371">
        <f t="shared" si="17"/>
        <v>55.880650371843529</v>
      </c>
      <c r="Y40" s="372">
        <f t="shared" si="18"/>
        <v>-88.04478675373943</v>
      </c>
      <c r="AA40" s="371">
        <f t="shared" si="19"/>
        <v>44.513138931966992</v>
      </c>
      <c r="AB40" s="372">
        <f t="shared" si="20"/>
        <v>-0.89401284952039206</v>
      </c>
      <c r="AD40">
        <f t="shared" si="25"/>
        <v>0</v>
      </c>
      <c r="AE40">
        <f t="shared" si="21"/>
        <v>0</v>
      </c>
    </row>
    <row r="41" spans="1:31" x14ac:dyDescent="0.2">
      <c r="A41" s="373">
        <v>13.183</v>
      </c>
      <c r="B41" s="390">
        <f t="shared" si="22"/>
        <v>1.3183E-2</v>
      </c>
      <c r="C41" s="363">
        <f t="shared" si="0"/>
        <v>1.0001500095642213</v>
      </c>
      <c r="D41" s="364">
        <f t="shared" si="1"/>
        <v>1.7319977726916694E-2</v>
      </c>
      <c r="E41" s="364">
        <f t="shared" si="2"/>
        <v>1.0000001210406113</v>
      </c>
      <c r="F41" s="365">
        <f t="shared" si="3"/>
        <v>4.9201747724807545E-4</v>
      </c>
      <c r="G41" s="364">
        <f t="shared" si="4"/>
        <v>1.0000000085876202</v>
      </c>
      <c r="H41" s="365">
        <f t="shared" si="5"/>
        <v>-1.3105434062747769E-4</v>
      </c>
      <c r="I41" s="363">
        <f t="shared" si="6"/>
        <v>44.750931003048301</v>
      </c>
      <c r="J41" s="366">
        <f t="shared" si="7"/>
        <v>1.5484485628595681</v>
      </c>
      <c r="K41" s="374">
        <f t="shared" si="8"/>
        <v>1.0000593103949555</v>
      </c>
      <c r="L41" s="375">
        <f t="shared" si="9"/>
        <v>1.0891048036628062E-2</v>
      </c>
      <c r="M41" s="363">
        <f t="shared" si="10"/>
        <v>1.0000000581303312</v>
      </c>
      <c r="N41" s="366">
        <f t="shared" si="11"/>
        <v>3.4097016998334875E-4</v>
      </c>
      <c r="O41" s="367">
        <f t="shared" si="12"/>
        <v>1.0000000061139021</v>
      </c>
      <c r="P41" s="368">
        <f t="shared" si="13"/>
        <v>1.4961158158723143E-4</v>
      </c>
      <c r="Q41" s="369">
        <f t="shared" si="14"/>
        <v>53.573467508461512</v>
      </c>
      <c r="R41" s="370">
        <f t="shared" si="15"/>
        <v>-89.095344684380123</v>
      </c>
      <c r="S41" s="392">
        <f t="shared" si="16"/>
        <v>90.904655315619877</v>
      </c>
      <c r="U41" s="345">
        <f t="shared" si="23"/>
        <v>1000000000</v>
      </c>
      <c r="V41" s="345">
        <f t="shared" si="24"/>
        <v>173.79148899999998</v>
      </c>
      <c r="X41" s="371">
        <f t="shared" si="17"/>
        <v>55.081147478678787</v>
      </c>
      <c r="Y41" s="372">
        <f t="shared" si="18"/>
        <v>-88.11509261034405</v>
      </c>
      <c r="AA41" s="371">
        <f t="shared" si="19"/>
        <v>44.51291994306235</v>
      </c>
      <c r="AB41" s="372">
        <f t="shared" si="20"/>
        <v>-0.98025207403607795</v>
      </c>
      <c r="AD41">
        <f t="shared" si="25"/>
        <v>0</v>
      </c>
      <c r="AE41">
        <f t="shared" si="21"/>
        <v>0</v>
      </c>
    </row>
    <row r="42" spans="1:31" x14ac:dyDescent="0.2">
      <c r="A42" s="373">
        <v>14.454000000000001</v>
      </c>
      <c r="B42" s="390">
        <f t="shared" si="22"/>
        <v>1.4454E-2</v>
      </c>
      <c r="C42" s="363">
        <f t="shared" si="0"/>
        <v>1.0001803266701812</v>
      </c>
      <c r="D42" s="364">
        <f t="shared" si="1"/>
        <v>1.8989448452256145E-2</v>
      </c>
      <c r="E42" s="364">
        <f t="shared" si="2"/>
        <v>1.0000001455052621</v>
      </c>
      <c r="F42" s="365">
        <f t="shared" si="3"/>
        <v>5.3945388000870953E-4</v>
      </c>
      <c r="G42" s="364">
        <f t="shared" si="4"/>
        <v>1.0000000103233446</v>
      </c>
      <c r="H42" s="365">
        <f t="shared" si="5"/>
        <v>-1.4368955755424571E-4</v>
      </c>
      <c r="I42" s="363">
        <f t="shared" si="6"/>
        <v>49.063400078992998</v>
      </c>
      <c r="J42" s="366">
        <f t="shared" si="7"/>
        <v>1.5504131236827052</v>
      </c>
      <c r="K42" s="374">
        <f t="shared" si="8"/>
        <v>1.0000712977475452</v>
      </c>
      <c r="L42" s="375">
        <f t="shared" si="9"/>
        <v>1.1940980835949473E-2</v>
      </c>
      <c r="M42" s="363">
        <f t="shared" si="10"/>
        <v>1.000000069879597</v>
      </c>
      <c r="N42" s="366">
        <f t="shared" si="11"/>
        <v>3.7384379870561115E-4</v>
      </c>
      <c r="O42" s="367">
        <f t="shared" si="12"/>
        <v>1.0000000073496402</v>
      </c>
      <c r="P42" s="368">
        <f t="shared" si="13"/>
        <v>1.6403594016689302E-4</v>
      </c>
      <c r="Q42" s="369">
        <f t="shared" si="14"/>
        <v>52.774197118969603</v>
      </c>
      <c r="R42" s="370">
        <f t="shared" si="15"/>
        <v>-89.244118650703271</v>
      </c>
      <c r="S42" s="392">
        <f t="shared" si="16"/>
        <v>90.755881349296729</v>
      </c>
      <c r="U42" s="345">
        <f t="shared" si="23"/>
        <v>1000000000</v>
      </c>
      <c r="V42" s="345">
        <f t="shared" si="24"/>
        <v>208.91811600000003</v>
      </c>
      <c r="X42" s="371">
        <f t="shared" si="17"/>
        <v>54.282140159896656</v>
      </c>
      <c r="Y42" s="372">
        <f t="shared" si="18"/>
        <v>-88.169380456178175</v>
      </c>
      <c r="AA42" s="371">
        <f t="shared" si="19"/>
        <v>44.512656872352572</v>
      </c>
      <c r="AB42" s="372">
        <f t="shared" si="20"/>
        <v>-1.074738194525106</v>
      </c>
      <c r="AD42">
        <f t="shared" si="25"/>
        <v>0</v>
      </c>
      <c r="AE42">
        <f t="shared" si="21"/>
        <v>0</v>
      </c>
    </row>
    <row r="43" spans="1:31" x14ac:dyDescent="0.2">
      <c r="A43" s="373">
        <v>15.849</v>
      </c>
      <c r="B43" s="390">
        <f t="shared" si="22"/>
        <v>1.5848999999999999E-2</v>
      </c>
      <c r="C43" s="363">
        <f t="shared" si="0"/>
        <v>1.0002168101809237</v>
      </c>
      <c r="D43" s="364">
        <f t="shared" si="1"/>
        <v>2.0821672169040691E-2</v>
      </c>
      <c r="E43" s="364">
        <f t="shared" si="2"/>
        <v>1.0000001749469289</v>
      </c>
      <c r="F43" s="365">
        <f t="shared" si="3"/>
        <v>5.9151822169948762E-4</v>
      </c>
      <c r="G43" s="364">
        <f t="shared" si="4"/>
        <v>1.0000000124121797</v>
      </c>
      <c r="H43" s="365">
        <f t="shared" si="5"/>
        <v>-1.5755747851846691E-4</v>
      </c>
      <c r="I43" s="363">
        <f t="shared" si="6"/>
        <v>53.796779166333103</v>
      </c>
      <c r="J43" s="366">
        <f t="shared" si="7"/>
        <v>1.5522067827178885</v>
      </c>
      <c r="K43" s="374">
        <f t="shared" si="8"/>
        <v>1.0000857235814933</v>
      </c>
      <c r="L43" s="375">
        <f t="shared" si="9"/>
        <v>1.3093315711779404E-2</v>
      </c>
      <c r="M43" s="363">
        <f t="shared" si="10"/>
        <v>1.0000000840190988</v>
      </c>
      <c r="N43" s="366">
        <f t="shared" si="11"/>
        <v>4.0992460978509252E-4</v>
      </c>
      <c r="O43" s="367">
        <f t="shared" si="12"/>
        <v>1.0000000088367733</v>
      </c>
      <c r="P43" s="368">
        <f t="shared" si="13"/>
        <v>1.7986755321696126E-4</v>
      </c>
      <c r="Q43" s="369">
        <f t="shared" si="14"/>
        <v>51.974033046092444</v>
      </c>
      <c r="R43" s="370">
        <f t="shared" si="15"/>
        <v>-89.386628373699153</v>
      </c>
      <c r="S43" s="392">
        <f t="shared" si="16"/>
        <v>90.613371626300847</v>
      </c>
      <c r="U43" s="345">
        <f t="shared" si="23"/>
        <v>1000000000</v>
      </c>
      <c r="V43" s="345">
        <f t="shared" si="24"/>
        <v>251.19080099999999</v>
      </c>
      <c r="X43" s="371">
        <f t="shared" si="17"/>
        <v>53.48229265490189</v>
      </c>
      <c r="Y43" s="372">
        <f t="shared" si="18"/>
        <v>-88.208192902049504</v>
      </c>
      <c r="AA43" s="371">
        <f t="shared" si="19"/>
        <v>44.512340304470172</v>
      </c>
      <c r="AB43" s="372">
        <f t="shared" si="20"/>
        <v>-1.1784354716496404</v>
      </c>
      <c r="AD43">
        <f t="shared" si="25"/>
        <v>0</v>
      </c>
      <c r="AE43">
        <f t="shared" si="21"/>
        <v>0</v>
      </c>
    </row>
    <row r="44" spans="1:31" x14ac:dyDescent="0.2">
      <c r="A44" s="373">
        <v>17.378</v>
      </c>
      <c r="B44" s="390">
        <f t="shared" si="22"/>
        <v>1.7378000000000001E-2</v>
      </c>
      <c r="C44" s="363">
        <f t="shared" si="0"/>
        <v>1.0002606549681889</v>
      </c>
      <c r="D44" s="364">
        <f t="shared" si="1"/>
        <v>2.2829733387354459E-2</v>
      </c>
      <c r="E44" s="364">
        <f t="shared" si="2"/>
        <v>1.0000002103304593</v>
      </c>
      <c r="F44" s="365">
        <f t="shared" si="3"/>
        <v>6.4858372226718854E-4</v>
      </c>
      <c r="G44" s="364">
        <f t="shared" si="4"/>
        <v>1.0000000149225796</v>
      </c>
      <c r="H44" s="365">
        <f t="shared" si="5"/>
        <v>-1.7275751511840147E-4</v>
      </c>
      <c r="I44" s="363">
        <f t="shared" si="6"/>
        <v>58.984999465206045</v>
      </c>
      <c r="J44" s="366">
        <f t="shared" si="7"/>
        <v>1.553842051664249</v>
      </c>
      <c r="K44" s="374">
        <f t="shared" si="8"/>
        <v>1.0001030605362433</v>
      </c>
      <c r="L44" s="375">
        <f t="shared" si="9"/>
        <v>1.4356300762600582E-2</v>
      </c>
      <c r="M44" s="363">
        <f t="shared" si="10"/>
        <v>1.0000001010122093</v>
      </c>
      <c r="N44" s="366">
        <f t="shared" si="11"/>
        <v>4.4947124664919798E-4</v>
      </c>
      <c r="O44" s="367">
        <f t="shared" si="12"/>
        <v>1.0000000106240368</v>
      </c>
      <c r="P44" s="368">
        <f t="shared" si="13"/>
        <v>1.9721990899278428E-4</v>
      </c>
      <c r="Q44" s="369">
        <f t="shared" si="14"/>
        <v>51.174096949753149</v>
      </c>
      <c r="R44" s="370">
        <f t="shared" si="15"/>
        <v>-89.523873460408453</v>
      </c>
      <c r="S44" s="392">
        <f t="shared" si="16"/>
        <v>90.476126539591547</v>
      </c>
      <c r="U44" s="345">
        <f t="shared" si="23"/>
        <v>1000000000</v>
      </c>
      <c r="V44" s="345">
        <f t="shared" si="24"/>
        <v>301.99488400000001</v>
      </c>
      <c r="X44" s="371">
        <f t="shared" si="17"/>
        <v>52.682736985032534</v>
      </c>
      <c r="Y44" s="372">
        <f t="shared" si="18"/>
        <v>-88.231789053457817</v>
      </c>
      <c r="AA44" s="371">
        <f t="shared" si="19"/>
        <v>44.511959878000241</v>
      </c>
      <c r="AB44" s="372">
        <f t="shared" si="20"/>
        <v>-1.2920844069506343</v>
      </c>
      <c r="AD44">
        <f t="shared" si="25"/>
        <v>0</v>
      </c>
      <c r="AE44">
        <f t="shared" si="21"/>
        <v>0</v>
      </c>
    </row>
    <row r="45" spans="1:31" x14ac:dyDescent="0.2">
      <c r="A45" s="373">
        <v>19.055</v>
      </c>
      <c r="B45" s="390">
        <f t="shared" si="22"/>
        <v>1.9054999999999999E-2</v>
      </c>
      <c r="C45" s="363">
        <f t="shared" si="0"/>
        <v>1.0003133811571983</v>
      </c>
      <c r="D45" s="364">
        <f t="shared" si="1"/>
        <v>2.5031953151374936E-2</v>
      </c>
      <c r="E45" s="364">
        <f t="shared" si="2"/>
        <v>1.0000002528834928</v>
      </c>
      <c r="F45" s="365">
        <f t="shared" si="3"/>
        <v>7.1117288969958824E-4</v>
      </c>
      <c r="G45" s="364">
        <f t="shared" si="4"/>
        <v>1.0000000179416437</v>
      </c>
      <c r="H45" s="365">
        <f t="shared" si="5"/>
        <v>-1.8942884359279049E-4</v>
      </c>
      <c r="I45" s="363">
        <f t="shared" si="6"/>
        <v>64.675565922721901</v>
      </c>
      <c r="J45" s="366">
        <f t="shared" si="7"/>
        <v>1.5553339209464161</v>
      </c>
      <c r="K45" s="374">
        <f t="shared" si="8"/>
        <v>1.0001239099526877</v>
      </c>
      <c r="L45" s="375">
        <f t="shared" si="9"/>
        <v>1.5741484003118335E-2</v>
      </c>
      <c r="M45" s="363">
        <f t="shared" si="10"/>
        <v>1.0000001214485086</v>
      </c>
      <c r="N45" s="366">
        <f t="shared" si="11"/>
        <v>4.9284581011702392E-4</v>
      </c>
      <c r="O45" s="367">
        <f t="shared" si="12"/>
        <v>1.0000000127734403</v>
      </c>
      <c r="P45" s="368">
        <f t="shared" si="13"/>
        <v>2.1625189105240874E-4</v>
      </c>
      <c r="Q45" s="369">
        <f t="shared" si="14"/>
        <v>50.373847227259752</v>
      </c>
      <c r="R45" s="370">
        <f t="shared" si="15"/>
        <v>-89.657108751814889</v>
      </c>
      <c r="S45" s="392">
        <f t="shared" si="16"/>
        <v>90.342891248185111</v>
      </c>
      <c r="U45" s="345">
        <f t="shared" si="23"/>
        <v>1000000000</v>
      </c>
      <c r="V45" s="345">
        <f t="shared" si="24"/>
        <v>363.09302500000001</v>
      </c>
      <c r="X45" s="371">
        <f t="shared" si="17"/>
        <v>51.882944727824309</v>
      </c>
      <c r="Y45" s="372">
        <f t="shared" si="18"/>
        <v>-88.24038689281204</v>
      </c>
      <c r="AA45" s="371">
        <f t="shared" si="19"/>
        <v>44.51150241271506</v>
      </c>
      <c r="AB45" s="372">
        <f t="shared" si="20"/>
        <v>-1.4167218590028527</v>
      </c>
      <c r="AD45">
        <f t="shared" si="25"/>
        <v>0</v>
      </c>
      <c r="AE45">
        <f t="shared" ref="AE45:AE76" si="26">IF(AD45&gt;0,S43,0)</f>
        <v>0</v>
      </c>
    </row>
    <row r="46" spans="1:31" x14ac:dyDescent="0.2">
      <c r="A46" s="373">
        <v>20.893000000000001</v>
      </c>
      <c r="B46" s="390">
        <f t="shared" si="22"/>
        <v>2.0893000000000002E-2</v>
      </c>
      <c r="C46" s="363">
        <f t="shared" si="0"/>
        <v>1.0003767409479354</v>
      </c>
      <c r="D46" s="364">
        <f t="shared" si="1"/>
        <v>2.7445316825618009E-2</v>
      </c>
      <c r="E46" s="364">
        <f t="shared" si="2"/>
        <v>1.0000003040214125</v>
      </c>
      <c r="F46" s="365">
        <f t="shared" si="3"/>
        <v>7.7977090936432554E-4</v>
      </c>
      <c r="G46" s="364">
        <f t="shared" si="4"/>
        <v>1.0000000215697906</v>
      </c>
      <c r="H46" s="365">
        <f t="shared" si="5"/>
        <v>-2.0770069900872941E-4</v>
      </c>
      <c r="I46" s="363">
        <f t="shared" si="6"/>
        <v>70.912591435816097</v>
      </c>
      <c r="J46" s="366">
        <f t="shared" si="7"/>
        <v>1.5566939914197835</v>
      </c>
      <c r="K46" s="374">
        <f t="shared" si="8"/>
        <v>1.0001489650727995</v>
      </c>
      <c r="L46" s="375">
        <f t="shared" si="9"/>
        <v>1.7259581859879611E-2</v>
      </c>
      <c r="M46" s="363">
        <f t="shared" si="10"/>
        <v>1.0000001460077412</v>
      </c>
      <c r="N46" s="366">
        <f t="shared" si="11"/>
        <v>5.4038453645676213E-4</v>
      </c>
      <c r="O46" s="367">
        <f t="shared" si="12"/>
        <v>1.0000000153564768</v>
      </c>
      <c r="P46" s="368">
        <f t="shared" si="13"/>
        <v>2.3711103412272933E-4</v>
      </c>
      <c r="Q46" s="369">
        <f t="shared" si="14"/>
        <v>49.573852537200686</v>
      </c>
      <c r="R46" s="370">
        <f t="shared" si="15"/>
        <v>-89.787365435246414</v>
      </c>
      <c r="S46" s="392">
        <f t="shared" si="16"/>
        <v>90.212634564753586</v>
      </c>
      <c r="U46" s="345">
        <f t="shared" si="23"/>
        <v>1000000000</v>
      </c>
      <c r="V46" s="345">
        <f t="shared" si="24"/>
        <v>436.51744900000006</v>
      </c>
      <c r="X46" s="371">
        <f t="shared" si="17"/>
        <v>51.083499730825281</v>
      </c>
      <c r="Y46" s="372">
        <f t="shared" si="18"/>
        <v>-88.234056359071531</v>
      </c>
      <c r="AA46" s="371">
        <f t="shared" si="19"/>
        <v>44.51095271965503</v>
      </c>
      <c r="AB46" s="372">
        <f t="shared" si="20"/>
        <v>-1.5533090761748902</v>
      </c>
      <c r="AD46">
        <f t="shared" si="25"/>
        <v>0</v>
      </c>
      <c r="AE46">
        <f t="shared" si="26"/>
        <v>0</v>
      </c>
    </row>
    <row r="47" spans="1:31" x14ac:dyDescent="0.2">
      <c r="A47" s="373">
        <v>22.909000000000002</v>
      </c>
      <c r="B47" s="390">
        <f t="shared" si="22"/>
        <v>2.2909000000000002E-2</v>
      </c>
      <c r="C47" s="363">
        <f t="shared" si="0"/>
        <v>1.0004529361038579</v>
      </c>
      <c r="D47" s="364">
        <f t="shared" si="1"/>
        <v>3.0092032521805739E-2</v>
      </c>
      <c r="E47" s="364">
        <f t="shared" si="2"/>
        <v>1.0000003655230889</v>
      </c>
      <c r="F47" s="365">
        <f t="shared" si="3"/>
        <v>8.5501225435279386E-4</v>
      </c>
      <c r="G47" s="364">
        <f t="shared" si="4"/>
        <v>1.0000000259332282</v>
      </c>
      <c r="H47" s="365">
        <f t="shared" si="5"/>
        <v>-2.2774208106779933E-4</v>
      </c>
      <c r="I47" s="363">
        <f t="shared" si="6"/>
        <v>77.753763389989103</v>
      </c>
      <c r="J47" s="366">
        <f t="shared" si="7"/>
        <v>1.5579348584042574</v>
      </c>
      <c r="K47" s="374">
        <f t="shared" si="8"/>
        <v>1.0001790971053195</v>
      </c>
      <c r="L47" s="375">
        <f t="shared" si="9"/>
        <v>1.8924607239940709E-2</v>
      </c>
      <c r="M47" s="363">
        <f t="shared" si="10"/>
        <v>1.0000001755442192</v>
      </c>
      <c r="N47" s="366">
        <f t="shared" si="11"/>
        <v>5.9252711922271138E-4</v>
      </c>
      <c r="O47" s="367">
        <f t="shared" si="12"/>
        <v>1.0000000184629989</v>
      </c>
      <c r="P47" s="368">
        <f t="shared" si="13"/>
        <v>2.5999026823049026E-4</v>
      </c>
      <c r="Q47" s="369">
        <f t="shared" si="14"/>
        <v>48.773491715997878</v>
      </c>
      <c r="R47" s="370">
        <f t="shared" si="15"/>
        <v>-89.915844297016761</v>
      </c>
      <c r="S47" s="392">
        <f t="shared" si="16"/>
        <v>90.084155702983239</v>
      </c>
      <c r="U47" s="345">
        <f t="shared" si="23"/>
        <v>1000000000</v>
      </c>
      <c r="V47" s="345">
        <f t="shared" si="24"/>
        <v>524.82228100000009</v>
      </c>
      <c r="X47" s="371">
        <f t="shared" si="17"/>
        <v>50.283799912788353</v>
      </c>
      <c r="Y47" s="372">
        <f t="shared" si="18"/>
        <v>-88.212741423060379</v>
      </c>
      <c r="AA47" s="371">
        <f t="shared" si="19"/>
        <v>44.510291716489149</v>
      </c>
      <c r="AB47" s="372">
        <f t="shared" si="20"/>
        <v>-1.7031028739563743</v>
      </c>
      <c r="AD47">
        <f t="shared" si="25"/>
        <v>0</v>
      </c>
      <c r="AE47">
        <f t="shared" si="26"/>
        <v>0</v>
      </c>
    </row>
    <row r="48" spans="1:31" x14ac:dyDescent="0.2">
      <c r="A48" s="373">
        <v>25.119</v>
      </c>
      <c r="B48" s="390">
        <f t="shared" si="22"/>
        <v>2.5118999999999999E-2</v>
      </c>
      <c r="C48" s="363">
        <f t="shared" si="0"/>
        <v>1.0005445145465921</v>
      </c>
      <c r="D48" s="364">
        <f t="shared" si="1"/>
        <v>3.2992956256381767E-2</v>
      </c>
      <c r="E48" s="364">
        <f t="shared" si="2"/>
        <v>1.0000004394477311</v>
      </c>
      <c r="F48" s="365">
        <f t="shared" si="3"/>
        <v>9.3749407475806614E-4</v>
      </c>
      <c r="G48" s="364">
        <f t="shared" si="4"/>
        <v>1.0000000311780544</v>
      </c>
      <c r="H48" s="365">
        <f t="shared" si="5"/>
        <v>-2.4971204829278874E-4</v>
      </c>
      <c r="I48" s="363">
        <f t="shared" si="6"/>
        <v>85.253376825276476</v>
      </c>
      <c r="J48" s="366">
        <f t="shared" si="7"/>
        <v>1.5590663171484125</v>
      </c>
      <c r="K48" s="374">
        <f t="shared" si="8"/>
        <v>1.0002153144269179</v>
      </c>
      <c r="L48" s="375">
        <f t="shared" si="9"/>
        <v>2.0749737368434898E-2</v>
      </c>
      <c r="M48" s="363">
        <f t="shared" si="10"/>
        <v>1.0000002110468877</v>
      </c>
      <c r="N48" s="366">
        <f t="shared" si="11"/>
        <v>6.496873872923987E-4</v>
      </c>
      <c r="O48" s="367">
        <f t="shared" si="12"/>
        <v>1.0000000221970198</v>
      </c>
      <c r="P48" s="368">
        <f t="shared" si="13"/>
        <v>2.8507117456788697E-4</v>
      </c>
      <c r="Q48" s="369">
        <f t="shared" si="14"/>
        <v>47.973208108021367</v>
      </c>
      <c r="R48" s="370">
        <f t="shared" si="15"/>
        <v>-90.043555539549587</v>
      </c>
      <c r="S48" s="392">
        <f t="shared" si="16"/>
        <v>89.956444460450413</v>
      </c>
      <c r="U48" s="345">
        <f t="shared" si="23"/>
        <v>1000000000</v>
      </c>
      <c r="V48" s="345">
        <f t="shared" si="24"/>
        <v>630.96416099999999</v>
      </c>
      <c r="X48" s="371">
        <f t="shared" si="17"/>
        <v>49.484310693327053</v>
      </c>
      <c r="Y48" s="372">
        <f t="shared" si="18"/>
        <v>-88.176272022443314</v>
      </c>
      <c r="AA48" s="371">
        <f t="shared" si="19"/>
        <v>44.509497327973939</v>
      </c>
      <c r="AB48" s="372">
        <f t="shared" si="20"/>
        <v>-1.8672835171062634</v>
      </c>
      <c r="AD48">
        <f t="shared" si="25"/>
        <v>0</v>
      </c>
      <c r="AE48">
        <f t="shared" si="26"/>
        <v>0</v>
      </c>
    </row>
    <row r="49" spans="1:31" x14ac:dyDescent="0.2">
      <c r="A49" s="373">
        <v>27.542000000000002</v>
      </c>
      <c r="B49" s="390">
        <f t="shared" si="22"/>
        <v>2.7542000000000001E-2</v>
      </c>
      <c r="C49" s="363">
        <f t="shared" si="0"/>
        <v>1.0006545937375906</v>
      </c>
      <c r="D49" s="364">
        <f t="shared" si="1"/>
        <v>3.6172831226430079E-2</v>
      </c>
      <c r="E49" s="364">
        <f t="shared" si="2"/>
        <v>1.0000005283156348</v>
      </c>
      <c r="F49" s="365">
        <f t="shared" si="3"/>
        <v>1.0279254857775803E-3</v>
      </c>
      <c r="G49" s="364">
        <f t="shared" si="4"/>
        <v>1.0000000374830795</v>
      </c>
      <c r="H49" s="365">
        <f t="shared" si="5"/>
        <v>-2.7379948266934018E-4</v>
      </c>
      <c r="I49" s="363">
        <f t="shared" si="6"/>
        <v>93.475908012856948</v>
      </c>
      <c r="J49" s="366">
        <f t="shared" si="7"/>
        <v>1.5600981790413808</v>
      </c>
      <c r="K49" s="374">
        <f t="shared" si="8"/>
        <v>1.0002588510515331</v>
      </c>
      <c r="L49" s="375">
        <f t="shared" si="9"/>
        <v>2.2750614378873324E-2</v>
      </c>
      <c r="M49" s="363">
        <f t="shared" si="10"/>
        <v>1.0000002537261321</v>
      </c>
      <c r="N49" s="366">
        <f t="shared" si="11"/>
        <v>7.1235676227880207E-4</v>
      </c>
      <c r="O49" s="367">
        <f t="shared" si="12"/>
        <v>1.0000000266858431</v>
      </c>
      <c r="P49" s="368">
        <f t="shared" si="13"/>
        <v>3.1256938079581931E-4</v>
      </c>
      <c r="Q49" s="369">
        <f t="shared" si="14"/>
        <v>47.172868978315279</v>
      </c>
      <c r="R49" s="370">
        <f t="shared" si="15"/>
        <v>-90.171593470338266</v>
      </c>
      <c r="S49" s="392">
        <f t="shared" si="16"/>
        <v>89.828406529661734</v>
      </c>
      <c r="U49" s="345">
        <f t="shared" si="23"/>
        <v>1000000000</v>
      </c>
      <c r="V49" s="345">
        <f t="shared" si="24"/>
        <v>758.56176400000004</v>
      </c>
      <c r="X49" s="371">
        <f t="shared" si="17"/>
        <v>48.684926338742997</v>
      </c>
      <c r="Y49" s="372">
        <f t="shared" si="18"/>
        <v>-88.124342236560011</v>
      </c>
      <c r="AA49" s="371">
        <f t="shared" si="19"/>
        <v>44.5085425528519</v>
      </c>
      <c r="AB49" s="372">
        <f t="shared" si="20"/>
        <v>-2.0472512337782485</v>
      </c>
      <c r="AD49">
        <f t="shared" si="25"/>
        <v>0</v>
      </c>
      <c r="AE49">
        <f t="shared" si="26"/>
        <v>0</v>
      </c>
    </row>
    <row r="50" spans="1:31" x14ac:dyDescent="0.2">
      <c r="A50" s="373">
        <v>30.2</v>
      </c>
      <c r="B50" s="390">
        <f t="shared" si="22"/>
        <v>3.0199999999999998E-2</v>
      </c>
      <c r="C50" s="363">
        <f t="shared" si="0"/>
        <v>1.0007869842598187</v>
      </c>
      <c r="D50" s="364">
        <f t="shared" si="1"/>
        <v>3.9660269439309684E-2</v>
      </c>
      <c r="E50" s="364">
        <f t="shared" si="2"/>
        <v>1.0000006352086126</v>
      </c>
      <c r="F50" s="365">
        <f t="shared" si="3"/>
        <v>1.1271275672889848E-3</v>
      </c>
      <c r="G50" s="364">
        <f t="shared" si="4"/>
        <v>1.0000000450669535</v>
      </c>
      <c r="H50" s="365">
        <f t="shared" si="5"/>
        <v>-3.0022308963793473E-4</v>
      </c>
      <c r="I50" s="363">
        <f t="shared" si="6"/>
        <v>102.49601474320303</v>
      </c>
      <c r="J50" s="366">
        <f t="shared" si="7"/>
        <v>1.5610396951054404</v>
      </c>
      <c r="K50" s="374">
        <f t="shared" si="8"/>
        <v>1.0003112157032115</v>
      </c>
      <c r="L50" s="375">
        <f t="shared" si="9"/>
        <v>2.4945340725770263E-2</v>
      </c>
      <c r="M50" s="363">
        <f t="shared" si="10"/>
        <v>1.0000003050620088</v>
      </c>
      <c r="N50" s="366">
        <f t="shared" si="11"/>
        <v>7.811042583891829E-4</v>
      </c>
      <c r="O50" s="367">
        <f t="shared" si="12"/>
        <v>1.0000000320851345</v>
      </c>
      <c r="P50" s="368">
        <f t="shared" si="13"/>
        <v>3.4273456104008177E-4</v>
      </c>
      <c r="Q50" s="369">
        <f t="shared" si="14"/>
        <v>46.372029344098422</v>
      </c>
      <c r="R50" s="370">
        <f t="shared" si="15"/>
        <v>-90.30110268081269</v>
      </c>
      <c r="S50" s="392">
        <f t="shared" si="16"/>
        <v>89.69889731918731</v>
      </c>
      <c r="U50" s="345">
        <f t="shared" si="23"/>
        <v>1000000000</v>
      </c>
      <c r="V50" s="345">
        <f t="shared" si="24"/>
        <v>912.04</v>
      </c>
      <c r="X50" s="371">
        <f t="shared" si="17"/>
        <v>47.885234858298411</v>
      </c>
      <c r="Y50" s="372">
        <f t="shared" si="18"/>
        <v>-88.056477517812709</v>
      </c>
      <c r="AA50" s="371">
        <f t="shared" si="19"/>
        <v>44.507394399079644</v>
      </c>
      <c r="AB50" s="372">
        <f t="shared" si="20"/>
        <v>-2.2446251629999732</v>
      </c>
      <c r="AD50">
        <f t="shared" si="25"/>
        <v>0</v>
      </c>
      <c r="AE50">
        <f t="shared" si="26"/>
        <v>0</v>
      </c>
    </row>
    <row r="51" spans="1:31" x14ac:dyDescent="0.2">
      <c r="A51" s="373">
        <v>33.113</v>
      </c>
      <c r="B51" s="390">
        <f t="shared" si="22"/>
        <v>3.3112999999999997E-2</v>
      </c>
      <c r="C51" s="363">
        <f t="shared" si="0"/>
        <v>1.000946051312559</v>
      </c>
      <c r="D51" s="364">
        <f t="shared" si="1"/>
        <v>4.3481169946150602E-2</v>
      </c>
      <c r="E51" s="364">
        <f t="shared" si="2"/>
        <v>1.0000007636590844</v>
      </c>
      <c r="F51" s="365">
        <f t="shared" si="3"/>
        <v>1.2358467529660156E-3</v>
      </c>
      <c r="G51" s="364">
        <f t="shared" si="4"/>
        <v>1.0000000541802956</v>
      </c>
      <c r="H51" s="365">
        <f t="shared" si="5"/>
        <v>-3.2918169227755077E-4</v>
      </c>
      <c r="I51" s="363">
        <f t="shared" si="6"/>
        <v>112.38156839628353</v>
      </c>
      <c r="J51" s="366">
        <f t="shared" si="7"/>
        <v>1.5618979530559027</v>
      </c>
      <c r="K51" s="374">
        <f t="shared" si="8"/>
        <v>1.0003741373051438</v>
      </c>
      <c r="L51" s="375">
        <f t="shared" si="9"/>
        <v>2.735034527890148E-2</v>
      </c>
      <c r="M51" s="363">
        <f t="shared" si="10"/>
        <v>1.0000003667509814</v>
      </c>
      <c r="N51" s="366">
        <f t="shared" si="11"/>
        <v>8.5644716040827475E-4</v>
      </c>
      <c r="O51" s="367">
        <f t="shared" si="12"/>
        <v>1.0000000385733214</v>
      </c>
      <c r="P51" s="368">
        <f t="shared" si="13"/>
        <v>3.7579369175551048E-4</v>
      </c>
      <c r="Q51" s="369">
        <f t="shared" si="14"/>
        <v>45.571433659801343</v>
      </c>
      <c r="R51" s="370">
        <f t="shared" si="15"/>
        <v>-90.433043135822473</v>
      </c>
      <c r="S51" s="392">
        <f t="shared" si="16"/>
        <v>89.566956864177527</v>
      </c>
      <c r="U51" s="345">
        <f t="shared" si="23"/>
        <v>1000000000</v>
      </c>
      <c r="V51" s="345">
        <f t="shared" si="24"/>
        <v>1096.470769</v>
      </c>
      <c r="X51" s="371">
        <f t="shared" si="17"/>
        <v>47.086018478183583</v>
      </c>
      <c r="Y51" s="372">
        <f t="shared" si="18"/>
        <v>-87.972172295709214</v>
      </c>
      <c r="AA51" s="371">
        <f t="shared" si="19"/>
        <v>44.506015094897371</v>
      </c>
      <c r="AB51" s="372">
        <f t="shared" si="20"/>
        <v>-2.4608708401132708</v>
      </c>
      <c r="AD51">
        <f t="shared" si="25"/>
        <v>0</v>
      </c>
      <c r="AE51">
        <f t="shared" si="26"/>
        <v>0</v>
      </c>
    </row>
    <row r="52" spans="1:31" x14ac:dyDescent="0.2">
      <c r="A52" s="373">
        <v>36.308</v>
      </c>
      <c r="B52" s="390">
        <f t="shared" si="22"/>
        <v>3.6308E-2</v>
      </c>
      <c r="C52" s="363">
        <f t="shared" si="0"/>
        <v>1.0011373150263425</v>
      </c>
      <c r="D52" s="364">
        <f t="shared" si="1"/>
        <v>4.7670497519241274E-2</v>
      </c>
      <c r="E52" s="364">
        <f t="shared" si="2"/>
        <v>1.0000009181361433</v>
      </c>
      <c r="F52" s="365">
        <f t="shared" si="3"/>
        <v>1.3550907282835647E-3</v>
      </c>
      <c r="G52" s="364">
        <f t="shared" si="4"/>
        <v>1.0000000651401815</v>
      </c>
      <c r="H52" s="365">
        <f t="shared" si="5"/>
        <v>-3.6094370174509917E-4</v>
      </c>
      <c r="I52" s="363">
        <f t="shared" si="6"/>
        <v>123.22419612203635</v>
      </c>
      <c r="J52" s="366">
        <f t="shared" si="7"/>
        <v>1.5626809484185995</v>
      </c>
      <c r="K52" s="374">
        <f t="shared" si="8"/>
        <v>1.0004498028282984</v>
      </c>
      <c r="L52" s="375">
        <f t="shared" si="9"/>
        <v>2.9987807216748881E-2</v>
      </c>
      <c r="M52" s="363">
        <f t="shared" si="10"/>
        <v>1.0000004409393564</v>
      </c>
      <c r="N52" s="366">
        <f t="shared" si="11"/>
        <v>9.3908380280057456E-4</v>
      </c>
      <c r="O52" s="367">
        <f t="shared" si="12"/>
        <v>1.0000000463761436</v>
      </c>
      <c r="P52" s="368">
        <f t="shared" si="13"/>
        <v>4.1205319115627143E-4</v>
      </c>
      <c r="Q52" s="369">
        <f t="shared" si="14"/>
        <v>44.770413673236916</v>
      </c>
      <c r="R52" s="370">
        <f t="shared" si="15"/>
        <v>-90.568620716607469</v>
      </c>
      <c r="S52" s="392">
        <f t="shared" si="16"/>
        <v>89.431379283392531</v>
      </c>
      <c r="U52" s="345">
        <f t="shared" si="23"/>
        <v>1000000000</v>
      </c>
      <c r="V52" s="345">
        <f t="shared" si="24"/>
        <v>1318.2708640000001</v>
      </c>
      <c r="X52" s="371">
        <f t="shared" si="17"/>
        <v>46.28665668919966</v>
      </c>
      <c r="Y52" s="372">
        <f t="shared" si="18"/>
        <v>-87.870653918431202</v>
      </c>
      <c r="AA52" s="371">
        <f t="shared" si="19"/>
        <v>44.504356897316868</v>
      </c>
      <c r="AB52" s="372">
        <f t="shared" si="20"/>
        <v>-2.6979667981762798</v>
      </c>
      <c r="AD52">
        <f t="shared" si="25"/>
        <v>0</v>
      </c>
      <c r="AE52">
        <f t="shared" si="26"/>
        <v>0</v>
      </c>
    </row>
    <row r="53" spans="1:31" x14ac:dyDescent="0.2">
      <c r="A53" s="373">
        <v>39.811</v>
      </c>
      <c r="B53" s="390">
        <f t="shared" si="22"/>
        <v>3.9810999999999999E-2</v>
      </c>
      <c r="C53" s="363">
        <f t="shared" si="0"/>
        <v>1.0013672011309018</v>
      </c>
      <c r="D53" s="364">
        <f t="shared" si="1"/>
        <v>5.2261749816956284E-2</v>
      </c>
      <c r="E53" s="364">
        <f t="shared" si="2"/>
        <v>1.0000011038461916</v>
      </c>
      <c r="F53" s="365">
        <f t="shared" si="3"/>
        <v>1.485829853052726E-3</v>
      </c>
      <c r="G53" s="364">
        <f t="shared" si="4"/>
        <v>1.000000078315997</v>
      </c>
      <c r="H53" s="365">
        <f t="shared" si="5"/>
        <v>-3.9576758796832566E-4</v>
      </c>
      <c r="I53" s="363">
        <f t="shared" si="6"/>
        <v>135.11213216302411</v>
      </c>
      <c r="J53" s="366">
        <f t="shared" si="7"/>
        <v>1.5633949993641887</v>
      </c>
      <c r="K53" s="374">
        <f t="shared" si="8"/>
        <v>1.0005407592481599</v>
      </c>
      <c r="L53" s="375">
        <f t="shared" si="9"/>
        <v>3.2879041249730123E-2</v>
      </c>
      <c r="M53" s="363">
        <f t="shared" si="10"/>
        <v>1.0000005301275374</v>
      </c>
      <c r="N53" s="366">
        <f t="shared" si="11"/>
        <v>1.0296866544666828E-3</v>
      </c>
      <c r="O53" s="367">
        <f t="shared" si="12"/>
        <v>1.0000000557565829</v>
      </c>
      <c r="P53" s="368">
        <f t="shared" si="13"/>
        <v>4.5180812859804383E-4</v>
      </c>
      <c r="Q53" s="369">
        <f t="shared" si="14"/>
        <v>43.969242845390468</v>
      </c>
      <c r="R53" s="370">
        <f t="shared" si="15"/>
        <v>-90.70891010675463</v>
      </c>
      <c r="S53" s="392">
        <f t="shared" si="16"/>
        <v>89.29108989324537</v>
      </c>
      <c r="U53" s="345">
        <f t="shared" si="23"/>
        <v>1000000000</v>
      </c>
      <c r="V53" s="345">
        <f t="shared" si="24"/>
        <v>1584.9157210000001</v>
      </c>
      <c r="X53" s="371">
        <f t="shared" si="17"/>
        <v>45.487478483335735</v>
      </c>
      <c r="Y53" s="372">
        <f t="shared" si="18"/>
        <v>-87.751101677172088</v>
      </c>
      <c r="AA53" s="371">
        <f t="shared" si="19"/>
        <v>44.502364275334358</v>
      </c>
      <c r="AB53" s="372">
        <f t="shared" si="20"/>
        <v>-2.9578084295825513</v>
      </c>
      <c r="AD53">
        <f t="shared" si="25"/>
        <v>0</v>
      </c>
      <c r="AE53">
        <f t="shared" si="26"/>
        <v>0</v>
      </c>
    </row>
    <row r="54" spans="1:31" x14ac:dyDescent="0.2">
      <c r="A54" s="373">
        <v>43.652000000000001</v>
      </c>
      <c r="B54" s="390">
        <f t="shared" si="22"/>
        <v>4.3652000000000003E-2</v>
      </c>
      <c r="C54" s="363">
        <f t="shared" si="0"/>
        <v>1.0016435184066634</v>
      </c>
      <c r="D54" s="364">
        <f t="shared" si="1"/>
        <v>5.7293465568568548E-2</v>
      </c>
      <c r="E54" s="364">
        <f t="shared" si="2"/>
        <v>1.000001327121347</v>
      </c>
      <c r="F54" s="365">
        <f t="shared" si="3"/>
        <v>1.6291837705943548E-3</v>
      </c>
      <c r="G54" s="364">
        <f t="shared" si="4"/>
        <v>1.0000000941569966</v>
      </c>
      <c r="H54" s="365">
        <f t="shared" si="5"/>
        <v>-4.3395158542982584E-4</v>
      </c>
      <c r="I54" s="363">
        <f t="shared" si="6"/>
        <v>148.1471858430757</v>
      </c>
      <c r="J54" s="366">
        <f t="shared" si="7"/>
        <v>1.5640462316897246</v>
      </c>
      <c r="K54" s="374">
        <f t="shared" si="8"/>
        <v>1.0006501032522568</v>
      </c>
      <c r="L54" s="375">
        <f t="shared" si="9"/>
        <v>3.6048613075384157E-2</v>
      </c>
      <c r="M54" s="363">
        <f t="shared" si="10"/>
        <v>1.0000006373565609</v>
      </c>
      <c r="N54" s="366">
        <f t="shared" si="11"/>
        <v>1.1290316401908053E-3</v>
      </c>
      <c r="O54" s="367">
        <f t="shared" si="12"/>
        <v>1.0000000670344837</v>
      </c>
      <c r="P54" s="368">
        <f t="shared" si="13"/>
        <v>4.9539896869850995E-4</v>
      </c>
      <c r="Q54" s="369">
        <f t="shared" si="14"/>
        <v>43.16781545050452</v>
      </c>
      <c r="R54" s="370">
        <f t="shared" si="15"/>
        <v>-90.855079785469343</v>
      </c>
      <c r="S54" s="392">
        <f t="shared" si="16"/>
        <v>89.144920214530657</v>
      </c>
      <c r="U54" s="345">
        <f t="shared" si="23"/>
        <v>1000000000</v>
      </c>
      <c r="V54" s="345">
        <f t="shared" si="24"/>
        <v>1905.497104</v>
      </c>
      <c r="X54" s="371">
        <f t="shared" si="17"/>
        <v>44.688445563326589</v>
      </c>
      <c r="Y54" s="372">
        <f t="shared" si="18"/>
        <v>-87.612503500673654</v>
      </c>
      <c r="AA54" s="371">
        <f t="shared" si="19"/>
        <v>44.499969800457563</v>
      </c>
      <c r="AB54" s="372">
        <f t="shared" si="20"/>
        <v>-3.2425762847956925</v>
      </c>
      <c r="AD54">
        <f t="shared" si="25"/>
        <v>0</v>
      </c>
      <c r="AE54">
        <f t="shared" si="26"/>
        <v>0</v>
      </c>
    </row>
    <row r="55" spans="1:31" x14ac:dyDescent="0.2">
      <c r="A55" s="373">
        <v>47.863</v>
      </c>
      <c r="B55" s="390">
        <f t="shared" si="22"/>
        <v>4.7863000000000003E-2</v>
      </c>
      <c r="C55" s="363">
        <f t="shared" si="0"/>
        <v>1.0019755774995551</v>
      </c>
      <c r="D55" s="364">
        <f t="shared" si="1"/>
        <v>6.2806537097863269E-2</v>
      </c>
      <c r="E55" s="364">
        <f t="shared" si="2"/>
        <v>1.0000015955194987</v>
      </c>
      <c r="F55" s="365">
        <f t="shared" si="3"/>
        <v>1.7863467621019402E-3</v>
      </c>
      <c r="G55" s="364">
        <f t="shared" si="4"/>
        <v>1.0000001131994021</v>
      </c>
      <c r="H55" s="365">
        <f t="shared" si="5"/>
        <v>-4.7581381081625317E-4</v>
      </c>
      <c r="I55" s="363">
        <f t="shared" si="6"/>
        <v>162.4379543185936</v>
      </c>
      <c r="J55" s="366">
        <f t="shared" si="7"/>
        <v>1.5646400911985898</v>
      </c>
      <c r="K55" s="374">
        <f t="shared" si="8"/>
        <v>1.0007815294526554</v>
      </c>
      <c r="L55" s="375">
        <f t="shared" si="9"/>
        <v>3.952267201582059E-2</v>
      </c>
      <c r="M55" s="363">
        <f t="shared" si="10"/>
        <v>1.0000007662561481</v>
      </c>
      <c r="N55" s="366">
        <f t="shared" si="11"/>
        <v>1.2379464114068586E-3</v>
      </c>
      <c r="O55" s="367">
        <f t="shared" si="12"/>
        <v>1.0000000805916054</v>
      </c>
      <c r="P55" s="368">
        <f t="shared" si="13"/>
        <v>5.4318887367148737E-4</v>
      </c>
      <c r="Q55" s="369">
        <f t="shared" si="14"/>
        <v>42.366196320999023</v>
      </c>
      <c r="R55" s="370">
        <f t="shared" si="15"/>
        <v>-91.008304514143973</v>
      </c>
      <c r="S55" s="392">
        <f t="shared" si="16"/>
        <v>88.991695485856027</v>
      </c>
      <c r="U55" s="345">
        <f t="shared" si="23"/>
        <v>1000000000</v>
      </c>
      <c r="V55" s="345">
        <f t="shared" si="24"/>
        <v>2290.8667689999997</v>
      </c>
      <c r="X55" s="371">
        <f t="shared" si="17"/>
        <v>43.889703073840963</v>
      </c>
      <c r="Y55" s="372">
        <f t="shared" si="18"/>
        <v>-87.453720585624524</v>
      </c>
      <c r="AA55" s="371">
        <f t="shared" si="19"/>
        <v>44.497093160437686</v>
      </c>
      <c r="AB55" s="372">
        <f t="shared" si="20"/>
        <v>-3.5545839285194503</v>
      </c>
      <c r="AD55">
        <f t="shared" si="25"/>
        <v>0</v>
      </c>
      <c r="AE55">
        <f t="shared" si="26"/>
        <v>0</v>
      </c>
    </row>
    <row r="56" spans="1:31" x14ac:dyDescent="0.2">
      <c r="A56" s="373">
        <v>52.481000000000002</v>
      </c>
      <c r="B56" s="390">
        <f t="shared" si="22"/>
        <v>5.2481E-2</v>
      </c>
      <c r="C56" s="363">
        <f t="shared" si="0"/>
        <v>1.0023747170166049</v>
      </c>
      <c r="D56" s="364">
        <f t="shared" si="1"/>
        <v>6.8848051812468461E-2</v>
      </c>
      <c r="E56" s="364">
        <f t="shared" si="2"/>
        <v>1.0000019182553448</v>
      </c>
      <c r="F56" s="365">
        <f t="shared" si="3"/>
        <v>1.9586997106547433E-3</v>
      </c>
      <c r="G56" s="364">
        <f t="shared" si="4"/>
        <v>1.0000001360969832</v>
      </c>
      <c r="H56" s="365">
        <f t="shared" si="5"/>
        <v>-5.217220864605507E-4</v>
      </c>
      <c r="I56" s="363">
        <f t="shared" si="6"/>
        <v>178.11000359433089</v>
      </c>
      <c r="J56" s="366">
        <f t="shared" si="7"/>
        <v>1.5651817895219926</v>
      </c>
      <c r="K56" s="374">
        <f t="shared" si="8"/>
        <v>1.0009395403224806</v>
      </c>
      <c r="L56" s="375">
        <f t="shared" si="9"/>
        <v>4.3331404279621615E-2</v>
      </c>
      <c r="M56" s="363">
        <f t="shared" si="10"/>
        <v>1.0000009212517151</v>
      </c>
      <c r="N56" s="366">
        <f t="shared" si="11"/>
        <v>1.3573879385707346E-3</v>
      </c>
      <c r="O56" s="367">
        <f t="shared" si="12"/>
        <v>1.000000096893396</v>
      </c>
      <c r="P56" s="368">
        <f t="shared" si="13"/>
        <v>5.9559774978583174E-4</v>
      </c>
      <c r="Q56" s="369">
        <f t="shared" si="14"/>
        <v>41.564093745051565</v>
      </c>
      <c r="R56" s="370">
        <f t="shared" si="15"/>
        <v>-91.16987210974672</v>
      </c>
      <c r="S56" s="392">
        <f t="shared" si="16"/>
        <v>88.83012789025328</v>
      </c>
      <c r="U56" s="345">
        <f t="shared" si="23"/>
        <v>1000000000</v>
      </c>
      <c r="V56" s="345">
        <f t="shared" si="24"/>
        <v>2754.255361</v>
      </c>
      <c r="X56" s="371">
        <f t="shared" si="17"/>
        <v>43.091056994589906</v>
      </c>
      <c r="Y56" s="372">
        <f t="shared" si="18"/>
        <v>-87.27337682451271</v>
      </c>
      <c r="AA56" s="371">
        <f t="shared" si="19"/>
        <v>44.493636663741285</v>
      </c>
      <c r="AB56" s="372">
        <f t="shared" si="20"/>
        <v>-3.8964952852340096</v>
      </c>
      <c r="AD56">
        <f t="shared" si="25"/>
        <v>0</v>
      </c>
      <c r="AE56">
        <f t="shared" si="26"/>
        <v>0</v>
      </c>
    </row>
    <row r="57" spans="1:31" x14ac:dyDescent="0.2">
      <c r="A57" s="373">
        <v>57.544000000000004</v>
      </c>
      <c r="B57" s="390">
        <f t="shared" si="22"/>
        <v>5.7544000000000005E-2</v>
      </c>
      <c r="C57" s="363">
        <f t="shared" si="0"/>
        <v>1.0028543271297168</v>
      </c>
      <c r="D57" s="364">
        <f t="shared" si="1"/>
        <v>7.5465943391108584E-2</v>
      </c>
      <c r="E57" s="364">
        <f t="shared" si="2"/>
        <v>1.0000023062279106</v>
      </c>
      <c r="F57" s="365">
        <f t="shared" si="3"/>
        <v>2.1476608105283931E-3</v>
      </c>
      <c r="G57" s="364">
        <f t="shared" si="4"/>
        <v>1.0000001636230123</v>
      </c>
      <c r="H57" s="365">
        <f t="shared" si="5"/>
        <v>-5.7205417565141942E-4</v>
      </c>
      <c r="I57" s="363">
        <f t="shared" si="6"/>
        <v>195.29229380314837</v>
      </c>
      <c r="J57" s="366">
        <f t="shared" si="7"/>
        <v>1.5656757746699348</v>
      </c>
      <c r="K57" s="374">
        <f t="shared" si="8"/>
        <v>1.0011294580260921</v>
      </c>
      <c r="L57" s="375">
        <f t="shared" si="9"/>
        <v>4.7505704642909173E-2</v>
      </c>
      <c r="M57" s="363">
        <f t="shared" si="10"/>
        <v>1.0000011075775905</v>
      </c>
      <c r="N57" s="366">
        <f t="shared" si="11"/>
        <v>1.4883390528871584E-3</v>
      </c>
      <c r="O57" s="367">
        <f t="shared" si="12"/>
        <v>1.0000001164903813</v>
      </c>
      <c r="P57" s="368">
        <f t="shared" si="13"/>
        <v>6.5305685203895301E-4</v>
      </c>
      <c r="Q57" s="369">
        <f t="shared" si="14"/>
        <v>40.761652606791316</v>
      </c>
      <c r="R57" s="370">
        <f t="shared" si="15"/>
        <v>-91.341035090552879</v>
      </c>
      <c r="S57" s="392">
        <f t="shared" si="16"/>
        <v>88.658964909447121</v>
      </c>
      <c r="U57" s="345">
        <f t="shared" si="23"/>
        <v>1000000000</v>
      </c>
      <c r="V57" s="345">
        <f t="shared" si="24"/>
        <v>3311.3119360000005</v>
      </c>
      <c r="X57" s="371">
        <f t="shared" si="17"/>
        <v>42.29276739489044</v>
      </c>
      <c r="Y57" s="372">
        <f t="shared" si="18"/>
        <v>-87.070013241336127</v>
      </c>
      <c r="AA57" s="371">
        <f t="shared" si="19"/>
        <v>44.489485125180501</v>
      </c>
      <c r="AB57" s="372">
        <f t="shared" si="20"/>
        <v>-4.2710218492167336</v>
      </c>
      <c r="AD57">
        <f t="shared" si="25"/>
        <v>0</v>
      </c>
      <c r="AE57">
        <f t="shared" si="26"/>
        <v>0</v>
      </c>
    </row>
    <row r="58" spans="1:31" x14ac:dyDescent="0.2">
      <c r="A58" s="373">
        <v>63.095999999999997</v>
      </c>
      <c r="B58" s="390">
        <f t="shared" si="22"/>
        <v>6.3095999999999999E-2</v>
      </c>
      <c r="C58" s="363">
        <f t="shared" si="0"/>
        <v>1.0034306968652862</v>
      </c>
      <c r="D58" s="364">
        <f t="shared" si="1"/>
        <v>8.2715384611321316E-2</v>
      </c>
      <c r="E58" s="364">
        <f t="shared" si="2"/>
        <v>1.0000027727178837</v>
      </c>
      <c r="F58" s="365">
        <f t="shared" si="3"/>
        <v>2.3548721736210815E-3</v>
      </c>
      <c r="G58" s="364">
        <f t="shared" si="4"/>
        <v>1.0000001967197381</v>
      </c>
      <c r="H58" s="365">
        <f t="shared" si="5"/>
        <v>-6.272474883654125E-4</v>
      </c>
      <c r="I58" s="363">
        <f t="shared" si="6"/>
        <v>214.13414763268727</v>
      </c>
      <c r="J58" s="366">
        <f t="shared" si="7"/>
        <v>1.5661263400325767</v>
      </c>
      <c r="K58" s="374">
        <f t="shared" si="8"/>
        <v>1.0013577634446387</v>
      </c>
      <c r="L58" s="375">
        <f t="shared" si="9"/>
        <v>5.2081262552266749E-2</v>
      </c>
      <c r="M58" s="363">
        <f t="shared" si="10"/>
        <v>1.0000013316119152</v>
      </c>
      <c r="N58" s="366">
        <f t="shared" si="11"/>
        <v>1.6319377668428017E-3</v>
      </c>
      <c r="O58" s="367">
        <f t="shared" si="12"/>
        <v>1.0000001400533904</v>
      </c>
      <c r="P58" s="368">
        <f t="shared" si="13"/>
        <v>7.160655282526312E-4</v>
      </c>
      <c r="Q58" s="369">
        <f t="shared" si="14"/>
        <v>39.958628314707909</v>
      </c>
      <c r="R58" s="370">
        <f t="shared" si="15"/>
        <v>-91.523180551834031</v>
      </c>
      <c r="S58" s="392">
        <f t="shared" si="16"/>
        <v>88.476819448165969</v>
      </c>
      <c r="U58" s="345">
        <f t="shared" si="23"/>
        <v>1000000000</v>
      </c>
      <c r="V58" s="345">
        <f t="shared" si="24"/>
        <v>3981.1052159999995</v>
      </c>
      <c r="X58" s="371">
        <f t="shared" si="17"/>
        <v>41.494729569156107</v>
      </c>
      <c r="Y58" s="372">
        <f t="shared" si="18"/>
        <v>-86.841896177878894</v>
      </c>
      <c r="AA58" s="371">
        <f t="shared" si="19"/>
        <v>44.48449865883142</v>
      </c>
      <c r="AB58" s="372">
        <f t="shared" si="20"/>
        <v>-4.6812843739551306</v>
      </c>
      <c r="AD58">
        <f t="shared" si="25"/>
        <v>0</v>
      </c>
      <c r="AE58">
        <f t="shared" si="26"/>
        <v>0</v>
      </c>
    </row>
    <row r="59" spans="1:31" x14ac:dyDescent="0.2">
      <c r="A59" s="373">
        <v>69.183000000000007</v>
      </c>
      <c r="B59" s="390">
        <f t="shared" si="22"/>
        <v>6.9183000000000008E-2</v>
      </c>
      <c r="C59" s="363">
        <f t="shared" si="0"/>
        <v>1.0041231334720551</v>
      </c>
      <c r="D59" s="364">
        <f t="shared" si="1"/>
        <v>9.0653364863616734E-2</v>
      </c>
      <c r="E59" s="364">
        <f t="shared" si="2"/>
        <v>1.0000033335017477</v>
      </c>
      <c r="F59" s="365">
        <f t="shared" si="3"/>
        <v>2.5820505369634587E-3</v>
      </c>
      <c r="G59" s="364">
        <f t="shared" si="4"/>
        <v>1.0000002365064855</v>
      </c>
      <c r="H59" s="365">
        <f t="shared" si="5"/>
        <v>-6.8775931654237329E-4</v>
      </c>
      <c r="I59" s="363">
        <f t="shared" si="6"/>
        <v>234.79167554303035</v>
      </c>
      <c r="J59" s="366">
        <f t="shared" si="7"/>
        <v>1.5665372191368991</v>
      </c>
      <c r="K59" s="374">
        <f t="shared" si="8"/>
        <v>1.0016321486111228</v>
      </c>
      <c r="L59" s="375">
        <f t="shared" si="9"/>
        <v>5.7095214761522899E-2</v>
      </c>
      <c r="M59" s="363">
        <f t="shared" si="10"/>
        <v>1.0000016009314614</v>
      </c>
      <c r="N59" s="366">
        <f t="shared" si="11"/>
        <v>1.7893738153338188E-3</v>
      </c>
      <c r="O59" s="367">
        <f t="shared" si="12"/>
        <v>1.0000001683793196</v>
      </c>
      <c r="P59" s="368">
        <f t="shared" si="13"/>
        <v>7.851458237303591E-4</v>
      </c>
      <c r="Q59" s="369">
        <f t="shared" si="14"/>
        <v>39.155083549501398</v>
      </c>
      <c r="R59" s="370">
        <f t="shared" si="15"/>
        <v>-91.71768579811723</v>
      </c>
      <c r="S59" s="392">
        <f t="shared" si="16"/>
        <v>88.28231420188277</v>
      </c>
      <c r="U59" s="345">
        <f t="shared" si="23"/>
        <v>1000000000</v>
      </c>
      <c r="V59" s="345">
        <f t="shared" si="24"/>
        <v>4786.2874890000012</v>
      </c>
      <c r="X59" s="371">
        <f t="shared" si="17"/>
        <v>40.697171631185086</v>
      </c>
      <c r="Y59" s="372">
        <f t="shared" si="18"/>
        <v>-86.587179937006724</v>
      </c>
      <c r="AA59" s="371">
        <f t="shared" si="19"/>
        <v>44.478511831595938</v>
      </c>
      <c r="AB59" s="372">
        <f t="shared" si="20"/>
        <v>-5.1305058611105032</v>
      </c>
      <c r="AD59">
        <f t="shared" si="25"/>
        <v>0</v>
      </c>
      <c r="AE59">
        <f t="shared" si="26"/>
        <v>0</v>
      </c>
    </row>
    <row r="60" spans="1:31" x14ac:dyDescent="0.2">
      <c r="A60" s="373">
        <v>75.858000000000004</v>
      </c>
      <c r="B60" s="390">
        <f t="shared" si="22"/>
        <v>7.5858000000000009E-2</v>
      </c>
      <c r="C60" s="363">
        <f t="shared" si="0"/>
        <v>1.0049550853836422</v>
      </c>
      <c r="D60" s="364">
        <f t="shared" si="1"/>
        <v>9.9344962640420073E-2</v>
      </c>
      <c r="E60" s="364">
        <f t="shared" si="2"/>
        <v>1.0000040077861156</v>
      </c>
      <c r="F60" s="365">
        <f t="shared" si="3"/>
        <v>2.8311738662032924E-3</v>
      </c>
      <c r="G60" s="364">
        <f t="shared" si="4"/>
        <v>1.000000284345945</v>
      </c>
      <c r="H60" s="365">
        <f t="shared" si="5"/>
        <v>-7.5411653976193598E-4</v>
      </c>
      <c r="I60" s="363">
        <f t="shared" si="6"/>
        <v>257.44474429652502</v>
      </c>
      <c r="J60" s="366">
        <f t="shared" si="7"/>
        <v>1.5669119883617395</v>
      </c>
      <c r="K60" s="374">
        <f t="shared" si="8"/>
        <v>1.0019619689958381</v>
      </c>
      <c r="L60" s="375">
        <f t="shared" si="9"/>
        <v>6.2590200328069334E-2</v>
      </c>
      <c r="M60" s="363">
        <f t="shared" si="10"/>
        <v>1.0000019247603549</v>
      </c>
      <c r="N60" s="366">
        <f t="shared" si="11"/>
        <v>1.9620179752199355E-3</v>
      </c>
      <c r="O60" s="367">
        <f t="shared" si="12"/>
        <v>1.000000202438329</v>
      </c>
      <c r="P60" s="368">
        <f t="shared" si="13"/>
        <v>8.6089922532673875E-4</v>
      </c>
      <c r="Q60" s="369">
        <f t="shared" si="14"/>
        <v>38.350726065428653</v>
      </c>
      <c r="R60" s="370">
        <f t="shared" si="15"/>
        <v>-91.926071287019084</v>
      </c>
      <c r="S60" s="392">
        <f t="shared" si="16"/>
        <v>88.073928712980916</v>
      </c>
      <c r="U60" s="345">
        <f t="shared" si="23"/>
        <v>1000000000</v>
      </c>
      <c r="V60" s="345">
        <f t="shared" si="24"/>
        <v>5754.4361640000006</v>
      </c>
      <c r="X60" s="371">
        <f t="shared" si="17"/>
        <v>39.900001761086045</v>
      </c>
      <c r="Y60" s="372">
        <f t="shared" si="18"/>
        <v>-86.303704931828193</v>
      </c>
      <c r="AA60" s="371">
        <f t="shared" si="19"/>
        <v>44.471324217622232</v>
      </c>
      <c r="AB60" s="372">
        <f t="shared" si="20"/>
        <v>-5.6223663551908869</v>
      </c>
      <c r="AD60">
        <f t="shared" si="25"/>
        <v>0</v>
      </c>
      <c r="AE60">
        <f t="shared" si="26"/>
        <v>0</v>
      </c>
    </row>
    <row r="61" spans="1:31" x14ac:dyDescent="0.2">
      <c r="A61" s="373">
        <v>83.176000000000002</v>
      </c>
      <c r="B61" s="390">
        <f t="shared" si="22"/>
        <v>8.3176E-2</v>
      </c>
      <c r="C61" s="363">
        <f t="shared" si="0"/>
        <v>1.0059542634874179</v>
      </c>
      <c r="D61" s="364">
        <f t="shared" si="1"/>
        <v>0.10885649681552199</v>
      </c>
      <c r="E61" s="364">
        <f t="shared" si="2"/>
        <v>1.0000048183422576</v>
      </c>
      <c r="F61" s="365">
        <f t="shared" si="3"/>
        <v>3.1042947381446227E-3</v>
      </c>
      <c r="G61" s="364">
        <f t="shared" si="4"/>
        <v>1.0000003418537216</v>
      </c>
      <c r="H61" s="365">
        <f t="shared" si="5"/>
        <v>-8.2686591930289442E-4</v>
      </c>
      <c r="I61" s="363">
        <f t="shared" si="6"/>
        <v>282.28000839122882</v>
      </c>
      <c r="J61" s="366">
        <f t="shared" si="7"/>
        <v>1.5672537376566911</v>
      </c>
      <c r="K61" s="374">
        <f t="shared" si="8"/>
        <v>1.0023583021970981</v>
      </c>
      <c r="L61" s="375">
        <f t="shared" si="9"/>
        <v>6.8610157369697097E-2</v>
      </c>
      <c r="M61" s="363">
        <f t="shared" si="10"/>
        <v>1.0000023140346912</v>
      </c>
      <c r="N61" s="366">
        <f t="shared" si="11"/>
        <v>2.1512927411187158E-3</v>
      </c>
      <c r="O61" s="367">
        <f t="shared" si="12"/>
        <v>1.0000002433806385</v>
      </c>
      <c r="P61" s="368">
        <f t="shared" si="13"/>
        <v>9.4394991725256006E-4</v>
      </c>
      <c r="Q61" s="369">
        <f t="shared" si="14"/>
        <v>37.545611456465068</v>
      </c>
      <c r="R61" s="370">
        <f t="shared" si="15"/>
        <v>-92.149827371657537</v>
      </c>
      <c r="S61" s="392">
        <f t="shared" si="16"/>
        <v>87.850172628342463</v>
      </c>
      <c r="U61" s="345">
        <f t="shared" si="23"/>
        <v>1000000000</v>
      </c>
      <c r="V61" s="345">
        <f t="shared" si="24"/>
        <v>6918.2469760000004</v>
      </c>
      <c r="X61" s="371">
        <f t="shared" si="17"/>
        <v>39.103511636377426</v>
      </c>
      <c r="Y61" s="372">
        <f t="shared" si="18"/>
        <v>-85.989212237640118</v>
      </c>
      <c r="AA61" s="371">
        <f t="shared" si="19"/>
        <v>44.462699733367266</v>
      </c>
      <c r="AB61" s="372">
        <f t="shared" si="20"/>
        <v>-6.1606151340174247</v>
      </c>
      <c r="AD61">
        <f t="shared" si="25"/>
        <v>0</v>
      </c>
      <c r="AE61">
        <f t="shared" si="26"/>
        <v>0</v>
      </c>
    </row>
    <row r="62" spans="1:31" x14ac:dyDescent="0.2">
      <c r="A62" s="373">
        <v>91.201000000000008</v>
      </c>
      <c r="B62" s="390">
        <f t="shared" si="22"/>
        <v>9.1201000000000004E-2</v>
      </c>
      <c r="C62" s="363">
        <f t="shared" si="0"/>
        <v>1.0071543706981525</v>
      </c>
      <c r="D62" s="364">
        <f t="shared" si="1"/>
        <v>0.11926420510431297</v>
      </c>
      <c r="E62" s="364">
        <f t="shared" si="2"/>
        <v>1.0000057929605732</v>
      </c>
      <c r="F62" s="365">
        <f t="shared" si="3"/>
        <v>3.4038015829293755E-3</v>
      </c>
      <c r="G62" s="364">
        <f t="shared" si="4"/>
        <v>1.0000004110015275</v>
      </c>
      <c r="H62" s="365">
        <f t="shared" si="5"/>
        <v>-9.0664368603933336E-4</v>
      </c>
      <c r="I62" s="363">
        <f t="shared" si="6"/>
        <v>309.51466609159041</v>
      </c>
      <c r="J62" s="366">
        <f t="shared" si="7"/>
        <v>1.5675654565024368</v>
      </c>
      <c r="K62" s="374">
        <f t="shared" si="8"/>
        <v>1.0028346490058171</v>
      </c>
      <c r="L62" s="375">
        <f t="shared" si="9"/>
        <v>7.5205972287063258E-2</v>
      </c>
      <c r="M62" s="363">
        <f t="shared" si="10"/>
        <v>1.0000027821010651</v>
      </c>
      <c r="N62" s="366">
        <f t="shared" si="11"/>
        <v>2.3588533718836547E-3</v>
      </c>
      <c r="O62" s="367">
        <f t="shared" si="12"/>
        <v>1.0000002926099982</v>
      </c>
      <c r="P62" s="368">
        <f t="shared" si="13"/>
        <v>1.0350242227477329E-3</v>
      </c>
      <c r="Q62" s="369">
        <f t="shared" si="14"/>
        <v>36.73936447039717</v>
      </c>
      <c r="R62" s="370">
        <f t="shared" si="15"/>
        <v>-92.390613920979533</v>
      </c>
      <c r="S62" s="392">
        <f t="shared" si="16"/>
        <v>87.609386079020467</v>
      </c>
      <c r="U62" s="345">
        <f t="shared" si="23"/>
        <v>1000000000</v>
      </c>
      <c r="V62" s="345">
        <f t="shared" si="24"/>
        <v>8317.6224010000005</v>
      </c>
      <c r="X62" s="371">
        <f t="shared" si="17"/>
        <v>38.307612134627064</v>
      </c>
      <c r="Y62" s="372">
        <f t="shared" si="18"/>
        <v>-85.641052402419604</v>
      </c>
      <c r="AA62" s="371">
        <f t="shared" si="19"/>
        <v>44.452352249049731</v>
      </c>
      <c r="AB62" s="372">
        <f t="shared" si="20"/>
        <v>-6.74956151855993</v>
      </c>
      <c r="AD62">
        <f t="shared" si="25"/>
        <v>0</v>
      </c>
      <c r="AE62">
        <f t="shared" si="26"/>
        <v>0</v>
      </c>
    </row>
    <row r="63" spans="1:31" x14ac:dyDescent="0.2">
      <c r="A63" s="373">
        <v>100</v>
      </c>
      <c r="B63" s="390">
        <f t="shared" si="22"/>
        <v>0.1</v>
      </c>
      <c r="C63" s="363">
        <f t="shared" si="0"/>
        <v>1.0085952907843294</v>
      </c>
      <c r="D63" s="364">
        <f t="shared" si="1"/>
        <v>0.13064588123490145</v>
      </c>
      <c r="E63" s="364">
        <f t="shared" si="2"/>
        <v>1.0000069646792076</v>
      </c>
      <c r="F63" s="365">
        <f t="shared" si="3"/>
        <v>3.7321947391779574E-3</v>
      </c>
      <c r="G63" s="364">
        <f t="shared" si="4"/>
        <v>1.0000004941334082</v>
      </c>
      <c r="H63" s="365">
        <f t="shared" si="5"/>
        <v>-9.9411589323803633E-4</v>
      </c>
      <c r="I63" s="363">
        <f t="shared" si="6"/>
        <v>339.37609709844588</v>
      </c>
      <c r="J63" s="366">
        <f t="shared" si="7"/>
        <v>1.5678497390545862</v>
      </c>
      <c r="K63" s="374">
        <f t="shared" si="8"/>
        <v>1.003407030277188</v>
      </c>
      <c r="L63" s="375">
        <f t="shared" si="9"/>
        <v>8.243039614747498E-2</v>
      </c>
      <c r="M63" s="363">
        <f t="shared" si="10"/>
        <v>1.0000033448263796</v>
      </c>
      <c r="N63" s="366">
        <f t="shared" si="11"/>
        <v>2.5864327002570933E-3</v>
      </c>
      <c r="O63" s="367">
        <f t="shared" si="12"/>
        <v>1.0000003517952383</v>
      </c>
      <c r="P63" s="368">
        <f t="shared" si="13"/>
        <v>1.134882511012292E-3</v>
      </c>
      <c r="Q63" s="369">
        <f t="shared" si="14"/>
        <v>35.931907887958154</v>
      </c>
      <c r="R63" s="370">
        <f t="shared" si="15"/>
        <v>-92.650052161065986</v>
      </c>
      <c r="S63" s="392">
        <f t="shared" si="16"/>
        <v>87.349947838934014</v>
      </c>
      <c r="U63" s="345">
        <f t="shared" si="23"/>
        <v>1000000000</v>
      </c>
      <c r="V63" s="345">
        <f t="shared" si="24"/>
        <v>10000</v>
      </c>
      <c r="X63" s="371">
        <f t="shared" si="17"/>
        <v>37.512563053061882</v>
      </c>
      <c r="Y63" s="372">
        <f t="shared" si="18"/>
        <v>-85.25645093081252</v>
      </c>
      <c r="AA63" s="371">
        <f t="shared" si="19"/>
        <v>44.439944748175897</v>
      </c>
      <c r="AB63" s="372">
        <f t="shared" si="20"/>
        <v>-7.3936012302534779</v>
      </c>
      <c r="AD63">
        <f t="shared" si="25"/>
        <v>0</v>
      </c>
      <c r="AE63">
        <f t="shared" si="26"/>
        <v>0</v>
      </c>
    </row>
    <row r="64" spans="1:31" x14ac:dyDescent="0.2">
      <c r="A64" s="373">
        <v>109.65</v>
      </c>
      <c r="B64" s="390">
        <f t="shared" si="22"/>
        <v>0.10965000000000001</v>
      </c>
      <c r="C64" s="363">
        <f t="shared" si="0"/>
        <v>1.0103253300099906</v>
      </c>
      <c r="D64" s="364">
        <f t="shared" si="1"/>
        <v>0.14308921786687581</v>
      </c>
      <c r="E64" s="364">
        <f t="shared" si="2"/>
        <v>1.0000083737132293</v>
      </c>
      <c r="F64" s="365">
        <f t="shared" si="3"/>
        <v>4.0923476873570321E-3</v>
      </c>
      <c r="G64" s="364">
        <f t="shared" si="4"/>
        <v>1.00000059410262</v>
      </c>
      <c r="H64" s="365">
        <f t="shared" si="5"/>
        <v>-1.0900480042880403E-3</v>
      </c>
      <c r="I64" s="363">
        <f t="shared" si="6"/>
        <v>372.12561863527191</v>
      </c>
      <c r="J64" s="366">
        <f t="shared" si="7"/>
        <v>1.5681090589651878</v>
      </c>
      <c r="K64" s="374">
        <f t="shared" si="8"/>
        <v>1.0040949082349753</v>
      </c>
      <c r="L64" s="375">
        <f t="shared" si="9"/>
        <v>9.0343603298191855E-2</v>
      </c>
      <c r="M64" s="363">
        <f t="shared" si="10"/>
        <v>1.0000040215243697</v>
      </c>
      <c r="N64" s="366">
        <f t="shared" si="11"/>
        <v>2.8360221764147319E-3</v>
      </c>
      <c r="O64" s="367">
        <f t="shared" si="12"/>
        <v>1.00000042296772</v>
      </c>
      <c r="P64" s="368">
        <f t="shared" si="13"/>
        <v>1.2443986388001661E-3</v>
      </c>
      <c r="Q64" s="369">
        <f t="shared" si="14"/>
        <v>35.122814521985113</v>
      </c>
      <c r="R64" s="370">
        <f t="shared" si="15"/>
        <v>-92.929903894409478</v>
      </c>
      <c r="S64" s="392">
        <f t="shared" si="16"/>
        <v>87.070096105590522</v>
      </c>
      <c r="U64" s="345">
        <f t="shared" si="23"/>
        <v>1000000000</v>
      </c>
      <c r="V64" s="345">
        <f t="shared" si="24"/>
        <v>12023.122500000001</v>
      </c>
      <c r="X64" s="371">
        <f t="shared" si="17"/>
        <v>36.718343304619452</v>
      </c>
      <c r="Y64" s="372">
        <f t="shared" si="18"/>
        <v>-84.832215918194834</v>
      </c>
      <c r="AA64" s="371">
        <f t="shared" si="19"/>
        <v>44.425071130645293</v>
      </c>
      <c r="AB64" s="372">
        <f t="shared" si="20"/>
        <v>-8.0976879762146279</v>
      </c>
      <c r="AD64">
        <f t="shared" si="25"/>
        <v>0</v>
      </c>
      <c r="AE64">
        <f t="shared" si="26"/>
        <v>0</v>
      </c>
    </row>
    <row r="65" spans="1:31" x14ac:dyDescent="0.2">
      <c r="A65" s="373">
        <v>120.23</v>
      </c>
      <c r="B65" s="390">
        <f t="shared" si="22"/>
        <v>0.12023</v>
      </c>
      <c r="C65" s="363">
        <f t="shared" si="0"/>
        <v>1.0124012121705583</v>
      </c>
      <c r="D65" s="364">
        <f t="shared" si="1"/>
        <v>0.15668053817405089</v>
      </c>
      <c r="E65" s="364">
        <f t="shared" si="2"/>
        <v>1.000010067604312</v>
      </c>
      <c r="F65" s="365">
        <f t="shared" si="3"/>
        <v>4.4872084526475231E-3</v>
      </c>
      <c r="G65" s="364">
        <f t="shared" si="4"/>
        <v>1.0000007142822593</v>
      </c>
      <c r="H65" s="365">
        <f t="shared" si="5"/>
        <v>-1.1952253630218288E-3</v>
      </c>
      <c r="I65" s="363">
        <f t="shared" si="6"/>
        <v>408.03133559688189</v>
      </c>
      <c r="J65" s="366">
        <f t="shared" si="7"/>
        <v>1.5683455321773618</v>
      </c>
      <c r="K65" s="374">
        <f t="shared" si="8"/>
        <v>1.0049212289067015</v>
      </c>
      <c r="L65" s="375">
        <f t="shared" si="9"/>
        <v>9.9006375759252183E-2</v>
      </c>
      <c r="M65" s="363">
        <f t="shared" si="10"/>
        <v>1.0000048350275199</v>
      </c>
      <c r="N65" s="366">
        <f t="shared" si="11"/>
        <v>3.1096649461760024E-3</v>
      </c>
      <c r="O65" s="367">
        <f t="shared" si="12"/>
        <v>1.0000005085289017</v>
      </c>
      <c r="P65" s="368">
        <f t="shared" si="13"/>
        <v>1.3644691596247081E-3</v>
      </c>
      <c r="Q65" s="369">
        <f t="shared" si="14"/>
        <v>34.312060342411193</v>
      </c>
      <c r="R65" s="370">
        <f t="shared" si="15"/>
        <v>-93.231798275788648</v>
      </c>
      <c r="S65" s="392">
        <f t="shared" si="16"/>
        <v>86.768201724211352</v>
      </c>
      <c r="U65" s="345">
        <f t="shared" si="23"/>
        <v>1000000000</v>
      </c>
      <c r="V65" s="345">
        <f t="shared" si="24"/>
        <v>14455.252900000001</v>
      </c>
      <c r="X65" s="371">
        <f t="shared" si="17"/>
        <v>35.92540241339006</v>
      </c>
      <c r="Y65" s="372">
        <f t="shared" si="18"/>
        <v>-84.365103109587224</v>
      </c>
      <c r="AA65" s="371">
        <f t="shared" si="19"/>
        <v>44.407257842300758</v>
      </c>
      <c r="AB65" s="372">
        <f t="shared" si="20"/>
        <v>-8.8666951662014419</v>
      </c>
      <c r="AD65">
        <f t="shared" si="25"/>
        <v>0</v>
      </c>
      <c r="AE65">
        <f t="shared" si="26"/>
        <v>0</v>
      </c>
    </row>
    <row r="66" spans="1:31" x14ac:dyDescent="0.2">
      <c r="A66" s="373">
        <v>131.83000000000001</v>
      </c>
      <c r="B66" s="390">
        <f t="shared" si="22"/>
        <v>0.13183</v>
      </c>
      <c r="C66" s="363">
        <f t="shared" si="0"/>
        <v>1.0148912075346903</v>
      </c>
      <c r="D66" s="364">
        <f t="shared" si="1"/>
        <v>0.1715152214620892</v>
      </c>
      <c r="E66" s="364">
        <f t="shared" si="2"/>
        <v>1.0000121039885961</v>
      </c>
      <c r="F66" s="365">
        <f t="shared" si="3"/>
        <v>4.9201354673483544E-3</v>
      </c>
      <c r="G66" s="364">
        <f t="shared" si="4"/>
        <v>1.0000008587616509</v>
      </c>
      <c r="H66" s="365">
        <f t="shared" si="5"/>
        <v>-1.3105426634819103E-3</v>
      </c>
      <c r="I66" s="363">
        <f t="shared" si="6"/>
        <v>447.39868413302133</v>
      </c>
      <c r="J66" s="366">
        <f t="shared" si="7"/>
        <v>1.5685611820166243</v>
      </c>
      <c r="K66" s="374">
        <f t="shared" si="8"/>
        <v>1.0059137292846718</v>
      </c>
      <c r="L66" s="375">
        <f t="shared" si="9"/>
        <v>0.10848716150457288</v>
      </c>
      <c r="M66" s="363">
        <f t="shared" si="10"/>
        <v>1.000005813016396</v>
      </c>
      <c r="N66" s="366">
        <f t="shared" si="11"/>
        <v>3.409688618256879E-3</v>
      </c>
      <c r="O66" s="367">
        <f t="shared" si="12"/>
        <v>1.0000006113901585</v>
      </c>
      <c r="P66" s="368">
        <f t="shared" si="13"/>
        <v>1.4961154628692166E-3</v>
      </c>
      <c r="Q66" s="369">
        <f t="shared" si="14"/>
        <v>33.499283813353429</v>
      </c>
      <c r="R66" s="370">
        <f t="shared" si="15"/>
        <v>-93.557445006516687</v>
      </c>
      <c r="S66" s="392">
        <f t="shared" si="16"/>
        <v>86.442554993483313</v>
      </c>
      <c r="U66" s="345">
        <f t="shared" si="23"/>
        <v>1000000000</v>
      </c>
      <c r="V66" s="345">
        <f t="shared" si="24"/>
        <v>17379.148900000004</v>
      </c>
      <c r="X66" s="371">
        <f t="shared" si="17"/>
        <v>35.133944506345401</v>
      </c>
      <c r="Y66" s="372">
        <f t="shared" si="18"/>
        <v>-83.851440015132283</v>
      </c>
      <c r="AA66" s="371">
        <f t="shared" si="19"/>
        <v>44.385939220287653</v>
      </c>
      <c r="AB66" s="372">
        <f t="shared" si="20"/>
        <v>-9.7060049913844022</v>
      </c>
      <c r="AD66">
        <f t="shared" si="25"/>
        <v>0</v>
      </c>
      <c r="AE66">
        <f t="shared" si="26"/>
        <v>0</v>
      </c>
    </row>
    <row r="67" spans="1:31" x14ac:dyDescent="0.2">
      <c r="A67" s="373">
        <v>144.54</v>
      </c>
      <c r="B67" s="390">
        <f t="shared" si="22"/>
        <v>0.14454</v>
      </c>
      <c r="C67" s="363">
        <f t="shared" si="0"/>
        <v>1.0178745432552336</v>
      </c>
      <c r="D67" s="364">
        <f t="shared" si="1"/>
        <v>0.18768213937635794</v>
      </c>
      <c r="E67" s="364">
        <f t="shared" si="2"/>
        <v>1.0000145504213984</v>
      </c>
      <c r="F67" s="365">
        <f t="shared" si="3"/>
        <v>5.394486995362319E-3</v>
      </c>
      <c r="G67" s="364">
        <f t="shared" si="4"/>
        <v>1.0000010323339288</v>
      </c>
      <c r="H67" s="365">
        <f t="shared" si="5"/>
        <v>-1.4368945965281736E-3</v>
      </c>
      <c r="I67" s="363">
        <f t="shared" si="6"/>
        <v>490.53310054585819</v>
      </c>
      <c r="J67" s="366">
        <f t="shared" si="7"/>
        <v>1.5687577269704693</v>
      </c>
      <c r="K67" s="374">
        <f t="shared" si="8"/>
        <v>1.0071047899031773</v>
      </c>
      <c r="L67" s="375">
        <f t="shared" si="9"/>
        <v>0.1188526678931192</v>
      </c>
      <c r="M67" s="363">
        <f t="shared" si="10"/>
        <v>1.0000069879355269</v>
      </c>
      <c r="N67" s="366">
        <f t="shared" si="11"/>
        <v>3.7384207453251004E-3</v>
      </c>
      <c r="O67" s="367">
        <f t="shared" si="12"/>
        <v>1.0000007349639406</v>
      </c>
      <c r="P67" s="368">
        <f t="shared" si="13"/>
        <v>1.6403589364044843E-3</v>
      </c>
      <c r="Q67" s="369">
        <f t="shared" si="14"/>
        <v>32.684606232533291</v>
      </c>
      <c r="R67" s="370">
        <f t="shared" si="15"/>
        <v>-93.90826319656324</v>
      </c>
      <c r="S67" s="392">
        <f t="shared" si="16"/>
        <v>86.09173680343676</v>
      </c>
      <c r="U67" s="345">
        <f t="shared" si="23"/>
        <v>1000000000</v>
      </c>
      <c r="V67" s="345">
        <f t="shared" si="24"/>
        <v>20891.811599999997</v>
      </c>
      <c r="X67" s="371">
        <f t="shared" si="17"/>
        <v>34.344740499877538</v>
      </c>
      <c r="Y67" s="372">
        <f t="shared" si="18"/>
        <v>-83.287636405719724</v>
      </c>
      <c r="AA67" s="371">
        <f t="shared" si="19"/>
        <v>44.360465645935378</v>
      </c>
      <c r="AB67" s="372">
        <f t="shared" si="20"/>
        <v>-10.62062679084352</v>
      </c>
      <c r="AD67">
        <f t="shared" si="25"/>
        <v>0</v>
      </c>
      <c r="AE67">
        <f t="shared" si="26"/>
        <v>0</v>
      </c>
    </row>
    <row r="68" spans="1:31" x14ac:dyDescent="0.2">
      <c r="A68" s="373">
        <v>158.49</v>
      </c>
      <c r="B68" s="390">
        <f t="shared" si="22"/>
        <v>0.15849000000000002</v>
      </c>
      <c r="C68" s="363">
        <f t="shared" si="0"/>
        <v>1.0214532475107188</v>
      </c>
      <c r="D68" s="364">
        <f t="shared" si="1"/>
        <v>0.20531247041044812</v>
      </c>
      <c r="E68" s="364">
        <f t="shared" si="2"/>
        <v>1.0000174945413816</v>
      </c>
      <c r="F68" s="365">
        <f t="shared" si="3"/>
        <v>5.915113918793592E-3</v>
      </c>
      <c r="G68" s="364">
        <f t="shared" si="4"/>
        <v>1.0000012412172021</v>
      </c>
      <c r="H68" s="365">
        <f t="shared" si="5"/>
        <v>-1.5755734944696519E-3</v>
      </c>
      <c r="I68" s="363">
        <f t="shared" si="6"/>
        <v>537.87577084966472</v>
      </c>
      <c r="J68" s="366">
        <f t="shared" si="7"/>
        <v>1.5689371603659945</v>
      </c>
      <c r="K68" s="374">
        <f t="shared" si="8"/>
        <v>1.0085362914401714</v>
      </c>
      <c r="L68" s="375">
        <f t="shared" si="9"/>
        <v>0.1301998997459736</v>
      </c>
      <c r="M68" s="363">
        <f t="shared" si="10"/>
        <v>1.0000084018749309</v>
      </c>
      <c r="N68" s="366">
        <f t="shared" si="11"/>
        <v>4.0992233666926371E-3</v>
      </c>
      <c r="O68" s="367">
        <f t="shared" si="12"/>
        <v>1.0000008836772043</v>
      </c>
      <c r="P68" s="368">
        <f t="shared" si="13"/>
        <v>1.7986749187731662E-3</v>
      </c>
      <c r="Q68" s="369">
        <f t="shared" si="14"/>
        <v>31.86619935224703</v>
      </c>
      <c r="R68" s="370">
        <f t="shared" si="15"/>
        <v>-94.286398333816408</v>
      </c>
      <c r="S68" s="392">
        <f t="shared" si="16"/>
        <v>85.713601666183592</v>
      </c>
      <c r="U68" s="345">
        <f t="shared" si="23"/>
        <v>1000000000</v>
      </c>
      <c r="V68" s="345">
        <f t="shared" si="24"/>
        <v>25119.080100000003</v>
      </c>
      <c r="X68" s="371">
        <f t="shared" si="17"/>
        <v>33.556792337035695</v>
      </c>
      <c r="Y68" s="372">
        <f t="shared" si="18"/>
        <v>-82.66844115439612</v>
      </c>
      <c r="AA68" s="371">
        <f t="shared" si="19"/>
        <v>44.330006928490953</v>
      </c>
      <c r="AB68" s="372">
        <f t="shared" si="20"/>
        <v>-11.617957179420291</v>
      </c>
      <c r="AD68">
        <f t="shared" si="25"/>
        <v>0</v>
      </c>
      <c r="AE68">
        <f t="shared" si="26"/>
        <v>0</v>
      </c>
    </row>
    <row r="69" spans="1:31" x14ac:dyDescent="0.2">
      <c r="A69" s="373">
        <v>173.78</v>
      </c>
      <c r="B69" s="390">
        <f t="shared" si="22"/>
        <v>0.17377999999999999</v>
      </c>
      <c r="C69" s="363">
        <f t="shared" si="0"/>
        <v>1.025737679789049</v>
      </c>
      <c r="D69" s="364">
        <f t="shared" si="1"/>
        <v>0.22448837260524018</v>
      </c>
      <c r="E69" s="364">
        <f t="shared" si="2"/>
        <v>1.0000210328269481</v>
      </c>
      <c r="F69" s="365">
        <f t="shared" si="3"/>
        <v>6.4857471897828709E-3</v>
      </c>
      <c r="G69" s="364">
        <f t="shared" si="4"/>
        <v>1.0000014922568679</v>
      </c>
      <c r="H69" s="365">
        <f t="shared" si="5"/>
        <v>-1.7275734497151222E-3</v>
      </c>
      <c r="I69" s="363">
        <f t="shared" si="6"/>
        <v>589.7660690401201</v>
      </c>
      <c r="J69" s="366">
        <f t="shared" si="7"/>
        <v>1.5691007384393343</v>
      </c>
      <c r="K69" s="374">
        <f t="shared" si="8"/>
        <v>1.0102540123137624</v>
      </c>
      <c r="L69" s="375">
        <f t="shared" si="9"/>
        <v>0.14259839816471037</v>
      </c>
      <c r="M69" s="363">
        <f t="shared" si="10"/>
        <v>1.0000101011704219</v>
      </c>
      <c r="N69" s="366">
        <f t="shared" si="11"/>
        <v>4.4946825014801012E-3</v>
      </c>
      <c r="O69" s="367">
        <f t="shared" si="12"/>
        <v>1.0000010624035049</v>
      </c>
      <c r="P69" s="368">
        <f t="shared" si="13"/>
        <v>1.9721982813255432E-3</v>
      </c>
      <c r="Q69" s="369">
        <f t="shared" si="14"/>
        <v>31.044684679932114</v>
      </c>
      <c r="R69" s="370">
        <f t="shared" si="15"/>
        <v>-94.692701673486624</v>
      </c>
      <c r="S69" s="392">
        <f t="shared" si="16"/>
        <v>85.307298326513376</v>
      </c>
      <c r="U69" s="345">
        <f t="shared" si="23"/>
        <v>1000000000</v>
      </c>
      <c r="V69" s="345">
        <f t="shared" si="24"/>
        <v>30199.488400000002</v>
      </c>
      <c r="X69" s="371">
        <f t="shared" si="17"/>
        <v>32.771602620178328</v>
      </c>
      <c r="Y69" s="372">
        <f t="shared" si="18"/>
        <v>-81.990089994544221</v>
      </c>
      <c r="AA69" s="371">
        <f t="shared" si="19"/>
        <v>44.293681973033401</v>
      </c>
      <c r="AB69" s="372">
        <f t="shared" si="20"/>
        <v>-12.702611678942409</v>
      </c>
      <c r="AD69">
        <f t="shared" si="25"/>
        <v>0</v>
      </c>
      <c r="AE69">
        <f t="shared" si="26"/>
        <v>0</v>
      </c>
    </row>
    <row r="70" spans="1:31" x14ac:dyDescent="0.2">
      <c r="A70" s="373">
        <v>190.55</v>
      </c>
      <c r="B70" s="390">
        <f t="shared" si="22"/>
        <v>0.19055000000000002</v>
      </c>
      <c r="C70" s="363">
        <f t="shared" si="0"/>
        <v>1.0308666510342694</v>
      </c>
      <c r="D70" s="364">
        <f t="shared" si="1"/>
        <v>0.24532858818481024</v>
      </c>
      <c r="E70" s="364">
        <f t="shared" si="2"/>
        <v>1.0000252880327365</v>
      </c>
      <c r="F70" s="365">
        <f t="shared" si="3"/>
        <v>7.1116102036350671E-3</v>
      </c>
      <c r="G70" s="364">
        <f t="shared" si="4"/>
        <v>1.0000017941627726</v>
      </c>
      <c r="H70" s="365">
        <f t="shared" si="5"/>
        <v>-1.8942861928139608E-3</v>
      </c>
      <c r="I70" s="363">
        <f t="shared" si="6"/>
        <v>646.67911883903798</v>
      </c>
      <c r="J70" s="366">
        <f t="shared" si="7"/>
        <v>1.5692499642026809</v>
      </c>
      <c r="K70" s="374">
        <f t="shared" si="8"/>
        <v>1.0123159219854236</v>
      </c>
      <c r="L70" s="375">
        <f t="shared" si="9"/>
        <v>0.15614630775689164</v>
      </c>
      <c r="M70" s="363">
        <f t="shared" si="10"/>
        <v>1.0000121447778463</v>
      </c>
      <c r="N70" s="366">
        <f t="shared" si="11"/>
        <v>4.9284185971896505E-3</v>
      </c>
      <c r="O70" s="367">
        <f t="shared" si="12"/>
        <v>1.0000012773437894</v>
      </c>
      <c r="P70" s="368">
        <f t="shared" si="13"/>
        <v>2.1625178445114014E-3</v>
      </c>
      <c r="Q70" s="369">
        <f t="shared" si="14"/>
        <v>30.218909595599179</v>
      </c>
      <c r="R70" s="370">
        <f t="shared" si="15"/>
        <v>-95.128518419173872</v>
      </c>
      <c r="S70" s="392">
        <f t="shared" si="16"/>
        <v>84.871481580826128</v>
      </c>
      <c r="U70" s="345">
        <f t="shared" si="23"/>
        <v>1000000000</v>
      </c>
      <c r="V70" s="345">
        <f t="shared" si="24"/>
        <v>36309.302500000005</v>
      </c>
      <c r="X70" s="371">
        <f t="shared" si="17"/>
        <v>31.98911343942218</v>
      </c>
      <c r="Y70" s="372">
        <f t="shared" si="18"/>
        <v>-81.247253206979636</v>
      </c>
      <c r="AA70" s="371">
        <f t="shared" si="19"/>
        <v>44.250396069456627</v>
      </c>
      <c r="AB70" s="372">
        <f t="shared" si="20"/>
        <v>-13.881265212194233</v>
      </c>
      <c r="AD70">
        <f t="shared" si="25"/>
        <v>0</v>
      </c>
      <c r="AE70">
        <f t="shared" si="26"/>
        <v>0</v>
      </c>
    </row>
    <row r="71" spans="1:31" x14ac:dyDescent="0.2">
      <c r="A71" s="373">
        <v>208.93</v>
      </c>
      <c r="B71" s="390">
        <f t="shared" si="22"/>
        <v>0.20893</v>
      </c>
      <c r="C71" s="363">
        <f t="shared" si="0"/>
        <v>1.0369968095231696</v>
      </c>
      <c r="D71" s="364">
        <f t="shared" si="1"/>
        <v>0.26792185609368219</v>
      </c>
      <c r="E71" s="364">
        <f t="shared" si="2"/>
        <v>1.0000304016837473</v>
      </c>
      <c r="F71" s="365">
        <f t="shared" si="3"/>
        <v>7.7975526350976031E-3</v>
      </c>
      <c r="G71" s="364">
        <f t="shared" si="4"/>
        <v>1.0000021569767541</v>
      </c>
      <c r="H71" s="365">
        <f t="shared" si="5"/>
        <v>-2.0770040332549668E-3</v>
      </c>
      <c r="I71" s="363">
        <f t="shared" si="6"/>
        <v>709.05610667583835</v>
      </c>
      <c r="J71" s="366">
        <f t="shared" si="7"/>
        <v>1.5693860006978666</v>
      </c>
      <c r="K71" s="374">
        <f t="shared" si="8"/>
        <v>1.0147882703397593</v>
      </c>
      <c r="L71" s="375">
        <f t="shared" si="9"/>
        <v>0.1709286213392498</v>
      </c>
      <c r="M71" s="363">
        <f t="shared" si="10"/>
        <v>1.0000146006686148</v>
      </c>
      <c r="N71" s="366">
        <f t="shared" si="11"/>
        <v>5.4037932912653162E-3</v>
      </c>
      <c r="O71" s="367">
        <f t="shared" si="12"/>
        <v>1.0000015356473182</v>
      </c>
      <c r="P71" s="368">
        <f t="shared" si="13"/>
        <v>2.3711089360282985E-3</v>
      </c>
      <c r="Q71" s="369">
        <f t="shared" si="14"/>
        <v>29.388787133237507</v>
      </c>
      <c r="R71" s="370">
        <f t="shared" si="15"/>
        <v>-95.59420316125167</v>
      </c>
      <c r="S71" s="372">
        <f t="shared" si="16"/>
        <v>84.40579683874833</v>
      </c>
      <c r="U71" s="345">
        <f t="shared" si="23"/>
        <v>1000000000</v>
      </c>
      <c r="V71" s="345">
        <f t="shared" si="24"/>
        <v>43651.744900000005</v>
      </c>
      <c r="X71" s="371">
        <f t="shared" si="17"/>
        <v>31.210444253415751</v>
      </c>
      <c r="Y71" s="372">
        <f t="shared" si="18"/>
        <v>-80.435320307035596</v>
      </c>
      <c r="AA71" s="371">
        <f t="shared" si="19"/>
        <v>44.198942793101381</v>
      </c>
      <c r="AB71" s="372">
        <f t="shared" si="20"/>
        <v>-15.158882854216065</v>
      </c>
      <c r="AD71">
        <f t="shared" si="25"/>
        <v>0</v>
      </c>
      <c r="AE71">
        <f t="shared" si="26"/>
        <v>0</v>
      </c>
    </row>
    <row r="72" spans="1:31" x14ac:dyDescent="0.2">
      <c r="A72" s="373">
        <v>229.09</v>
      </c>
      <c r="B72" s="390">
        <f t="shared" si="22"/>
        <v>0.22909000000000002</v>
      </c>
      <c r="C72" s="363">
        <f t="shared" si="0"/>
        <v>1.0443216630344276</v>
      </c>
      <c r="D72" s="364">
        <f t="shared" si="1"/>
        <v>0.29238423239715677</v>
      </c>
      <c r="E72" s="364">
        <f t="shared" si="2"/>
        <v>1.0000365516475576</v>
      </c>
      <c r="F72" s="365">
        <f t="shared" si="3"/>
        <v>8.5499162849420867E-3</v>
      </c>
      <c r="G72" s="364">
        <f t="shared" si="4"/>
        <v>1.0000025933195014</v>
      </c>
      <c r="H72" s="365">
        <f t="shared" si="5"/>
        <v>-2.2774169126724545E-3</v>
      </c>
      <c r="I72" s="363">
        <f t="shared" si="6"/>
        <v>777.47396878007487</v>
      </c>
      <c r="J72" s="366">
        <f t="shared" si="7"/>
        <v>1.5695101097434179</v>
      </c>
      <c r="K72" s="374">
        <f t="shared" si="8"/>
        <v>1.0177537170854305</v>
      </c>
      <c r="L72" s="375">
        <f t="shared" si="9"/>
        <v>0.18705600105325976</v>
      </c>
      <c r="M72" s="363">
        <f t="shared" si="10"/>
        <v>1.0000175542693834</v>
      </c>
      <c r="N72" s="366">
        <f t="shared" si="11"/>
        <v>5.9252025439646815E-3</v>
      </c>
      <c r="O72" s="367">
        <f t="shared" si="12"/>
        <v>1.0000018462993665</v>
      </c>
      <c r="P72" s="368">
        <f t="shared" si="13"/>
        <v>2.5999008298241712E-3</v>
      </c>
      <c r="Q72" s="369">
        <f t="shared" si="14"/>
        <v>28.552918716769881</v>
      </c>
      <c r="R72" s="370">
        <f t="shared" si="15"/>
        <v>-96.090233122995784</v>
      </c>
      <c r="S72" s="372">
        <f t="shared" si="16"/>
        <v>83.909766877004216</v>
      </c>
      <c r="U72" s="345">
        <f t="shared" si="23"/>
        <v>1000000000</v>
      </c>
      <c r="V72" s="345">
        <f t="shared" si="24"/>
        <v>52482.2281</v>
      </c>
      <c r="X72" s="371">
        <f t="shared" si="17"/>
        <v>30.435658663654262</v>
      </c>
      <c r="Y72" s="372">
        <f t="shared" si="18"/>
        <v>-79.54827498789254</v>
      </c>
      <c r="AA72" s="371">
        <f t="shared" si="19"/>
        <v>44.137859966395247</v>
      </c>
      <c r="AB72" s="372">
        <f t="shared" si="20"/>
        <v>-16.541958135103236</v>
      </c>
      <c r="AD72">
        <f t="shared" si="25"/>
        <v>0</v>
      </c>
      <c r="AE72">
        <f t="shared" si="26"/>
        <v>0</v>
      </c>
    </row>
    <row r="73" spans="1:31" x14ac:dyDescent="0.2">
      <c r="A73" s="373">
        <v>251.19</v>
      </c>
      <c r="B73" s="390">
        <f t="shared" si="22"/>
        <v>0.25119000000000002</v>
      </c>
      <c r="C73" s="363">
        <f t="shared" si="0"/>
        <v>1.0530586683217356</v>
      </c>
      <c r="D73" s="364">
        <f t="shared" si="1"/>
        <v>0.31879204350975721</v>
      </c>
      <c r="E73" s="364">
        <f t="shared" si="2"/>
        <v>1.0000439438172295</v>
      </c>
      <c r="F73" s="365">
        <f t="shared" si="3"/>
        <v>9.3746688553573484E-3</v>
      </c>
      <c r="G73" s="364">
        <f t="shared" si="4"/>
        <v>1.0000031178006223</v>
      </c>
      <c r="H73" s="365">
        <f t="shared" si="5"/>
        <v>-2.4971153444934818E-3</v>
      </c>
      <c r="I73" s="363">
        <f t="shared" si="6"/>
        <v>852.47570405921749</v>
      </c>
      <c r="J73" s="366">
        <f t="shared" si="7"/>
        <v>1.5696232725663937</v>
      </c>
      <c r="K73" s="374">
        <f t="shared" si="8"/>
        <v>1.0213067714520536</v>
      </c>
      <c r="L73" s="375">
        <f t="shared" si="9"/>
        <v>0.204622624613848</v>
      </c>
      <c r="M73" s="363">
        <f t="shared" si="10"/>
        <v>1.0000211044682998</v>
      </c>
      <c r="N73" s="366">
        <f t="shared" si="11"/>
        <v>6.4967833796456985E-3</v>
      </c>
      <c r="O73" s="367">
        <f t="shared" si="12"/>
        <v>1.000002219701231</v>
      </c>
      <c r="P73" s="368">
        <f t="shared" si="13"/>
        <v>2.8507093036983138E-3</v>
      </c>
      <c r="Q73" s="369">
        <f t="shared" si="14"/>
        <v>27.710935006778467</v>
      </c>
      <c r="R73" s="370">
        <f t="shared" si="15"/>
        <v>-96.615731996400257</v>
      </c>
      <c r="S73" s="372">
        <f t="shared" si="16"/>
        <v>83.384268003599743</v>
      </c>
      <c r="U73" s="345">
        <f t="shared" si="23"/>
        <v>1000000000</v>
      </c>
      <c r="V73" s="345">
        <f t="shared" si="24"/>
        <v>63096.416100000002</v>
      </c>
      <c r="X73" s="371">
        <f t="shared" si="17"/>
        <v>29.665975045585146</v>
      </c>
      <c r="Y73" s="372">
        <f t="shared" si="18"/>
        <v>-78.58101451815989</v>
      </c>
      <c r="AA73" s="371">
        <f t="shared" si="19"/>
        <v>44.065559874472946</v>
      </c>
      <c r="AB73" s="372">
        <f t="shared" si="20"/>
        <v>-18.034717478240371</v>
      </c>
      <c r="AD73">
        <f t="shared" si="25"/>
        <v>0</v>
      </c>
      <c r="AE73">
        <f t="shared" si="26"/>
        <v>0</v>
      </c>
    </row>
    <row r="74" spans="1:31" x14ac:dyDescent="0.2">
      <c r="A74" s="373">
        <v>275.42</v>
      </c>
      <c r="B74" s="390">
        <f t="shared" si="22"/>
        <v>0.27542</v>
      </c>
      <c r="C74" s="363">
        <f t="shared" si="0"/>
        <v>1.0634667821865593</v>
      </c>
      <c r="D74" s="364">
        <f t="shared" si="1"/>
        <v>0.34722434003256825</v>
      </c>
      <c r="E74" s="364">
        <f t="shared" si="2"/>
        <v>1.0000528301819172</v>
      </c>
      <c r="F74" s="365">
        <f t="shared" si="3"/>
        <v>1.0278896454894196E-2</v>
      </c>
      <c r="G74" s="364">
        <f t="shared" si="4"/>
        <v>1.000003748300998</v>
      </c>
      <c r="H74" s="365">
        <f t="shared" si="5"/>
        <v>-2.7379880532443402E-3</v>
      </c>
      <c r="I74" s="363">
        <f t="shared" si="6"/>
        <v>934.70612380726891</v>
      </c>
      <c r="J74" s="366">
        <f t="shared" si="7"/>
        <v>1.5697264716122945</v>
      </c>
      <c r="K74" s="374">
        <f t="shared" si="8"/>
        <v>1.0255617537200306</v>
      </c>
      <c r="L74" s="375">
        <f t="shared" si="9"/>
        <v>0.22373586942407686</v>
      </c>
      <c r="M74" s="363">
        <f t="shared" si="10"/>
        <v>1.0000253722945451</v>
      </c>
      <c r="N74" s="366">
        <f t="shared" si="11"/>
        <v>7.123448335693853E-3</v>
      </c>
      <c r="O74" s="367">
        <f t="shared" si="12"/>
        <v>1.0000026685832071</v>
      </c>
      <c r="P74" s="368">
        <f t="shared" si="13"/>
        <v>3.1256905889549139E-3</v>
      </c>
      <c r="Q74" s="369">
        <f t="shared" si="14"/>
        <v>26.861800007809457</v>
      </c>
      <c r="R74" s="370">
        <f t="shared" si="15"/>
        <v>-97.169240287686961</v>
      </c>
      <c r="S74" s="372">
        <f t="shared" si="16"/>
        <v>82.830759712313039</v>
      </c>
      <c r="U74" s="345">
        <f t="shared" si="23"/>
        <v>1000000000</v>
      </c>
      <c r="V74" s="345">
        <f t="shared" si="24"/>
        <v>75856.176400000011</v>
      </c>
      <c r="X74" s="371">
        <f t="shared" si="17"/>
        <v>28.90218852051909</v>
      </c>
      <c r="Y74" s="372">
        <f t="shared" si="18"/>
        <v>-77.527724383460097</v>
      </c>
      <c r="AA74" s="371">
        <f t="shared" si="19"/>
        <v>43.980211400569985</v>
      </c>
      <c r="AB74" s="372">
        <f t="shared" si="20"/>
        <v>-19.641515904226853</v>
      </c>
      <c r="AD74">
        <f t="shared" si="25"/>
        <v>0</v>
      </c>
      <c r="AE74">
        <f t="shared" si="26"/>
        <v>0</v>
      </c>
    </row>
    <row r="75" spans="1:31" x14ac:dyDescent="0.2">
      <c r="A75" s="373">
        <v>302</v>
      </c>
      <c r="B75" s="390">
        <f t="shared" si="22"/>
        <v>0.30199999999999999</v>
      </c>
      <c r="C75" s="363">
        <f t="shared" si="0"/>
        <v>1.0758525858063697</v>
      </c>
      <c r="D75" s="364">
        <f t="shared" si="1"/>
        <v>0.37775402011423104</v>
      </c>
      <c r="E75" s="364">
        <f t="shared" si="2"/>
        <v>1.0000635188641227</v>
      </c>
      <c r="F75" s="365">
        <f t="shared" si="3"/>
        <v>1.1270803174564213E-2</v>
      </c>
      <c r="G75" s="364">
        <f t="shared" si="4"/>
        <v>1.0000045066852932</v>
      </c>
      <c r="H75" s="365">
        <f t="shared" si="5"/>
        <v>-3.0022219665352462E-3</v>
      </c>
      <c r="I75" s="363">
        <f t="shared" si="6"/>
        <v>1024.9118517335476</v>
      </c>
      <c r="J75" s="366">
        <f t="shared" si="7"/>
        <v>1.5698206329759876</v>
      </c>
      <c r="K75" s="374">
        <f t="shared" si="8"/>
        <v>1.0306565025088137</v>
      </c>
      <c r="L75" s="375">
        <f t="shared" si="9"/>
        <v>0.24451287960997334</v>
      </c>
      <c r="M75" s="363">
        <f t="shared" si="10"/>
        <v>1.0000305057402319</v>
      </c>
      <c r="N75" s="366">
        <f t="shared" si="11"/>
        <v>7.8108853213958353E-3</v>
      </c>
      <c r="O75" s="367">
        <f t="shared" si="12"/>
        <v>1.0000032085118704</v>
      </c>
      <c r="P75" s="368">
        <f t="shared" si="13"/>
        <v>3.4273413665938091E-3</v>
      </c>
      <c r="Q75" s="369">
        <f t="shared" si="14"/>
        <v>26.004087456575569</v>
      </c>
      <c r="R75" s="370">
        <f t="shared" si="15"/>
        <v>-97.748400134828756</v>
      </c>
      <c r="S75" s="372">
        <f t="shared" si="16"/>
        <v>82.251599865171244</v>
      </c>
      <c r="U75" s="345">
        <f t="shared" si="23"/>
        <v>1000000000</v>
      </c>
      <c r="V75" s="345">
        <f t="shared" si="24"/>
        <v>91204</v>
      </c>
      <c r="X75" s="371">
        <f t="shared" si="17"/>
        <v>28.14495801525085</v>
      </c>
      <c r="Y75" s="372">
        <f t="shared" si="18"/>
        <v>-76.382071674293542</v>
      </c>
      <c r="AA75" s="371">
        <f t="shared" si="19"/>
        <v>43.879729354604336</v>
      </c>
      <c r="AB75" s="372">
        <f t="shared" si="20"/>
        <v>-21.366328460535215</v>
      </c>
      <c r="AD75">
        <f t="shared" si="25"/>
        <v>0</v>
      </c>
      <c r="AE75">
        <f t="shared" si="26"/>
        <v>0</v>
      </c>
    </row>
    <row r="76" spans="1:31" x14ac:dyDescent="0.2">
      <c r="A76" s="373">
        <v>331.13</v>
      </c>
      <c r="B76" s="390">
        <f t="shared" si="22"/>
        <v>0.33112999999999998</v>
      </c>
      <c r="C76" s="363">
        <f t="shared" si="0"/>
        <v>1.0905502115081092</v>
      </c>
      <c r="D76" s="364">
        <f t="shared" si="1"/>
        <v>0.41038240819319921</v>
      </c>
      <c r="E76" s="364">
        <f t="shared" si="2"/>
        <v>1.000076363021942</v>
      </c>
      <c r="F76" s="365">
        <f t="shared" si="3"/>
        <v>1.2357844701454561E-2</v>
      </c>
      <c r="G76" s="364">
        <f t="shared" si="4"/>
        <v>1.0000054180150406</v>
      </c>
      <c r="H76" s="365">
        <f t="shared" si="5"/>
        <v>-3.2918051516455165E-3</v>
      </c>
      <c r="I76" s="363">
        <f t="shared" si="6"/>
        <v>1123.771636730904</v>
      </c>
      <c r="J76" s="366">
        <f t="shared" si="7"/>
        <v>1.5699064661690454</v>
      </c>
      <c r="K76" s="374">
        <f t="shared" si="8"/>
        <v>1.0367456095402932</v>
      </c>
      <c r="L76" s="375">
        <f t="shared" si="9"/>
        <v>0.26703782002837789</v>
      </c>
      <c r="M76" s="363">
        <f t="shared" si="10"/>
        <v>1.0000366744323557</v>
      </c>
      <c r="N76" s="366">
        <f t="shared" si="11"/>
        <v>8.5642643053363103E-3</v>
      </c>
      <c r="O76" s="367">
        <f t="shared" si="12"/>
        <v>1.0000038573298582</v>
      </c>
      <c r="P76" s="368">
        <f t="shared" si="13"/>
        <v>3.757931323456162E-3</v>
      </c>
      <c r="Q76" s="369">
        <f t="shared" si="14"/>
        <v>25.137623864543631</v>
      </c>
      <c r="R76" s="370">
        <f t="shared" si="15"/>
        <v>-98.348618772810354</v>
      </c>
      <c r="S76" s="372">
        <f t="shared" si="16"/>
        <v>81.651381227189646</v>
      </c>
      <c r="U76" s="345">
        <f t="shared" si="23"/>
        <v>1000000000</v>
      </c>
      <c r="V76" s="345">
        <f t="shared" si="24"/>
        <v>109647.0769</v>
      </c>
      <c r="X76" s="371">
        <f t="shared" si="17"/>
        <v>27.396238553838707</v>
      </c>
      <c r="Y76" s="372">
        <f t="shared" si="18"/>
        <v>-75.139570968973544</v>
      </c>
      <c r="AA76" s="371">
        <f t="shared" si="19"/>
        <v>43.761985223984546</v>
      </c>
      <c r="AB76" s="372">
        <f t="shared" si="20"/>
        <v>-23.209047803836796</v>
      </c>
      <c r="AD76">
        <f t="shared" si="25"/>
        <v>0</v>
      </c>
      <c r="AE76">
        <f t="shared" si="26"/>
        <v>0</v>
      </c>
    </row>
    <row r="77" spans="1:31" x14ac:dyDescent="0.2">
      <c r="A77" s="373">
        <v>363.08</v>
      </c>
      <c r="B77" s="390">
        <f t="shared" si="22"/>
        <v>0.36307999999999996</v>
      </c>
      <c r="C77" s="363">
        <f t="shared" ref="C77:C140" si="27">SQRT(1+(A77/pole1)^2)</f>
        <v>1.1079676682175337</v>
      </c>
      <c r="D77" s="364">
        <f t="shared" ref="D77:D140" si="28">ATAN(A77/pole1)</f>
        <v>0.44513298586843697</v>
      </c>
      <c r="E77" s="364">
        <f t="shared" ref="E77:E140" si="29">SQRT(1+(A77/Zero1)^2)</f>
        <v>1.0000918094420037</v>
      </c>
      <c r="F77" s="365">
        <f t="shared" ref="F77:F140" si="30">ATAN(A77/Zero1)</f>
        <v>1.3550086229187921E-2</v>
      </c>
      <c r="G77" s="364">
        <f t="shared" ref="G77:G140" si="31">IF(VIN_nom&gt;Vout, 1, SQRT(1+(A77/z_RHP)^2))</f>
        <v>1.0000065139971412</v>
      </c>
      <c r="H77" s="365">
        <f t="shared" ref="H77:H140" si="32">IF(VIN_nom&gt;Vout, 0, -ATAN(A77/z_RHP))</f>
        <v>-3.6094214996930957E-3</v>
      </c>
      <c r="I77" s="363">
        <f t="shared" ref="I77:I140" si="33">SQRT(1+(A77/Pole2)^2)</f>
        <v>1232.2017898835431</v>
      </c>
      <c r="J77" s="366">
        <f t="shared" ref="J77:J140" si="34">ATAN(A77/Pole2)</f>
        <v>1.5699847713191779</v>
      </c>
      <c r="K77" s="374">
        <f t="shared" ref="K77:K140" si="35">SQRT(1+(A77/Zero2)^2)</f>
        <v>1.0440214547211866</v>
      </c>
      <c r="L77" s="375">
        <f t="shared" ref="L77:L140" si="36">ATAN(A77/Zero2)</f>
        <v>0.29142743167153623</v>
      </c>
      <c r="M77" s="363">
        <f t="shared" ref="M77:M140" si="37">SQRT(1+(A77/pole4)^2)</f>
        <v>1.0000440929732626</v>
      </c>
      <c r="N77" s="366">
        <f t="shared" ref="N77:N140" si="38">ATAN(A77/pole4)</f>
        <v>9.3905647503244837E-3</v>
      </c>
      <c r="O77" s="367">
        <f t="shared" ref="O77:O140" si="39">SQRT((1-(V77/pterm2))^2+(A77/pterm1)^2)</f>
        <v>1.0000046376110459</v>
      </c>
      <c r="P77" s="368">
        <f t="shared" ref="P77:P140" si="40">IF((ATAN((A77/pterm1)/(1-A77^2/pterm2))&gt;0),ATAN((A77/pterm1)/(1-A77^2/pterm2)),PI()+ATAN((A77/pterm1)/(1-A77^2/pterm2)))</f>
        <v>4.1205245369155454E-3</v>
      </c>
      <c r="Q77" s="369">
        <f t="shared" ref="Q77:Q140" si="41">20*LOG10(((E77*K77*G77)/(C77*I77*O77*M77))*Adc)</f>
        <v>24.260736905425205</v>
      </c>
      <c r="R77" s="370">
        <f t="shared" ref="R77:R140" si="42">((F77+L77+H77)-(D77+J77+P77+N77))*radconv</f>
        <v>-98.964751210914713</v>
      </c>
      <c r="S77" s="372">
        <f t="shared" ref="S77:S140" si="43">IF(R77&gt;0,R77,R77+180)</f>
        <v>81.035248789085287</v>
      </c>
      <c r="U77" s="345">
        <f t="shared" si="23"/>
        <v>1000000000</v>
      </c>
      <c r="V77" s="345">
        <f t="shared" si="24"/>
        <v>131827.0864</v>
      </c>
      <c r="X77" s="371">
        <f t="shared" ref="X77:X140" si="44">20*LOG10((K77/(I77*M77))*AEA)</f>
        <v>26.656843118811256</v>
      </c>
      <c r="Y77" s="372">
        <f t="shared" ref="Y77:Y140" si="45">(L77-(J77+N77))*radconv</f>
        <v>-73.793979239044219</v>
      </c>
      <c r="AA77" s="371">
        <f t="shared" ref="AA77:AA140" si="46">20*LOG10((E77*G77/(C77*O77))*Acs*Am)</f>
        <v>43.624493699893577</v>
      </c>
      <c r="AB77" s="372">
        <f t="shared" ref="AB77:AB140" si="47">(F77+H77-(D77+P77))*radconv</f>
        <v>-25.170771971870501</v>
      </c>
      <c r="AD77">
        <f t="shared" si="25"/>
        <v>0</v>
      </c>
      <c r="AE77">
        <f t="shared" ref="AE77:AE89" si="48">IF(AD77&gt;0,S75,0)</f>
        <v>0</v>
      </c>
    </row>
    <row r="78" spans="1:31" x14ac:dyDescent="0.2">
      <c r="A78" s="373">
        <v>398.11</v>
      </c>
      <c r="B78" s="390">
        <f t="shared" ref="B78:B141" si="49">A78/1000</f>
        <v>0.39811000000000002</v>
      </c>
      <c r="C78" s="363">
        <f t="shared" si="27"/>
        <v>1.1285509071697335</v>
      </c>
      <c r="D78" s="364">
        <f t="shared" si="28"/>
        <v>0.48195152298970068</v>
      </c>
      <c r="E78" s="364">
        <f t="shared" si="29"/>
        <v>1.0001103785883581</v>
      </c>
      <c r="F78" s="365">
        <f t="shared" si="30"/>
        <v>1.4857216189699868E-2</v>
      </c>
      <c r="G78" s="364">
        <f t="shared" si="31"/>
        <v>1.0000078315693353</v>
      </c>
      <c r="H78" s="365">
        <f t="shared" si="32"/>
        <v>-3.9576554232196373E-3</v>
      </c>
      <c r="I78" s="363">
        <f t="shared" si="33"/>
        <v>1351.084684897231</v>
      </c>
      <c r="J78" s="366">
        <f t="shared" si="34"/>
        <v>1.5700561806719475</v>
      </c>
      <c r="K78" s="374">
        <f t="shared" si="35"/>
        <v>1.0527018056830928</v>
      </c>
      <c r="L78" s="375">
        <f t="shared" si="36"/>
        <v>0.3177633303849135</v>
      </c>
      <c r="M78" s="363">
        <f t="shared" si="37"/>
        <v>1.0000530113626884</v>
      </c>
      <c r="N78" s="366">
        <f t="shared" si="38"/>
        <v>1.0296506296524942E-2</v>
      </c>
      <c r="O78" s="367">
        <f t="shared" si="39"/>
        <v>1.0000055756535213</v>
      </c>
      <c r="P78" s="368">
        <f t="shared" si="40"/>
        <v>4.5180715642588786E-3</v>
      </c>
      <c r="Q78" s="369">
        <f t="shared" si="41"/>
        <v>23.372846848739055</v>
      </c>
      <c r="R78" s="370">
        <f t="shared" si="42"/>
        <v>-99.589197303089847</v>
      </c>
      <c r="S78" s="372">
        <f t="shared" si="43"/>
        <v>80.410802696910153</v>
      </c>
      <c r="U78" s="345">
        <f t="shared" ref="U78:U141" si="50">IF(Q78&lt;0,A78,1000000000)</f>
        <v>1000000000</v>
      </c>
      <c r="V78" s="345">
        <f t="shared" ref="V78:V141" si="51">A78^2</f>
        <v>158491.57210000002</v>
      </c>
      <c r="X78" s="371">
        <f t="shared" si="44"/>
        <v>25.928669829189847</v>
      </c>
      <c r="Y78" s="372">
        <f t="shared" si="45"/>
        <v>-72.341041473037762</v>
      </c>
      <c r="AA78" s="371">
        <f t="shared" si="46"/>
        <v>43.464776932828826</v>
      </c>
      <c r="AB78" s="372">
        <f t="shared" si="47"/>
        <v>-27.248155830052081</v>
      </c>
      <c r="AD78">
        <f t="shared" ref="AD78:AD141" si="52">SUM((Q79&lt;0)*(Q78&gt;0))*A78</f>
        <v>0</v>
      </c>
      <c r="AE78">
        <f t="shared" si="48"/>
        <v>0</v>
      </c>
    </row>
    <row r="79" spans="1:31" x14ac:dyDescent="0.2">
      <c r="A79" s="373">
        <v>436.52</v>
      </c>
      <c r="B79" s="390">
        <f t="shared" si="49"/>
        <v>0.43651999999999996</v>
      </c>
      <c r="C79" s="363">
        <f t="shared" si="27"/>
        <v>1.1528112580158116</v>
      </c>
      <c r="D79" s="364">
        <f t="shared" si="28"/>
        <v>0.52075319436194101</v>
      </c>
      <c r="E79" s="364">
        <f t="shared" si="29"/>
        <v>1.0001327034176533</v>
      </c>
      <c r="F79" s="365">
        <f t="shared" si="30"/>
        <v>1.6290410931010704E-2</v>
      </c>
      <c r="G79" s="364">
        <f t="shared" si="31"/>
        <v>1.0000094156557797</v>
      </c>
      <c r="H79" s="365">
        <f t="shared" si="32"/>
        <v>-4.3394888872815779E-3</v>
      </c>
      <c r="I79" s="363">
        <f t="shared" si="33"/>
        <v>1481.4384453369235</v>
      </c>
      <c r="J79" s="366">
        <f t="shared" si="34"/>
        <v>1.5701213071347213</v>
      </c>
      <c r="K79" s="374">
        <f t="shared" si="35"/>
        <v>1.0630441730592428</v>
      </c>
      <c r="L79" s="375">
        <f t="shared" si="36"/>
        <v>0.34612412811566878</v>
      </c>
      <c r="M79" s="363">
        <f t="shared" si="37"/>
        <v>1.0000637336454019</v>
      </c>
      <c r="N79" s="366">
        <f t="shared" si="38"/>
        <v>1.1289841505061727E-2</v>
      </c>
      <c r="O79" s="367">
        <f t="shared" si="39"/>
        <v>1.0000067034414755</v>
      </c>
      <c r="P79" s="368">
        <f t="shared" si="40"/>
        <v>4.9539768711786628E-3</v>
      </c>
      <c r="Q79" s="369">
        <f t="shared" si="41"/>
        <v>22.473108546601605</v>
      </c>
      <c r="R79" s="370">
        <f t="shared" si="42"/>
        <v>-100.21279765485535</v>
      </c>
      <c r="S79" s="372">
        <f t="shared" si="43"/>
        <v>79.787202345144649</v>
      </c>
      <c r="U79" s="345">
        <f t="shared" si="50"/>
        <v>1000000000</v>
      </c>
      <c r="V79" s="345">
        <f t="shared" si="51"/>
        <v>190549.71039999998</v>
      </c>
      <c r="X79" s="371">
        <f t="shared" si="44"/>
        <v>25.21347477265622</v>
      </c>
      <c r="Y79" s="372">
        <f t="shared" si="45"/>
        <v>-70.776732844196246</v>
      </c>
      <c r="AA79" s="371">
        <f t="shared" si="46"/>
        <v>43.280233687225007</v>
      </c>
      <c r="AB79" s="372">
        <f t="shared" si="47"/>
        <v>-29.436064810659104</v>
      </c>
      <c r="AD79">
        <f t="shared" si="52"/>
        <v>0</v>
      </c>
      <c r="AE79">
        <f t="shared" si="48"/>
        <v>0</v>
      </c>
    </row>
    <row r="80" spans="1:31" x14ac:dyDescent="0.2">
      <c r="A80" s="373">
        <v>478.63</v>
      </c>
      <c r="B80" s="390">
        <f t="shared" si="49"/>
        <v>0.47863</v>
      </c>
      <c r="C80" s="363">
        <f t="shared" si="27"/>
        <v>1.1813152799133271</v>
      </c>
      <c r="D80" s="364">
        <f t="shared" si="28"/>
        <v>0.56139352886882887</v>
      </c>
      <c r="E80" s="364">
        <f t="shared" si="29"/>
        <v>1.0001595393507454</v>
      </c>
      <c r="F80" s="365">
        <f t="shared" si="30"/>
        <v>1.7861586881477699E-2</v>
      </c>
      <c r="G80" s="364">
        <f t="shared" si="31"/>
        <v>1.0000113198767668</v>
      </c>
      <c r="H80" s="365">
        <f t="shared" si="32"/>
        <v>-4.7581025598319232E-3</v>
      </c>
      <c r="I80" s="363">
        <f t="shared" si="33"/>
        <v>1624.349069726378</v>
      </c>
      <c r="J80" s="366">
        <f t="shared" si="34"/>
        <v>1.5701806955357023</v>
      </c>
      <c r="K80" s="374">
        <f t="shared" si="35"/>
        <v>1.0753450466522954</v>
      </c>
      <c r="L80" s="375">
        <f t="shared" si="36"/>
        <v>0.37656280354381783</v>
      </c>
      <c r="M80" s="363">
        <f t="shared" si="37"/>
        <v>1.0000766227086424</v>
      </c>
      <c r="N80" s="366">
        <f t="shared" si="38"/>
        <v>1.2378838106173332E-2</v>
      </c>
      <c r="O80" s="367">
        <f t="shared" si="39"/>
        <v>1.0000080591505771</v>
      </c>
      <c r="P80" s="368">
        <f t="shared" si="40"/>
        <v>5.4318718427049332E-3</v>
      </c>
      <c r="Q80" s="369">
        <f t="shared" si="41"/>
        <v>21.561097669211676</v>
      </c>
      <c r="R80" s="370">
        <f t="shared" si="42"/>
        <v>-100.82445168944172</v>
      </c>
      <c r="S80" s="372">
        <f t="shared" si="43"/>
        <v>79.175548310558284</v>
      </c>
      <c r="U80" s="345">
        <f t="shared" si="50"/>
        <v>1000000000</v>
      </c>
      <c r="V80" s="345">
        <f t="shared" si="51"/>
        <v>229086.67689999999</v>
      </c>
      <c r="X80" s="371">
        <f t="shared" si="44"/>
        <v>24.513378319800747</v>
      </c>
      <c r="Y80" s="372">
        <f t="shared" si="45"/>
        <v>-69.09852282015315</v>
      </c>
      <c r="AA80" s="371">
        <f t="shared" si="46"/>
        <v>43.068319262690551</v>
      </c>
      <c r="AB80" s="372">
        <f t="shared" si="47"/>
        <v>-31.725928869288584</v>
      </c>
      <c r="AD80">
        <f t="shared" si="52"/>
        <v>0</v>
      </c>
      <c r="AE80">
        <f t="shared" si="48"/>
        <v>0</v>
      </c>
    </row>
    <row r="81" spans="1:31" x14ac:dyDescent="0.2">
      <c r="A81" s="373">
        <v>524.80999999999995</v>
      </c>
      <c r="B81" s="390">
        <f t="shared" si="49"/>
        <v>0.52481</v>
      </c>
      <c r="C81" s="363">
        <f t="shared" si="27"/>
        <v>1.2147046272291375</v>
      </c>
      <c r="D81" s="364">
        <f t="shared" si="28"/>
        <v>0.60369188008406538</v>
      </c>
      <c r="E81" s="364">
        <f t="shared" si="29"/>
        <v>1.0001918073234279</v>
      </c>
      <c r="F81" s="365">
        <f t="shared" si="30"/>
        <v>1.958451786849421E-2</v>
      </c>
      <c r="G81" s="364">
        <f t="shared" si="31"/>
        <v>1.0000136096066341</v>
      </c>
      <c r="H81" s="365">
        <f t="shared" si="32"/>
        <v>-5.2171740022017169E-3</v>
      </c>
      <c r="I81" s="363">
        <f t="shared" si="33"/>
        <v>1781.0722439129904</v>
      </c>
      <c r="J81" s="366">
        <f t="shared" si="34"/>
        <v>1.5702348672269555</v>
      </c>
      <c r="K81" s="374">
        <f t="shared" si="35"/>
        <v>1.0899524476314826</v>
      </c>
      <c r="L81" s="375">
        <f t="shared" si="36"/>
        <v>0.4091200643206081</v>
      </c>
      <c r="M81" s="363">
        <f t="shared" si="37"/>
        <v>1.0000921209708127</v>
      </c>
      <c r="N81" s="366">
        <f t="shared" si="38"/>
        <v>1.3573054149622907E-2</v>
      </c>
      <c r="O81" s="367">
        <f t="shared" si="39"/>
        <v>1.0000096893251806</v>
      </c>
      <c r="P81" s="368">
        <f t="shared" si="40"/>
        <v>5.9559552269106775E-3</v>
      </c>
      <c r="Q81" s="369">
        <f t="shared" si="41"/>
        <v>20.636302539199896</v>
      </c>
      <c r="R81" s="370">
        <f t="shared" si="42"/>
        <v>-101.4117163567077</v>
      </c>
      <c r="S81" s="372">
        <f t="shared" si="43"/>
        <v>78.5882836432923</v>
      </c>
      <c r="U81" s="345">
        <f t="shared" si="50"/>
        <v>1000000000</v>
      </c>
      <c r="V81" s="345">
        <f t="shared" si="51"/>
        <v>275425.53609999997</v>
      </c>
      <c r="X81" s="371">
        <f t="shared" si="44"/>
        <v>23.830394522602486</v>
      </c>
      <c r="Y81" s="372">
        <f t="shared" si="45"/>
        <v>-67.304656531480816</v>
      </c>
      <c r="AA81" s="371">
        <f t="shared" si="46"/>
        <v>42.826507929877032</v>
      </c>
      <c r="AB81" s="372">
        <f t="shared" si="47"/>
        <v>-34.107059825226877</v>
      </c>
      <c r="AD81">
        <f t="shared" si="52"/>
        <v>0</v>
      </c>
      <c r="AE81">
        <f t="shared" si="48"/>
        <v>0</v>
      </c>
    </row>
    <row r="82" spans="1:31" x14ac:dyDescent="0.2">
      <c r="A82" s="373">
        <v>575.44000000000005</v>
      </c>
      <c r="B82" s="390">
        <f t="shared" si="49"/>
        <v>0.57544000000000006</v>
      </c>
      <c r="C82" s="363">
        <f t="shared" si="27"/>
        <v>1.2536666798953044</v>
      </c>
      <c r="D82" s="364">
        <f t="shared" si="28"/>
        <v>0.64739071867150788</v>
      </c>
      <c r="E82" s="364">
        <f t="shared" si="29"/>
        <v>1.0002305964696454</v>
      </c>
      <c r="F82" s="365">
        <f t="shared" si="30"/>
        <v>2.1473340033017756E-2</v>
      </c>
      <c r="G82" s="364">
        <f t="shared" si="31"/>
        <v>1.0000163621687033</v>
      </c>
      <c r="H82" s="365">
        <f t="shared" si="32"/>
        <v>-5.7204799809173982E-3</v>
      </c>
      <c r="I82" s="363">
        <f t="shared" si="33"/>
        <v>1952.8975912447438</v>
      </c>
      <c r="J82" s="366">
        <f t="shared" si="34"/>
        <v>1.5702842671517365</v>
      </c>
      <c r="K82" s="374">
        <f t="shared" si="35"/>
        <v>1.1072575006572383</v>
      </c>
      <c r="L82" s="375">
        <f t="shared" si="36"/>
        <v>0.44378667071318789</v>
      </c>
      <c r="M82" s="363">
        <f t="shared" si="37"/>
        <v>1.000110751687413</v>
      </c>
      <c r="N82" s="366">
        <f t="shared" si="38"/>
        <v>1.4882302695843175E-2</v>
      </c>
      <c r="O82" s="367">
        <f t="shared" si="39"/>
        <v>1.0000116490173081</v>
      </c>
      <c r="P82" s="368">
        <f t="shared" si="40"/>
        <v>6.5305391620285366E-3</v>
      </c>
      <c r="Q82" s="369">
        <f t="shared" si="41"/>
        <v>19.699119434038156</v>
      </c>
      <c r="R82" s="370">
        <f t="shared" si="42"/>
        <v>-101.9606069694774</v>
      </c>
      <c r="S82" s="372">
        <f t="shared" si="43"/>
        <v>78.039393030522604</v>
      </c>
      <c r="U82" s="345">
        <f t="shared" si="50"/>
        <v>1000000000</v>
      </c>
      <c r="V82" s="345">
        <f t="shared" si="51"/>
        <v>331131.19360000006</v>
      </c>
      <c r="X82" s="371">
        <f t="shared" si="44"/>
        <v>23.16709563206819</v>
      </c>
      <c r="Y82" s="372">
        <f t="shared" si="45"/>
        <v>-65.396251116194364</v>
      </c>
      <c r="AA82" s="371">
        <f t="shared" si="46"/>
        <v>42.552623715249581</v>
      </c>
      <c r="AB82" s="372">
        <f t="shared" si="47"/>
        <v>-36.56435585328304</v>
      </c>
      <c r="AD82">
        <f t="shared" si="52"/>
        <v>0</v>
      </c>
      <c r="AE82">
        <f t="shared" si="48"/>
        <v>0</v>
      </c>
    </row>
    <row r="83" spans="1:31" x14ac:dyDescent="0.2">
      <c r="A83" s="373">
        <v>630.96</v>
      </c>
      <c r="B83" s="390">
        <f t="shared" si="49"/>
        <v>0.63096000000000008</v>
      </c>
      <c r="C83" s="363">
        <f t="shared" si="27"/>
        <v>1.2989674134309008</v>
      </c>
      <c r="D83" s="364">
        <f t="shared" si="28"/>
        <v>0.6922023737569809</v>
      </c>
      <c r="E83" s="364">
        <f t="shared" si="29"/>
        <v>1.0002772337434909</v>
      </c>
      <c r="F83" s="365">
        <f t="shared" si="30"/>
        <v>2.3544413768407789E-2</v>
      </c>
      <c r="G83" s="364">
        <f t="shared" si="31"/>
        <v>1.0000196717822534</v>
      </c>
      <c r="H83" s="365">
        <f t="shared" si="32"/>
        <v>-6.2723934468824081E-3</v>
      </c>
      <c r="I83" s="363">
        <f t="shared" si="33"/>
        <v>2141.318359851648</v>
      </c>
      <c r="J83" s="366">
        <f t="shared" si="34"/>
        <v>1.5703293247576948</v>
      </c>
      <c r="K83" s="374">
        <f t="shared" si="35"/>
        <v>1.1277131909687292</v>
      </c>
      <c r="L83" s="375">
        <f t="shared" si="36"/>
        <v>0.48052949048311139</v>
      </c>
      <c r="M83" s="363">
        <f t="shared" si="37"/>
        <v>1.0001331524153847</v>
      </c>
      <c r="N83" s="366">
        <f t="shared" si="38"/>
        <v>1.6317943646500573E-2</v>
      </c>
      <c r="O83" s="367">
        <f t="shared" si="39"/>
        <v>1.0000140053089273</v>
      </c>
      <c r="P83" s="368">
        <f t="shared" si="40"/>
        <v>7.1606165802710125E-3</v>
      </c>
      <c r="Q83" s="369">
        <f t="shared" si="41"/>
        <v>18.749979863054904</v>
      </c>
      <c r="R83" s="370">
        <f t="shared" si="42"/>
        <v>-102.45681426222646</v>
      </c>
      <c r="S83" s="372">
        <f t="shared" si="43"/>
        <v>77.543185737773541</v>
      </c>
      <c r="U83" s="345">
        <f t="shared" si="50"/>
        <v>1000000000</v>
      </c>
      <c r="V83" s="345">
        <f t="shared" si="51"/>
        <v>398110.52160000004</v>
      </c>
      <c r="X83" s="371">
        <f t="shared" si="44"/>
        <v>22.525866257269985</v>
      </c>
      <c r="Y83" s="372">
        <f t="shared" si="45"/>
        <v>-63.375880391684483</v>
      </c>
      <c r="AA83" s="371">
        <f t="shared" si="46"/>
        <v>42.244713519064533</v>
      </c>
      <c r="AB83" s="372">
        <f t="shared" si="47"/>
        <v>-39.080933870541983</v>
      </c>
      <c r="AD83">
        <f t="shared" si="52"/>
        <v>0</v>
      </c>
      <c r="AE83">
        <f t="shared" si="48"/>
        <v>0</v>
      </c>
    </row>
    <row r="84" spans="1:31" x14ac:dyDescent="0.2">
      <c r="A84" s="373">
        <v>691.83</v>
      </c>
      <c r="B84" s="390">
        <f t="shared" si="49"/>
        <v>0.69183000000000006</v>
      </c>
      <c r="C84" s="363">
        <f t="shared" si="27"/>
        <v>1.3514165595307195</v>
      </c>
      <c r="D84" s="364">
        <f t="shared" si="28"/>
        <v>0.73777905330126392</v>
      </c>
      <c r="E84" s="364">
        <f t="shared" si="29"/>
        <v>1.0003332951875592</v>
      </c>
      <c r="F84" s="365">
        <f t="shared" si="30"/>
        <v>2.581482684343455E-2</v>
      </c>
      <c r="G84" s="364">
        <f t="shared" si="31"/>
        <v>1.0000236503716626</v>
      </c>
      <c r="H84" s="365">
        <f t="shared" si="32"/>
        <v>-6.8774858131757412E-3</v>
      </c>
      <c r="I84" s="363">
        <f t="shared" si="33"/>
        <v>2347.8956728164826</v>
      </c>
      <c r="J84" s="366">
        <f t="shared" si="34"/>
        <v>1.5703704134794918</v>
      </c>
      <c r="K84" s="374">
        <f t="shared" si="35"/>
        <v>1.1518229521647092</v>
      </c>
      <c r="L84" s="375">
        <f t="shared" si="36"/>
        <v>0.5192552605413121</v>
      </c>
      <c r="M84" s="363">
        <f t="shared" si="37"/>
        <v>1.0001600804614037</v>
      </c>
      <c r="N84" s="366">
        <f t="shared" si="38"/>
        <v>1.7891847837785396E-2</v>
      </c>
      <c r="O84" s="367">
        <f t="shared" si="39"/>
        <v>1.0000168378884291</v>
      </c>
      <c r="P84" s="368">
        <f t="shared" si="40"/>
        <v>7.8514072187772094E-3</v>
      </c>
      <c r="Q84" s="369">
        <f t="shared" si="41"/>
        <v>17.790213417105726</v>
      </c>
      <c r="R84" s="370">
        <f t="shared" si="42"/>
        <v>-102.88603827992613</v>
      </c>
      <c r="S84" s="372">
        <f t="shared" si="43"/>
        <v>77.113961720073874</v>
      </c>
      <c r="U84" s="345">
        <f t="shared" si="50"/>
        <v>1000000000</v>
      </c>
      <c r="V84" s="345">
        <f t="shared" si="51"/>
        <v>478628.74890000006</v>
      </c>
      <c r="X84" s="371">
        <f t="shared" si="44"/>
        <v>21.909422661835443</v>
      </c>
      <c r="Y84" s="372">
        <f t="shared" si="45"/>
        <v>-61.249589484388977</v>
      </c>
      <c r="AA84" s="371">
        <f t="shared" si="46"/>
        <v>41.901390668549908</v>
      </c>
      <c r="AB84" s="372">
        <f t="shared" si="47"/>
        <v>-41.636448795537127</v>
      </c>
      <c r="AD84">
        <f t="shared" si="52"/>
        <v>0</v>
      </c>
      <c r="AE84">
        <f t="shared" si="48"/>
        <v>0</v>
      </c>
    </row>
    <row r="85" spans="1:31" x14ac:dyDescent="0.2">
      <c r="A85" s="373">
        <v>758.58</v>
      </c>
      <c r="B85" s="390">
        <f t="shared" si="49"/>
        <v>0.75858000000000003</v>
      </c>
      <c r="C85" s="363">
        <f t="shared" si="27"/>
        <v>1.4119038082831106</v>
      </c>
      <c r="D85" s="364">
        <f t="shared" si="28"/>
        <v>0.78376090773757467</v>
      </c>
      <c r="E85" s="364">
        <f t="shared" si="29"/>
        <v>1.0004006991347774</v>
      </c>
      <c r="F85" s="365">
        <f t="shared" si="30"/>
        <v>2.8304253414674341E-2</v>
      </c>
      <c r="G85" s="364">
        <f t="shared" si="31"/>
        <v>1.0000284341943058</v>
      </c>
      <c r="H85" s="365">
        <f t="shared" si="32"/>
        <v>-7.5410238786625455E-3</v>
      </c>
      <c r="I85" s="363">
        <f t="shared" si="33"/>
        <v>2574.4282154665552</v>
      </c>
      <c r="J85" s="366">
        <f t="shared" si="34"/>
        <v>1.570407891017531</v>
      </c>
      <c r="K85" s="374">
        <f t="shared" si="35"/>
        <v>1.1801604684964222</v>
      </c>
      <c r="L85" s="375">
        <f t="shared" si="36"/>
        <v>0.55983565604247087</v>
      </c>
      <c r="M85" s="363">
        <f t="shared" si="37"/>
        <v>1.0001924577007308</v>
      </c>
      <c r="N85" s="366">
        <f t="shared" si="38"/>
        <v>1.9617687894368453E-2</v>
      </c>
      <c r="O85" s="367">
        <f t="shared" si="39"/>
        <v>1.0000202437699666</v>
      </c>
      <c r="P85" s="368">
        <f t="shared" si="40"/>
        <v>8.6089249970187787E-3</v>
      </c>
      <c r="Q85" s="369">
        <f t="shared" si="41"/>
        <v>16.821278860692129</v>
      </c>
      <c r="R85" s="370">
        <f t="shared" si="42"/>
        <v>-103.23533660299395</v>
      </c>
      <c r="S85" s="372">
        <f t="shared" si="43"/>
        <v>76.764663397006046</v>
      </c>
      <c r="U85" s="345">
        <f t="shared" si="50"/>
        <v>1000000000</v>
      </c>
      <c r="V85" s="345">
        <f t="shared" si="51"/>
        <v>575443.61640000006</v>
      </c>
      <c r="X85" s="371">
        <f t="shared" si="44"/>
        <v>21.320208356948708</v>
      </c>
      <c r="Y85" s="372">
        <f t="shared" si="45"/>
        <v>-59.025534744772557</v>
      </c>
      <c r="AA85" s="371">
        <f t="shared" si="46"/>
        <v>41.521670417023046</v>
      </c>
      <c r="AB85" s="372">
        <f t="shared" si="47"/>
        <v>-44.209801858221397</v>
      </c>
      <c r="AD85">
        <f t="shared" si="52"/>
        <v>0</v>
      </c>
      <c r="AE85">
        <f t="shared" si="48"/>
        <v>0</v>
      </c>
    </row>
    <row r="86" spans="1:31" x14ac:dyDescent="0.2">
      <c r="A86" s="373">
        <v>831.76</v>
      </c>
      <c r="B86" s="390">
        <f t="shared" si="49"/>
        <v>0.83175999999999994</v>
      </c>
      <c r="C86" s="363">
        <f t="shared" si="27"/>
        <v>1.4813500676245714</v>
      </c>
      <c r="D86" s="364">
        <f t="shared" si="28"/>
        <v>0.82975046230580418</v>
      </c>
      <c r="E86" s="364">
        <f t="shared" si="29"/>
        <v>1.0004817193598079</v>
      </c>
      <c r="F86" s="365">
        <f t="shared" si="30"/>
        <v>3.1033081101124044E-2</v>
      </c>
      <c r="G86" s="364">
        <f t="shared" si="31"/>
        <v>1.0000341847937071</v>
      </c>
      <c r="H86" s="365">
        <f t="shared" si="32"/>
        <v>-8.2684726403372648E-3</v>
      </c>
      <c r="I86" s="363">
        <f t="shared" si="33"/>
        <v>2822.7825480782649</v>
      </c>
      <c r="J86" s="366">
        <f t="shared" si="34"/>
        <v>1.5704420664139127</v>
      </c>
      <c r="K86" s="374">
        <f t="shared" si="35"/>
        <v>1.2133493307143202</v>
      </c>
      <c r="L86" s="375">
        <f t="shared" si="36"/>
        <v>0.60207014079519683</v>
      </c>
      <c r="M86" s="363">
        <f t="shared" si="37"/>
        <v>1.0002313769692153</v>
      </c>
      <c r="N86" s="366">
        <f t="shared" si="38"/>
        <v>2.1509642733913311E-2</v>
      </c>
      <c r="O86" s="367">
        <f t="shared" si="39"/>
        <v>1.0000243379729024</v>
      </c>
      <c r="P86" s="368">
        <f t="shared" si="40"/>
        <v>9.4394105138890291E-3</v>
      </c>
      <c r="Q86" s="369">
        <f t="shared" si="41"/>
        <v>15.845569946038808</v>
      </c>
      <c r="R86" s="370">
        <f t="shared" si="42"/>
        <v>-103.49375813827308</v>
      </c>
      <c r="S86" s="372">
        <f t="shared" si="43"/>
        <v>76.50624186172692</v>
      </c>
      <c r="U86" s="345">
        <f t="shared" si="50"/>
        <v>1000000000</v>
      </c>
      <c r="V86" s="345">
        <f t="shared" si="51"/>
        <v>691824.69759999996</v>
      </c>
      <c r="X86" s="371">
        <f t="shared" si="44"/>
        <v>20.760833473648525</v>
      </c>
      <c r="Y86" s="372">
        <f t="shared" si="45"/>
        <v>-56.71603614920388</v>
      </c>
      <c r="AA86" s="371">
        <f t="shared" si="46"/>
        <v>41.105336385669908</v>
      </c>
      <c r="AB86" s="372">
        <f t="shared" si="47"/>
        <v>-46.777721989069192</v>
      </c>
      <c r="AD86">
        <f t="shared" si="52"/>
        <v>0</v>
      </c>
      <c r="AE86">
        <f t="shared" si="48"/>
        <v>0</v>
      </c>
    </row>
    <row r="87" spans="1:31" x14ac:dyDescent="0.2">
      <c r="A87" s="373">
        <v>912.01</v>
      </c>
      <c r="B87" s="390">
        <f t="shared" si="49"/>
        <v>0.91200999999999999</v>
      </c>
      <c r="C87" s="363">
        <f t="shared" si="27"/>
        <v>1.5607666839214454</v>
      </c>
      <c r="D87" s="364">
        <f t="shared" si="28"/>
        <v>0.87537269409455798</v>
      </c>
      <c r="E87" s="364">
        <f t="shared" si="29"/>
        <v>1.0005791300394349</v>
      </c>
      <c r="F87" s="365">
        <f t="shared" si="30"/>
        <v>3.4025010932723553E-2</v>
      </c>
      <c r="G87" s="364">
        <f t="shared" si="31"/>
        <v>1.0000410993166178</v>
      </c>
      <c r="H87" s="365">
        <f t="shared" si="32"/>
        <v>-9.0661909354453549E-3</v>
      </c>
      <c r="I87" s="363">
        <f t="shared" si="33"/>
        <v>3095.1306680944617</v>
      </c>
      <c r="J87" s="366">
        <f t="shared" si="34"/>
        <v>1.5704732386527041</v>
      </c>
      <c r="K87" s="374">
        <f t="shared" si="35"/>
        <v>1.2520915799820804</v>
      </c>
      <c r="L87" s="375">
        <f t="shared" si="36"/>
        <v>0.6457251049890278</v>
      </c>
      <c r="M87" s="363">
        <f t="shared" si="37"/>
        <v>1.0002781718037361</v>
      </c>
      <c r="N87" s="366">
        <f t="shared" si="38"/>
        <v>2.3584203869481166E-2</v>
      </c>
      <c r="O87" s="367">
        <f t="shared" si="39"/>
        <v>1.0000292608683614</v>
      </c>
      <c r="P87" s="368">
        <f t="shared" si="40"/>
        <v>1.0350125351856896E-2</v>
      </c>
      <c r="Q87" s="369">
        <f t="shared" si="41"/>
        <v>14.865394361830205</v>
      </c>
      <c r="R87" s="370">
        <f t="shared" si="42"/>
        <v>-103.65358496010387</v>
      </c>
      <c r="S87" s="372">
        <f t="shared" si="43"/>
        <v>76.346415039896129</v>
      </c>
      <c r="U87" s="345">
        <f t="shared" si="50"/>
        <v>1000000000</v>
      </c>
      <c r="V87" s="345">
        <f t="shared" si="51"/>
        <v>831762.24009999994</v>
      </c>
      <c r="X87" s="371">
        <f t="shared" si="44"/>
        <v>20.233400629627369</v>
      </c>
      <c r="Y87" s="372">
        <f t="shared" si="45"/>
        <v>-54.335440578513037</v>
      </c>
      <c r="AA87" s="371">
        <f t="shared" si="46"/>
        <v>40.652593645482462</v>
      </c>
      <c r="AB87" s="372">
        <f t="shared" si="47"/>
        <v>-49.318144381590841</v>
      </c>
      <c r="AD87">
        <f t="shared" si="52"/>
        <v>0</v>
      </c>
      <c r="AE87">
        <f t="shared" si="48"/>
        <v>0</v>
      </c>
    </row>
    <row r="88" spans="1:31" x14ac:dyDescent="0.2">
      <c r="A88" s="373">
        <v>1000</v>
      </c>
      <c r="B88" s="390">
        <f t="shared" si="49"/>
        <v>1</v>
      </c>
      <c r="C88" s="363">
        <f t="shared" si="27"/>
        <v>1.6511953425420702</v>
      </c>
      <c r="D88" s="364">
        <f t="shared" si="28"/>
        <v>0.92024921335161947</v>
      </c>
      <c r="E88" s="364">
        <f t="shared" si="29"/>
        <v>1.0006962279794012</v>
      </c>
      <c r="F88" s="365">
        <f t="shared" si="30"/>
        <v>3.7304805983834136E-2</v>
      </c>
      <c r="G88" s="364">
        <f t="shared" si="31"/>
        <v>1.0000494121322356</v>
      </c>
      <c r="H88" s="365">
        <f t="shared" si="32"/>
        <v>-9.9408347425315891E-3</v>
      </c>
      <c r="I88" s="363">
        <f t="shared" si="33"/>
        <v>3393.7463853649074</v>
      </c>
      <c r="J88" s="366">
        <f t="shared" si="34"/>
        <v>1.5705016671766108</v>
      </c>
      <c r="K88" s="374">
        <f t="shared" si="35"/>
        <v>1.2971379421513347</v>
      </c>
      <c r="L88" s="375">
        <f t="shared" si="36"/>
        <v>0.69049940144265254</v>
      </c>
      <c r="M88" s="363">
        <f t="shared" si="37"/>
        <v>1.0003344272765589</v>
      </c>
      <c r="N88" s="366">
        <f t="shared" si="38"/>
        <v>2.5858619522803456E-2</v>
      </c>
      <c r="O88" s="367">
        <f t="shared" si="39"/>
        <v>1.0000351793338207</v>
      </c>
      <c r="P88" s="368">
        <f t="shared" si="40"/>
        <v>1.1348671038402525E-2</v>
      </c>
      <c r="Q88" s="369">
        <f t="shared" si="41"/>
        <v>13.883727191801841</v>
      </c>
      <c r="R88" s="370">
        <f t="shared" si="42"/>
        <v>-103.71079258572449</v>
      </c>
      <c r="S88" s="372">
        <f t="shared" si="43"/>
        <v>76.289207414275509</v>
      </c>
      <c r="U88" s="345">
        <f t="shared" si="50"/>
        <v>1000000000</v>
      </c>
      <c r="V88" s="345">
        <f t="shared" si="51"/>
        <v>1000000</v>
      </c>
      <c r="X88" s="371">
        <f t="shared" si="44"/>
        <v>19.7399055906142</v>
      </c>
      <c r="Y88" s="372">
        <f t="shared" si="45"/>
        <v>-51.902005610503664</v>
      </c>
      <c r="AA88" s="371">
        <f t="shared" si="46"/>
        <v>40.164421514467257</v>
      </c>
      <c r="AB88" s="372">
        <f t="shared" si="47"/>
        <v>-51.808786975220826</v>
      </c>
      <c r="AD88">
        <f t="shared" si="52"/>
        <v>0</v>
      </c>
      <c r="AE88">
        <f t="shared" si="48"/>
        <v>0</v>
      </c>
    </row>
    <row r="89" spans="1:31" x14ac:dyDescent="0.2">
      <c r="A89" s="373">
        <v>1096.5</v>
      </c>
      <c r="B89" s="390">
        <f t="shared" si="49"/>
        <v>1.0965</v>
      </c>
      <c r="C89" s="363">
        <f t="shared" si="27"/>
        <v>1.75377514122524</v>
      </c>
      <c r="D89" s="364">
        <f t="shared" si="28"/>
        <v>0.96404883139168829</v>
      </c>
      <c r="E89" s="364">
        <f t="shared" si="29"/>
        <v>1.000837024523852</v>
      </c>
      <c r="F89" s="365">
        <f t="shared" si="30"/>
        <v>4.0900882603006991E-2</v>
      </c>
      <c r="G89" s="364">
        <f t="shared" si="31"/>
        <v>1.0000594085149579</v>
      </c>
      <c r="H89" s="365">
        <f t="shared" si="32"/>
        <v>-1.0900052657110127E-2</v>
      </c>
      <c r="I89" s="363">
        <f t="shared" si="33"/>
        <v>3721.2428843691964</v>
      </c>
      <c r="J89" s="366">
        <f t="shared" si="34"/>
        <v>1.5705275993715306</v>
      </c>
      <c r="K89" s="374">
        <f t="shared" si="35"/>
        <v>1.3493177810806278</v>
      </c>
      <c r="L89" s="375">
        <f t="shared" si="36"/>
        <v>0.73606633478253958</v>
      </c>
      <c r="M89" s="363">
        <f t="shared" si="37"/>
        <v>1.0004020724144924</v>
      </c>
      <c r="N89" s="366">
        <f t="shared" si="38"/>
        <v>2.8352698008347742E-2</v>
      </c>
      <c r="O89" s="367">
        <f t="shared" si="39"/>
        <v>1.0000422964973146</v>
      </c>
      <c r="P89" s="368">
        <f t="shared" si="40"/>
        <v>1.2443783271036577E-2</v>
      </c>
      <c r="Q89" s="369">
        <f t="shared" si="41"/>
        <v>12.903266717391071</v>
      </c>
      <c r="R89" s="370">
        <f t="shared" si="42"/>
        <v>-103.66558328832035</v>
      </c>
      <c r="S89" s="372">
        <f t="shared" si="43"/>
        <v>76.334416711679651</v>
      </c>
      <c r="U89" s="345">
        <f t="shared" si="50"/>
        <v>1000000000</v>
      </c>
      <c r="V89" s="345">
        <f t="shared" si="51"/>
        <v>1202312.25</v>
      </c>
      <c r="X89" s="371">
        <f t="shared" si="44"/>
        <v>19.281707202577405</v>
      </c>
      <c r="Y89" s="372">
        <f t="shared" si="45"/>
        <v>-49.435598618274383</v>
      </c>
      <c r="AA89" s="371">
        <f t="shared" si="46"/>
        <v>39.642159428093294</v>
      </c>
      <c r="AB89" s="372">
        <f t="shared" si="47"/>
        <v>-54.229984670045951</v>
      </c>
      <c r="AD89">
        <f t="shared" si="52"/>
        <v>0</v>
      </c>
      <c r="AE89">
        <f t="shared" si="48"/>
        <v>0</v>
      </c>
    </row>
    <row r="90" spans="1:31" x14ac:dyDescent="0.2">
      <c r="A90" s="373">
        <v>1202.3</v>
      </c>
      <c r="B90" s="390">
        <f t="shared" si="49"/>
        <v>1.2022999999999999</v>
      </c>
      <c r="C90" s="363">
        <f t="shared" si="27"/>
        <v>1.8696581079014412</v>
      </c>
      <c r="D90" s="364">
        <f t="shared" si="28"/>
        <v>1.0064576579409585</v>
      </c>
      <c r="E90" s="364">
        <f t="shared" si="29"/>
        <v>1.0010062592202147</v>
      </c>
      <c r="F90" s="365">
        <f t="shared" si="30"/>
        <v>4.4842304715820923E-2</v>
      </c>
      <c r="G90" s="364">
        <f t="shared" si="31"/>
        <v>1.0000714257006316</v>
      </c>
      <c r="H90" s="365">
        <f t="shared" si="32"/>
        <v>-1.1951690217863159E-2</v>
      </c>
      <c r="I90" s="363">
        <f t="shared" si="33"/>
        <v>4080.3012245295718</v>
      </c>
      <c r="J90" s="366">
        <f t="shared" si="34"/>
        <v>1.5705512468473675</v>
      </c>
      <c r="K90" s="374">
        <f t="shared" si="35"/>
        <v>1.4094919761160467</v>
      </c>
      <c r="L90" s="375">
        <f t="shared" si="36"/>
        <v>0.78204267777568948</v>
      </c>
      <c r="M90" s="363">
        <f t="shared" si="37"/>
        <v>1.0004833870893255</v>
      </c>
      <c r="N90" s="366">
        <f t="shared" si="38"/>
        <v>3.1086731908637335E-2</v>
      </c>
      <c r="O90" s="367">
        <f t="shared" si="39"/>
        <v>1.0000508524931198</v>
      </c>
      <c r="P90" s="368">
        <f t="shared" si="40"/>
        <v>1.3644423830107773E-2</v>
      </c>
      <c r="Q90" s="369">
        <f t="shared" si="41"/>
        <v>11.927176773366313</v>
      </c>
      <c r="R90" s="370">
        <f t="shared" si="42"/>
        <v>-103.52240233488459</v>
      </c>
      <c r="S90" s="372">
        <f t="shared" si="43"/>
        <v>76.477597665115411</v>
      </c>
      <c r="U90" s="345">
        <f t="shared" si="50"/>
        <v>1000000000</v>
      </c>
      <c r="V90" s="345">
        <f t="shared" si="51"/>
        <v>1445525.2899999998</v>
      </c>
      <c r="X90" s="371">
        <f t="shared" si="44"/>
        <v>18.85988434427523</v>
      </c>
      <c r="Y90" s="372">
        <f t="shared" si="45"/>
        <v>-46.959351708585373</v>
      </c>
      <c r="AA90" s="371">
        <f t="shared" si="46"/>
        <v>39.087892342370708</v>
      </c>
      <c r="AB90" s="372">
        <f t="shared" si="47"/>
        <v>-56.563050626299216</v>
      </c>
      <c r="AD90">
        <f t="shared" si="52"/>
        <v>0</v>
      </c>
      <c r="AE90">
        <f t="shared" ref="AE90:AE153" si="53">IF(AD90&gt;0,S90,0)</f>
        <v>0</v>
      </c>
    </row>
    <row r="91" spans="1:31" x14ac:dyDescent="0.2">
      <c r="A91" s="373">
        <v>1318.3</v>
      </c>
      <c r="B91" s="390">
        <f t="shared" si="49"/>
        <v>1.3183</v>
      </c>
      <c r="C91" s="363">
        <f t="shared" si="27"/>
        <v>2.0001040755726192</v>
      </c>
      <c r="D91" s="364">
        <f t="shared" si="28"/>
        <v>1.0472275934026534</v>
      </c>
      <c r="E91" s="364">
        <f t="shared" si="29"/>
        <v>1.0012096745286996</v>
      </c>
      <c r="F91" s="365">
        <f t="shared" si="30"/>
        <v>4.9162106526902789E-2</v>
      </c>
      <c r="G91" s="364">
        <f t="shared" si="31"/>
        <v>1.0000858725149253</v>
      </c>
      <c r="H91" s="365">
        <f t="shared" si="32"/>
        <v>-1.3104683918481148E-2</v>
      </c>
      <c r="I91" s="363">
        <f t="shared" si="33"/>
        <v>4473.9757773590927</v>
      </c>
      <c r="J91" s="366">
        <f t="shared" si="34"/>
        <v>1.5705728119485742</v>
      </c>
      <c r="K91" s="374">
        <f t="shared" si="35"/>
        <v>1.478594966966813</v>
      </c>
      <c r="L91" s="375">
        <f t="shared" si="36"/>
        <v>0.82804417139209785</v>
      </c>
      <c r="M91" s="363">
        <f t="shared" si="37"/>
        <v>1.0005811344705111</v>
      </c>
      <c r="N91" s="366">
        <f t="shared" si="38"/>
        <v>3.4083813722701604E-2</v>
      </c>
      <c r="O91" s="367">
        <f t="shared" si="39"/>
        <v>1.0000611384419384</v>
      </c>
      <c r="P91" s="368">
        <f t="shared" si="40"/>
        <v>1.4960801643851364E-2</v>
      </c>
      <c r="Q91" s="369">
        <f t="shared" si="41"/>
        <v>10.958025531763626</v>
      </c>
      <c r="R91" s="370">
        <f t="shared" si="42"/>
        <v>-103.28959001387621</v>
      </c>
      <c r="S91" s="372">
        <f t="shared" si="43"/>
        <v>76.710409986123793</v>
      </c>
      <c r="U91" s="345">
        <f t="shared" si="50"/>
        <v>1000000000</v>
      </c>
      <c r="V91" s="345">
        <f t="shared" si="51"/>
        <v>1737914.89</v>
      </c>
      <c r="X91" s="371">
        <f t="shared" si="44"/>
        <v>18.474740030873583</v>
      </c>
      <c r="Y91" s="372">
        <f t="shared" si="45"/>
        <v>-44.496615998338299</v>
      </c>
      <c r="AA91" s="371">
        <f t="shared" si="46"/>
        <v>38.503885414169673</v>
      </c>
      <c r="AB91" s="372">
        <f t="shared" si="47"/>
        <v>-58.792974015537929</v>
      </c>
      <c r="AD91">
        <f t="shared" si="52"/>
        <v>0</v>
      </c>
      <c r="AE91">
        <f t="shared" si="53"/>
        <v>0</v>
      </c>
    </row>
    <row r="92" spans="1:31" x14ac:dyDescent="0.2">
      <c r="A92" s="373">
        <v>1445.4</v>
      </c>
      <c r="B92" s="390">
        <f t="shared" si="49"/>
        <v>1.4454</v>
      </c>
      <c r="C92" s="363">
        <f t="shared" si="27"/>
        <v>2.146359378274068</v>
      </c>
      <c r="D92" s="364">
        <f t="shared" si="28"/>
        <v>1.0861389723586956</v>
      </c>
      <c r="E92" s="364">
        <f t="shared" si="29"/>
        <v>1.0014539956738628</v>
      </c>
      <c r="F92" s="365">
        <f t="shared" si="30"/>
        <v>5.3893155486247131E-2</v>
      </c>
      <c r="G92" s="364">
        <f t="shared" si="31"/>
        <v>1.0001032281181494</v>
      </c>
      <c r="H92" s="365">
        <f t="shared" si="32"/>
        <v>-1.4367967072248774E-2</v>
      </c>
      <c r="I92" s="363">
        <f t="shared" si="33"/>
        <v>4905.3209143860613</v>
      </c>
      <c r="J92" s="366">
        <f t="shared" si="34"/>
        <v>1.570592466532871</v>
      </c>
      <c r="K92" s="374">
        <f t="shared" si="35"/>
        <v>1.5575640547317191</v>
      </c>
      <c r="L92" s="375">
        <f t="shared" si="36"/>
        <v>0.87365559202132592</v>
      </c>
      <c r="M92" s="363">
        <f t="shared" si="37"/>
        <v>1.0006985520068088</v>
      </c>
      <c r="N92" s="366">
        <f t="shared" si="38"/>
        <v>3.7366980164497611E-2</v>
      </c>
      <c r="O92" s="367">
        <f t="shared" si="39"/>
        <v>1.0000734955647239</v>
      </c>
      <c r="P92" s="368">
        <f t="shared" si="40"/>
        <v>1.6403124128526063E-2</v>
      </c>
      <c r="Q92" s="369">
        <f t="shared" si="41"/>
        <v>9.9986300504502559</v>
      </c>
      <c r="R92" s="370">
        <f t="shared" si="42"/>
        <v>-102.97889425443739</v>
      </c>
      <c r="S92" s="372">
        <f t="shared" si="43"/>
        <v>77.021105745562608</v>
      </c>
      <c r="U92" s="345">
        <f t="shared" si="50"/>
        <v>1000000000</v>
      </c>
      <c r="V92" s="345">
        <f t="shared" si="51"/>
        <v>2089181.1600000001</v>
      </c>
      <c r="X92" s="371">
        <f t="shared" si="44"/>
        <v>18.126178727211034</v>
      </c>
      <c r="Y92" s="372">
        <f t="shared" si="45"/>
        <v>-42.07251180119983</v>
      </c>
      <c r="AA92" s="371">
        <f t="shared" si="46"/>
        <v>37.893051236518843</v>
      </c>
      <c r="AB92" s="372">
        <f t="shared" si="47"/>
        <v>-60.906382453237583</v>
      </c>
      <c r="AD92">
        <f t="shared" si="52"/>
        <v>0</v>
      </c>
      <c r="AE92">
        <f t="shared" si="53"/>
        <v>0</v>
      </c>
    </row>
    <row r="93" spans="1:31" x14ac:dyDescent="0.2">
      <c r="A93" s="373">
        <v>1584.9</v>
      </c>
      <c r="B93" s="390">
        <f t="shared" si="49"/>
        <v>1.5849000000000002</v>
      </c>
      <c r="C93" s="363">
        <f t="shared" si="27"/>
        <v>2.3101241709092966</v>
      </c>
      <c r="D93" s="364">
        <f t="shared" si="28"/>
        <v>1.1231142900306585</v>
      </c>
      <c r="E93" s="364">
        <f t="shared" si="29"/>
        <v>1.0017479417908461</v>
      </c>
      <c r="F93" s="365">
        <f t="shared" si="30"/>
        <v>5.9082983997135137E-2</v>
      </c>
      <c r="G93" s="364">
        <f t="shared" si="31"/>
        <v>1.0001241140950854</v>
      </c>
      <c r="H93" s="365">
        <f t="shared" si="32"/>
        <v>-1.5754444421872665E-2</v>
      </c>
      <c r="I93" s="363">
        <f t="shared" si="33"/>
        <v>5378.748505620254</v>
      </c>
      <c r="J93" s="366">
        <f t="shared" si="34"/>
        <v>1.5706104099399412</v>
      </c>
      <c r="K93" s="374">
        <f t="shared" si="35"/>
        <v>1.6475876654033985</v>
      </c>
      <c r="L93" s="375">
        <f t="shared" si="36"/>
        <v>0.91858166475306535</v>
      </c>
      <c r="M93" s="363">
        <f t="shared" si="37"/>
        <v>1.000839838358426</v>
      </c>
      <c r="N93" s="366">
        <f t="shared" si="38"/>
        <v>4.0969525397050018E-2</v>
      </c>
      <c r="O93" s="367">
        <f t="shared" si="39"/>
        <v>1.000088366521549</v>
      </c>
      <c r="P93" s="368">
        <f t="shared" si="40"/>
        <v>1.7986135837137304E-2</v>
      </c>
      <c r="Q93" s="369">
        <f t="shared" si="41"/>
        <v>9.0491235060558513</v>
      </c>
      <c r="R93" s="370">
        <f t="shared" si="42"/>
        <v>-102.60357218424309</v>
      </c>
      <c r="S93" s="372">
        <f t="shared" si="43"/>
        <v>77.396427815756908</v>
      </c>
      <c r="U93" s="345">
        <f t="shared" si="50"/>
        <v>1000000000</v>
      </c>
      <c r="V93" s="345">
        <f t="shared" si="51"/>
        <v>2511908.0100000002</v>
      </c>
      <c r="X93" s="371">
        <f t="shared" si="44"/>
        <v>17.812728521362867</v>
      </c>
      <c r="Y93" s="372">
        <f t="shared" si="45"/>
        <v>-39.705876159694562</v>
      </c>
      <c r="AA93" s="371">
        <f t="shared" si="46"/>
        <v>37.256994897972611</v>
      </c>
      <c r="AB93" s="372">
        <f t="shared" si="47"/>
        <v>-62.897696024548566</v>
      </c>
      <c r="AD93">
        <f t="shared" si="52"/>
        <v>0</v>
      </c>
      <c r="AE93">
        <f t="shared" si="53"/>
        <v>0</v>
      </c>
    </row>
    <row r="94" spans="1:31" x14ac:dyDescent="0.2">
      <c r="A94" s="373">
        <v>1737.8</v>
      </c>
      <c r="B94" s="390">
        <f t="shared" si="49"/>
        <v>1.7378</v>
      </c>
      <c r="C94" s="363">
        <f t="shared" si="27"/>
        <v>2.4927452284383449</v>
      </c>
      <c r="D94" s="364">
        <f t="shared" si="28"/>
        <v>1.1580089454155975</v>
      </c>
      <c r="E94" s="364">
        <f t="shared" si="29"/>
        <v>1.0021010975084317</v>
      </c>
      <c r="F94" s="365">
        <f t="shared" si="30"/>
        <v>6.4767665544423966E-2</v>
      </c>
      <c r="G94" s="364">
        <f t="shared" si="31"/>
        <v>1.0001492146656104</v>
      </c>
      <c r="H94" s="365">
        <f t="shared" si="32"/>
        <v>-1.7274033332846838E-2</v>
      </c>
      <c r="I94" s="363">
        <f t="shared" si="33"/>
        <v>5897.6522972368903</v>
      </c>
      <c r="J94" s="366">
        <f t="shared" si="34"/>
        <v>1.5706267677984702</v>
      </c>
      <c r="K94" s="374">
        <f t="shared" si="35"/>
        <v>1.7496619500936705</v>
      </c>
      <c r="L94" s="375">
        <f t="shared" si="36"/>
        <v>0.96241620831371899</v>
      </c>
      <c r="M94" s="363">
        <f t="shared" si="37"/>
        <v>1.0010096124851831</v>
      </c>
      <c r="N94" s="366">
        <f t="shared" si="38"/>
        <v>4.4916896268865809E-2</v>
      </c>
      <c r="O94" s="367">
        <f t="shared" si="39"/>
        <v>1.0001062386176567</v>
      </c>
      <c r="P94" s="368">
        <f t="shared" si="40"/>
        <v>1.9721174283624011E-2</v>
      </c>
      <c r="Q94" s="369">
        <f t="shared" si="41"/>
        <v>8.1120769736253333</v>
      </c>
      <c r="R94" s="370">
        <f t="shared" si="42"/>
        <v>-102.17922740028919</v>
      </c>
      <c r="S94" s="372">
        <f t="shared" si="43"/>
        <v>77.820772599710807</v>
      </c>
      <c r="U94" s="345">
        <f t="shared" si="50"/>
        <v>1000000000</v>
      </c>
      <c r="V94" s="345">
        <f t="shared" si="51"/>
        <v>3019948.84</v>
      </c>
      <c r="X94" s="371">
        <f t="shared" si="44"/>
        <v>17.533409027078889</v>
      </c>
      <c r="Y94" s="372">
        <f t="shared" si="45"/>
        <v>-37.421446741559905</v>
      </c>
      <c r="AA94" s="371">
        <f t="shared" si="46"/>
        <v>36.599267859826071</v>
      </c>
      <c r="AB94" s="372">
        <f t="shared" si="47"/>
        <v>-64.75778065872926</v>
      </c>
      <c r="AD94">
        <f t="shared" si="52"/>
        <v>0</v>
      </c>
      <c r="AE94">
        <f t="shared" si="53"/>
        <v>0</v>
      </c>
    </row>
    <row r="95" spans="1:31" x14ac:dyDescent="0.2">
      <c r="A95" s="373">
        <v>1905.5</v>
      </c>
      <c r="B95" s="390">
        <f t="shared" si="49"/>
        <v>1.9055</v>
      </c>
      <c r="C95" s="363">
        <f t="shared" si="27"/>
        <v>2.6960350927725383</v>
      </c>
      <c r="D95" s="364">
        <f t="shared" si="28"/>
        <v>1.1908021589934283</v>
      </c>
      <c r="E95" s="364">
        <f t="shared" si="29"/>
        <v>1.0025256458045209</v>
      </c>
      <c r="F95" s="365">
        <f t="shared" si="30"/>
        <v>7.0997767528579461E-2</v>
      </c>
      <c r="G95" s="364">
        <f t="shared" si="31"/>
        <v>1.0001794003459745</v>
      </c>
      <c r="H95" s="365">
        <f t="shared" si="32"/>
        <v>-1.8940619296964823E-2</v>
      </c>
      <c r="I95" s="363">
        <f t="shared" si="33"/>
        <v>6466.7835338940686</v>
      </c>
      <c r="J95" s="366">
        <f t="shared" si="34"/>
        <v>1.5706416904136502</v>
      </c>
      <c r="K95" s="374">
        <f t="shared" si="35"/>
        <v>1.8650342062599889</v>
      </c>
      <c r="L95" s="375">
        <f t="shared" si="36"/>
        <v>1.0048874813633455</v>
      </c>
      <c r="M95" s="363">
        <f t="shared" si="37"/>
        <v>1.0012137485666213</v>
      </c>
      <c r="N95" s="366">
        <f t="shared" si="38"/>
        <v>4.9244739458099138E-2</v>
      </c>
      <c r="O95" s="367">
        <f t="shared" si="39"/>
        <v>1.0001277318740756</v>
      </c>
      <c r="P95" s="368">
        <f t="shared" si="40"/>
        <v>2.1624112547608761E-2</v>
      </c>
      <c r="Q95" s="369">
        <f t="shared" si="41"/>
        <v>7.1875773436984876</v>
      </c>
      <c r="R95" s="370">
        <f t="shared" si="42"/>
        <v>-101.72109771367356</v>
      </c>
      <c r="S95" s="372">
        <f t="shared" si="43"/>
        <v>78.278902286326442</v>
      </c>
      <c r="U95" s="345">
        <f t="shared" si="50"/>
        <v>1000000000</v>
      </c>
      <c r="V95" s="345">
        <f t="shared" si="51"/>
        <v>3630930.25</v>
      </c>
      <c r="X95" s="371">
        <f t="shared" si="44"/>
        <v>17.286107793424726</v>
      </c>
      <c r="Y95" s="372">
        <f t="shared" si="45"/>
        <v>-35.236844194778932</v>
      </c>
      <c r="AA95" s="371">
        <f t="shared" si="46"/>
        <v>35.922069463553385</v>
      </c>
      <c r="AB95" s="372">
        <f t="shared" si="47"/>
        <v>-66.484253518894633</v>
      </c>
      <c r="AD95">
        <f t="shared" si="52"/>
        <v>0</v>
      </c>
      <c r="AE95">
        <f t="shared" si="53"/>
        <v>0</v>
      </c>
    </row>
    <row r="96" spans="1:31" x14ac:dyDescent="0.2">
      <c r="A96" s="373">
        <v>2089.3000000000002</v>
      </c>
      <c r="B96" s="390">
        <f t="shared" si="49"/>
        <v>2.0893000000000002</v>
      </c>
      <c r="C96" s="363">
        <f t="shared" si="27"/>
        <v>2.9216841540665008</v>
      </c>
      <c r="D96" s="364">
        <f t="shared" si="28"/>
        <v>1.2214663329997573</v>
      </c>
      <c r="E96" s="364">
        <f t="shared" si="29"/>
        <v>1.0030356071325097</v>
      </c>
      <c r="F96" s="365">
        <f t="shared" si="30"/>
        <v>7.7819636078159102E-2</v>
      </c>
      <c r="G96" s="364">
        <f t="shared" si="31"/>
        <v>1.0002156746502695</v>
      </c>
      <c r="H96" s="365">
        <f t="shared" si="32"/>
        <v>-2.0767084265249265E-2</v>
      </c>
      <c r="I96" s="363">
        <f t="shared" si="33"/>
        <v>7090.5540856430807</v>
      </c>
      <c r="J96" s="366">
        <f t="shared" si="34"/>
        <v>1.5706552940926231</v>
      </c>
      <c r="K96" s="374">
        <f t="shared" si="35"/>
        <v>1.994874272207654</v>
      </c>
      <c r="L96" s="375">
        <f t="shared" si="36"/>
        <v>1.0457134427249846</v>
      </c>
      <c r="M96" s="363">
        <f t="shared" si="37"/>
        <v>1.0014590131607497</v>
      </c>
      <c r="N96" s="366">
        <f t="shared" si="38"/>
        <v>5.3985950648333267E-2</v>
      </c>
      <c r="O96" s="367">
        <f t="shared" si="39"/>
        <v>1.0001535611115575</v>
      </c>
      <c r="P96" s="368">
        <f t="shared" si="40"/>
        <v>2.370968434381451E-2</v>
      </c>
      <c r="Q96" s="369">
        <f t="shared" si="41"/>
        <v>6.2765407891067593</v>
      </c>
      <c r="R96" s="370">
        <f t="shared" si="42"/>
        <v>-101.24457992935338</v>
      </c>
      <c r="S96" s="372">
        <f t="shared" si="43"/>
        <v>78.755420070646622</v>
      </c>
      <c r="U96" s="345">
        <f t="shared" si="50"/>
        <v>1000000000</v>
      </c>
      <c r="V96" s="345">
        <f t="shared" si="51"/>
        <v>4365174.4900000012</v>
      </c>
      <c r="X96" s="371">
        <f t="shared" si="44"/>
        <v>17.068717844841402</v>
      </c>
      <c r="Y96" s="372">
        <f t="shared" si="45"/>
        <v>-33.170119736202885</v>
      </c>
      <c r="AA96" s="371">
        <f t="shared" si="46"/>
        <v>35.228422857544984</v>
      </c>
      <c r="AB96" s="372">
        <f t="shared" si="47"/>
        <v>-68.074460193150472</v>
      </c>
      <c r="AD96">
        <f t="shared" si="52"/>
        <v>0</v>
      </c>
      <c r="AE96">
        <f t="shared" si="53"/>
        <v>0</v>
      </c>
    </row>
    <row r="97" spans="1:31" x14ac:dyDescent="0.2">
      <c r="A97" s="373">
        <v>2290.9</v>
      </c>
      <c r="B97" s="390">
        <f t="shared" si="49"/>
        <v>2.2909000000000002</v>
      </c>
      <c r="C97" s="363">
        <f t="shared" si="27"/>
        <v>3.1718722528341639</v>
      </c>
      <c r="D97" s="364">
        <f t="shared" si="28"/>
        <v>1.250053902791143</v>
      </c>
      <c r="E97" s="364">
        <f t="shared" si="29"/>
        <v>1.0036485755052864</v>
      </c>
      <c r="F97" s="365">
        <f t="shared" si="30"/>
        <v>8.5293804176004254E-2</v>
      </c>
      <c r="G97" s="364">
        <f t="shared" si="31"/>
        <v>1.0002592986685128</v>
      </c>
      <c r="H97" s="365">
        <f t="shared" si="32"/>
        <v>-2.2770272333668892E-2</v>
      </c>
      <c r="I97" s="363">
        <f t="shared" si="33"/>
        <v>7774.7333210254928</v>
      </c>
      <c r="J97" s="366">
        <f t="shared" si="34"/>
        <v>1.5706677050195295</v>
      </c>
      <c r="K97" s="374">
        <f t="shared" si="35"/>
        <v>2.1406220740992667</v>
      </c>
      <c r="L97" s="375">
        <f t="shared" si="36"/>
        <v>1.0847271992283016</v>
      </c>
      <c r="M97" s="363">
        <f t="shared" si="37"/>
        <v>1.0017539042558794</v>
      </c>
      <c r="N97" s="366">
        <f t="shared" si="38"/>
        <v>5.9183521410226016E-2</v>
      </c>
      <c r="O97" s="367">
        <f t="shared" si="39"/>
        <v>1.0001846247036763</v>
      </c>
      <c r="P97" s="368">
        <f t="shared" si="40"/>
        <v>2.5997156106804347E-2</v>
      </c>
      <c r="Q97" s="369">
        <f t="shared" si="41"/>
        <v>5.3781334086700516</v>
      </c>
      <c r="R97" s="370">
        <f t="shared" si="42"/>
        <v>-100.76331180819125</v>
      </c>
      <c r="S97" s="372">
        <f t="shared" si="43"/>
        <v>79.236688191808753</v>
      </c>
      <c r="U97" s="345">
        <f t="shared" si="50"/>
        <v>1000000000</v>
      </c>
      <c r="V97" s="345">
        <f t="shared" si="51"/>
        <v>5248222.8100000005</v>
      </c>
      <c r="X97" s="371">
        <f t="shared" si="44"/>
        <v>16.87854342206942</v>
      </c>
      <c r="Y97" s="372">
        <f t="shared" si="45"/>
        <v>-31.233306105507246</v>
      </c>
      <c r="AA97" s="371">
        <f t="shared" si="46"/>
        <v>34.520189899880258</v>
      </c>
      <c r="AB97" s="372">
        <f t="shared" si="47"/>
        <v>-69.530005702684008</v>
      </c>
      <c r="AD97">
        <f t="shared" si="52"/>
        <v>0</v>
      </c>
      <c r="AE97">
        <f t="shared" si="53"/>
        <v>0</v>
      </c>
    </row>
    <row r="98" spans="1:31" x14ac:dyDescent="0.2">
      <c r="A98" s="373">
        <v>2511.9</v>
      </c>
      <c r="B98" s="390">
        <f t="shared" si="49"/>
        <v>2.5119000000000002</v>
      </c>
      <c r="C98" s="363">
        <f t="shared" si="27"/>
        <v>3.4486600140858616</v>
      </c>
      <c r="D98" s="364">
        <f t="shared" si="28"/>
        <v>1.2766032429866518</v>
      </c>
      <c r="E98" s="364">
        <f t="shared" si="29"/>
        <v>1.0043848647564231</v>
      </c>
      <c r="F98" s="365">
        <f t="shared" si="30"/>
        <v>9.3476221022744554E-2</v>
      </c>
      <c r="G98" s="364">
        <f t="shared" si="31"/>
        <v>1.0003117319598664</v>
      </c>
      <c r="H98" s="365">
        <f t="shared" si="32"/>
        <v>-2.4966016931956686E-2</v>
      </c>
      <c r="I98" s="363">
        <f t="shared" si="33"/>
        <v>8524.7512339731002</v>
      </c>
      <c r="J98" s="366">
        <f t="shared" si="34"/>
        <v>1.570679021318778</v>
      </c>
      <c r="K98" s="374">
        <f t="shared" si="35"/>
        <v>2.3036388912721817</v>
      </c>
      <c r="L98" s="375">
        <f t="shared" si="36"/>
        <v>1.121761977416444</v>
      </c>
      <c r="M98" s="363">
        <f t="shared" si="37"/>
        <v>1.0021082467477365</v>
      </c>
      <c r="N98" s="366">
        <f t="shared" si="38"/>
        <v>6.4877568985423184E-2</v>
      </c>
      <c r="O98" s="367">
        <f t="shared" si="39"/>
        <v>1.0002219625597168</v>
      </c>
      <c r="P98" s="368">
        <f t="shared" si="40"/>
        <v>2.8504651514886833E-2</v>
      </c>
      <c r="Q98" s="369">
        <f t="shared" si="41"/>
        <v>4.4924322652243216</v>
      </c>
      <c r="R98" s="370">
        <f t="shared" si="42"/>
        <v>-100.29009158578577</v>
      </c>
      <c r="S98" s="372">
        <f t="shared" si="43"/>
        <v>79.709908414214226</v>
      </c>
      <c r="U98" s="345">
        <f t="shared" si="50"/>
        <v>1000000000</v>
      </c>
      <c r="V98" s="345">
        <f t="shared" si="51"/>
        <v>6309641.6100000003</v>
      </c>
      <c r="X98" s="371">
        <f t="shared" si="44"/>
        <v>16.713035359414462</v>
      </c>
      <c r="Y98" s="372">
        <f t="shared" si="45"/>
        <v>-29.438262888664546</v>
      </c>
      <c r="AA98" s="371">
        <f t="shared" si="46"/>
        <v>33.799996819089486</v>
      </c>
      <c r="AB98" s="372">
        <f t="shared" si="47"/>
        <v>-70.851828697121221</v>
      </c>
      <c r="AD98">
        <f t="shared" si="52"/>
        <v>0</v>
      </c>
      <c r="AE98">
        <f t="shared" si="53"/>
        <v>0</v>
      </c>
    </row>
    <row r="99" spans="1:31" x14ac:dyDescent="0.2">
      <c r="A99" s="373">
        <v>2754.2</v>
      </c>
      <c r="B99" s="390">
        <f t="shared" si="49"/>
        <v>2.7542</v>
      </c>
      <c r="C99" s="363">
        <f t="shared" si="27"/>
        <v>3.7544852751640247</v>
      </c>
      <c r="D99" s="364">
        <f t="shared" si="28"/>
        <v>1.3011940570043379</v>
      </c>
      <c r="E99" s="364">
        <f t="shared" si="29"/>
        <v>1.0052692751130115</v>
      </c>
      <c r="F99" s="365">
        <f t="shared" si="30"/>
        <v>0.10243281660378874</v>
      </c>
      <c r="G99" s="364">
        <f t="shared" si="31"/>
        <v>1.000374760579537</v>
      </c>
      <c r="H99" s="365">
        <f t="shared" si="32"/>
        <v>-2.7373110128121027E-2</v>
      </c>
      <c r="I99" s="363">
        <f t="shared" si="33"/>
        <v>9347.0559422890437</v>
      </c>
      <c r="J99" s="366">
        <f t="shared" si="34"/>
        <v>1.5706893412362264</v>
      </c>
      <c r="K99" s="374">
        <f t="shared" si="35"/>
        <v>2.4854961414837242</v>
      </c>
      <c r="L99" s="375">
        <f t="shared" si="36"/>
        <v>1.1567312846573963</v>
      </c>
      <c r="M99" s="363">
        <f t="shared" si="37"/>
        <v>1.0025340509351102</v>
      </c>
      <c r="N99" s="366">
        <f t="shared" si="38"/>
        <v>7.1115558108265434E-2</v>
      </c>
      <c r="O99" s="367">
        <f t="shared" si="39"/>
        <v>1.0002668473894463</v>
      </c>
      <c r="P99" s="368">
        <f t="shared" si="40"/>
        <v>3.1253687612786726E-2</v>
      </c>
      <c r="Q99" s="369">
        <f t="shared" si="41"/>
        <v>3.6186556331089728</v>
      </c>
      <c r="R99" s="370">
        <f t="shared" si="42"/>
        <v>-99.835698784544675</v>
      </c>
      <c r="S99" s="372">
        <f t="shared" si="43"/>
        <v>80.164301215455325</v>
      </c>
      <c r="U99" s="345">
        <f t="shared" si="50"/>
        <v>1000000000</v>
      </c>
      <c r="V99" s="345">
        <f t="shared" si="51"/>
        <v>7585617.6399999987</v>
      </c>
      <c r="X99" s="371">
        <f t="shared" si="44"/>
        <v>16.569456712739267</v>
      </c>
      <c r="Y99" s="372">
        <f t="shared" si="45"/>
        <v>-27.79267090648343</v>
      </c>
      <c r="AA99" s="371">
        <f t="shared" si="46"/>
        <v>33.06979883364933</v>
      </c>
      <c r="AB99" s="372">
        <f t="shared" si="47"/>
        <v>-72.04302787806121</v>
      </c>
      <c r="AD99">
        <f t="shared" si="52"/>
        <v>0</v>
      </c>
      <c r="AE99">
        <f t="shared" si="53"/>
        <v>0</v>
      </c>
    </row>
    <row r="100" spans="1:31" x14ac:dyDescent="0.2">
      <c r="A100" s="373">
        <v>3020</v>
      </c>
      <c r="B100" s="390">
        <f t="shared" si="49"/>
        <v>3.02</v>
      </c>
      <c r="C100" s="363">
        <f t="shared" si="27"/>
        <v>4.0921728505312718</v>
      </c>
      <c r="D100" s="364">
        <f t="shared" si="28"/>
        <v>1.3239274634606943</v>
      </c>
      <c r="E100" s="364">
        <f t="shared" si="29"/>
        <v>1.0063320407743943</v>
      </c>
      <c r="F100" s="365">
        <f t="shared" si="30"/>
        <v>0.11223910226925091</v>
      </c>
      <c r="G100" s="364">
        <f t="shared" si="31"/>
        <v>1.0004505680390603</v>
      </c>
      <c r="H100" s="365">
        <f t="shared" si="32"/>
        <v>-3.0013294646947481E-2</v>
      </c>
      <c r="I100" s="363">
        <f t="shared" si="33"/>
        <v>10249.113687650701</v>
      </c>
      <c r="J100" s="366">
        <f t="shared" si="34"/>
        <v>1.5706987573823541</v>
      </c>
      <c r="K100" s="374">
        <f t="shared" si="35"/>
        <v>2.6879885818898139</v>
      </c>
      <c r="L100" s="375">
        <f t="shared" si="36"/>
        <v>1.1896062488197772</v>
      </c>
      <c r="M100" s="363">
        <f t="shared" si="37"/>
        <v>1.0030459815514003</v>
      </c>
      <c r="N100" s="366">
        <f t="shared" si="38"/>
        <v>7.7952163857399365E-2</v>
      </c>
      <c r="O100" s="367">
        <f t="shared" si="39"/>
        <v>1.0003208353857755</v>
      </c>
      <c r="P100" s="368">
        <f t="shared" si="40"/>
        <v>3.4269171010465047E-2</v>
      </c>
      <c r="Q100" s="369">
        <f t="shared" si="41"/>
        <v>2.755574515752266</v>
      </c>
      <c r="R100" s="370">
        <f t="shared" si="42"/>
        <v>-99.40906561147888</v>
      </c>
      <c r="S100" s="372">
        <f t="shared" si="43"/>
        <v>80.59093438852112</v>
      </c>
      <c r="U100" s="345">
        <f t="shared" si="50"/>
        <v>1000000000</v>
      </c>
      <c r="V100" s="345">
        <f t="shared" si="51"/>
        <v>9120400</v>
      </c>
      <c r="X100" s="371">
        <f t="shared" si="44"/>
        <v>16.445079665734298</v>
      </c>
      <c r="Y100" s="372">
        <f t="shared" si="45"/>
        <v>-26.30132236768371</v>
      </c>
      <c r="AA100" s="371">
        <f t="shared" si="46"/>
        <v>32.331094763297592</v>
      </c>
      <c r="AB100" s="372">
        <f t="shared" si="47"/>
        <v>-73.107743243795156</v>
      </c>
      <c r="AD100">
        <f t="shared" si="52"/>
        <v>0</v>
      </c>
      <c r="AE100">
        <f t="shared" si="53"/>
        <v>0</v>
      </c>
    </row>
    <row r="101" spans="1:31" x14ac:dyDescent="0.2">
      <c r="A101" s="373">
        <v>3311.3</v>
      </c>
      <c r="B101" s="390">
        <f t="shared" si="49"/>
        <v>3.3113000000000001</v>
      </c>
      <c r="C101" s="363">
        <f t="shared" si="27"/>
        <v>4.4643002119075907</v>
      </c>
      <c r="D101" s="364">
        <f t="shared" si="28"/>
        <v>1.3448802316162498</v>
      </c>
      <c r="E101" s="364">
        <f t="shared" si="29"/>
        <v>1.0076076555482787</v>
      </c>
      <c r="F101" s="365">
        <f t="shared" si="30"/>
        <v>0.12296126415317195</v>
      </c>
      <c r="G101" s="364">
        <f t="shared" si="31"/>
        <v>1.000541656276033</v>
      </c>
      <c r="H101" s="365">
        <f t="shared" si="32"/>
        <v>-3.2906288032930817E-2</v>
      </c>
      <c r="I101" s="363">
        <f t="shared" si="33"/>
        <v>11237.711962498661</v>
      </c>
      <c r="J101" s="366">
        <f t="shared" si="34"/>
        <v>1.5707073407090584</v>
      </c>
      <c r="K101" s="374">
        <f t="shared" si="35"/>
        <v>2.9127557209809769</v>
      </c>
      <c r="L101" s="375">
        <f t="shared" si="36"/>
        <v>1.2203495152370885</v>
      </c>
      <c r="M101" s="363">
        <f t="shared" si="37"/>
        <v>1.003660809722362</v>
      </c>
      <c r="N101" s="366">
        <f t="shared" si="38"/>
        <v>8.5436251780063519E-2</v>
      </c>
      <c r="O101" s="367">
        <f t="shared" si="39"/>
        <v>1.0003857101493097</v>
      </c>
      <c r="P101" s="368">
        <f t="shared" si="40"/>
        <v>3.7573720960375027E-2</v>
      </c>
      <c r="Q101" s="369">
        <f t="shared" si="41"/>
        <v>1.903195413541515</v>
      </c>
      <c r="R101" s="370">
        <f t="shared" si="42"/>
        <v>-99.018168274462667</v>
      </c>
      <c r="S101" s="372">
        <f t="shared" si="43"/>
        <v>80.981831725537333</v>
      </c>
      <c r="U101" s="345">
        <f t="shared" si="50"/>
        <v>1000000000</v>
      </c>
      <c r="V101" s="345">
        <f t="shared" si="51"/>
        <v>10964707.690000001</v>
      </c>
      <c r="X101" s="371">
        <f t="shared" si="44"/>
        <v>16.337458355170536</v>
      </c>
      <c r="Y101" s="372">
        <f t="shared" si="45"/>
        <v>-24.969161391871097</v>
      </c>
      <c r="AA101" s="371">
        <f t="shared" si="46"/>
        <v>31.586336971650603</v>
      </c>
      <c r="AB101" s="372">
        <f t="shared" si="47"/>
        <v>-74.049006882591556</v>
      </c>
      <c r="AD101">
        <f t="shared" si="52"/>
        <v>0</v>
      </c>
      <c r="AE101">
        <f t="shared" si="53"/>
        <v>0</v>
      </c>
    </row>
    <row r="102" spans="1:31" x14ac:dyDescent="0.2">
      <c r="A102" s="373">
        <v>3630.8</v>
      </c>
      <c r="B102" s="390">
        <f t="shared" si="49"/>
        <v>3.6308000000000002</v>
      </c>
      <c r="C102" s="363">
        <f t="shared" si="27"/>
        <v>4.8743446104619927</v>
      </c>
      <c r="D102" s="364">
        <f t="shared" si="28"/>
        <v>1.3641734504570733</v>
      </c>
      <c r="E102" s="364">
        <f t="shared" si="29"/>
        <v>1.0091395995094514</v>
      </c>
      <c r="F102" s="365">
        <f t="shared" si="30"/>
        <v>0.1346887366549781</v>
      </c>
      <c r="G102" s="364">
        <f t="shared" si="31"/>
        <v>1.0006511898116386</v>
      </c>
      <c r="H102" s="365">
        <f t="shared" si="32"/>
        <v>-3.60787093564841E-2</v>
      </c>
      <c r="I102" s="363">
        <f t="shared" si="33"/>
        <v>12322.013881635616</v>
      </c>
      <c r="J102" s="366">
        <f t="shared" si="34"/>
        <v>1.5707151712296861</v>
      </c>
      <c r="K102" s="374">
        <f t="shared" si="35"/>
        <v>3.1619740340196123</v>
      </c>
      <c r="L102" s="375">
        <f t="shared" si="36"/>
        <v>1.249013764147995</v>
      </c>
      <c r="M102" s="363">
        <f t="shared" si="37"/>
        <v>1.0043997157862783</v>
      </c>
      <c r="N102" s="366">
        <f t="shared" si="38"/>
        <v>9.3633806604212125E-2</v>
      </c>
      <c r="O102" s="367">
        <f t="shared" si="39"/>
        <v>1.0004637280972088</v>
      </c>
      <c r="P102" s="368">
        <f t="shared" si="40"/>
        <v>4.1197873613910793E-2</v>
      </c>
      <c r="Q102" s="369">
        <f t="shared" si="41"/>
        <v>1.0600243804706257</v>
      </c>
      <c r="R102" s="370">
        <f t="shared" si="42"/>
        <v>-98.668862076218161</v>
      </c>
      <c r="S102" s="372">
        <f t="shared" si="43"/>
        <v>81.331137923781839</v>
      </c>
      <c r="U102" s="345">
        <f t="shared" si="50"/>
        <v>1000000000</v>
      </c>
      <c r="V102" s="345">
        <f t="shared" si="51"/>
        <v>13182708.640000001</v>
      </c>
      <c r="X102" s="371">
        <f t="shared" si="44"/>
        <v>16.244074819086773</v>
      </c>
      <c r="Y102" s="372">
        <f t="shared" si="45"/>
        <v>-23.796954854558425</v>
      </c>
      <c r="AA102" s="371">
        <f t="shared" si="46"/>
        <v>30.836549474663478</v>
      </c>
      <c r="AB102" s="372">
        <f t="shared" si="47"/>
        <v>-74.87190722165974</v>
      </c>
      <c r="AD102">
        <f t="shared" si="52"/>
        <v>0</v>
      </c>
      <c r="AE102">
        <f t="shared" si="53"/>
        <v>0</v>
      </c>
    </row>
    <row r="103" spans="1:31" x14ac:dyDescent="0.2">
      <c r="A103" s="373">
        <v>3981.1</v>
      </c>
      <c r="B103" s="390">
        <f t="shared" si="49"/>
        <v>3.9811000000000001</v>
      </c>
      <c r="C103" s="363">
        <f t="shared" si="27"/>
        <v>5.3256656867815915</v>
      </c>
      <c r="D103" s="364">
        <f t="shared" si="28"/>
        <v>1.3819051054159774</v>
      </c>
      <c r="E103" s="364">
        <f t="shared" si="29"/>
        <v>1.0109782074876352</v>
      </c>
      <c r="F103" s="365">
        <f t="shared" si="30"/>
        <v>0.14750393389495486</v>
      </c>
      <c r="G103" s="364">
        <f t="shared" si="31"/>
        <v>1.0007828535703536</v>
      </c>
      <c r="H103" s="365">
        <f t="shared" si="32"/>
        <v>-3.9556116969959705E-2</v>
      </c>
      <c r="I103" s="363">
        <f t="shared" si="33"/>
        <v>13510.843185248837</v>
      </c>
      <c r="J103" s="366">
        <f t="shared" si="34"/>
        <v>1.5707223121692213</v>
      </c>
      <c r="K103" s="374">
        <f t="shared" si="35"/>
        <v>3.437747688362891</v>
      </c>
      <c r="L103" s="375">
        <f t="shared" si="36"/>
        <v>1.2756413476346526</v>
      </c>
      <c r="M103" s="363">
        <f t="shared" si="37"/>
        <v>1.0052872990136392</v>
      </c>
      <c r="N103" s="366">
        <f t="shared" si="38"/>
        <v>0.10260708908436872</v>
      </c>
      <c r="O103" s="367">
        <f t="shared" si="39"/>
        <v>1.000557517646161</v>
      </c>
      <c r="P103" s="368">
        <f t="shared" si="40"/>
        <v>4.5170998503991394E-2</v>
      </c>
      <c r="Q103" s="369">
        <f t="shared" si="41"/>
        <v>0.22563695578232054</v>
      </c>
      <c r="R103" s="370">
        <f t="shared" si="42"/>
        <v>-98.366330628671392</v>
      </c>
      <c r="S103" s="372">
        <f t="shared" si="43"/>
        <v>81.633669371328608</v>
      </c>
      <c r="U103" s="345">
        <f t="shared" si="50"/>
        <v>1000000000</v>
      </c>
      <c r="V103" s="345">
        <f t="shared" si="51"/>
        <v>15849157.209999999</v>
      </c>
      <c r="X103" s="371">
        <f t="shared" si="44"/>
        <v>16.162701327270014</v>
      </c>
      <c r="Y103" s="372">
        <f t="shared" si="45"/>
        <v>-22.785847061174117</v>
      </c>
      <c r="AA103" s="371">
        <f t="shared" si="46"/>
        <v>30.083535541791932</v>
      </c>
      <c r="AB103" s="372">
        <f t="shared" si="47"/>
        <v>-75.580483567497282</v>
      </c>
      <c r="AD103">
        <f t="shared" si="52"/>
        <v>3981.1</v>
      </c>
      <c r="AE103">
        <f t="shared" si="53"/>
        <v>81.633669371328608</v>
      </c>
    </row>
    <row r="104" spans="1:31" x14ac:dyDescent="0.2">
      <c r="A104" s="373">
        <v>4365.2</v>
      </c>
      <c r="B104" s="390">
        <f t="shared" si="49"/>
        <v>4.3651999999999997</v>
      </c>
      <c r="C104" s="363">
        <f t="shared" si="27"/>
        <v>5.8221456234621778</v>
      </c>
      <c r="D104" s="364">
        <f t="shared" si="28"/>
        <v>1.3981824301474546</v>
      </c>
      <c r="E104" s="364">
        <f t="shared" si="29"/>
        <v>1.0131843092697115</v>
      </c>
      <c r="F104" s="365">
        <f t="shared" si="30"/>
        <v>0.16149963144736085</v>
      </c>
      <c r="G104" s="364">
        <f t="shared" si="31"/>
        <v>1.0009411271505357</v>
      </c>
      <c r="H104" s="365">
        <f t="shared" si="32"/>
        <v>-4.3367952281703107E-2</v>
      </c>
      <c r="I104" s="363">
        <f t="shared" si="33"/>
        <v>14814.381112021794</v>
      </c>
      <c r="J104" s="366">
        <f t="shared" si="34"/>
        <v>1.5707288248187292</v>
      </c>
      <c r="K104" s="374">
        <f t="shared" si="35"/>
        <v>3.7424980143643287</v>
      </c>
      <c r="L104" s="375">
        <f t="shared" si="36"/>
        <v>1.3003088607446773</v>
      </c>
      <c r="M104" s="363">
        <f t="shared" si="37"/>
        <v>1.006353384889294</v>
      </c>
      <c r="N104" s="366">
        <f t="shared" si="38"/>
        <v>0.11242711718974287</v>
      </c>
      <c r="O104" s="367">
        <f t="shared" si="39"/>
        <v>1.0006702751986283</v>
      </c>
      <c r="P104" s="368">
        <f t="shared" si="40"/>
        <v>4.9526960168052192E-2</v>
      </c>
      <c r="Q104" s="369">
        <f t="shared" si="41"/>
        <v>-0.6006942356012015</v>
      </c>
      <c r="R104" s="370">
        <f t="shared" si="42"/>
        <v>-98.114713450980304</v>
      </c>
      <c r="S104" s="372">
        <f t="shared" si="43"/>
        <v>81.885286549019696</v>
      </c>
      <c r="U104" s="345">
        <f t="shared" si="50"/>
        <v>4365.2</v>
      </c>
      <c r="V104" s="345">
        <f t="shared" si="51"/>
        <v>19054971.039999999</v>
      </c>
      <c r="X104" s="371">
        <f t="shared" si="44"/>
        <v>16.091225409667178</v>
      </c>
      <c r="Y104" s="372">
        <f t="shared" si="45"/>
        <v>-21.935521980382479</v>
      </c>
      <c r="AA104" s="371">
        <f t="shared" si="46"/>
        <v>29.328680268011247</v>
      </c>
      <c r="AB104" s="372">
        <f t="shared" si="47"/>
        <v>-76.179191470597814</v>
      </c>
      <c r="AD104">
        <f t="shared" si="52"/>
        <v>0</v>
      </c>
      <c r="AE104">
        <f t="shared" si="53"/>
        <v>0</v>
      </c>
    </row>
    <row r="105" spans="1:31" x14ac:dyDescent="0.2">
      <c r="A105" s="373">
        <v>4786.3</v>
      </c>
      <c r="B105" s="390">
        <f t="shared" si="49"/>
        <v>4.7862999999999998</v>
      </c>
      <c r="C105" s="363">
        <f t="shared" si="27"/>
        <v>6.3679336566636957</v>
      </c>
      <c r="D105" s="364">
        <f t="shared" si="28"/>
        <v>1.4131068094056434</v>
      </c>
      <c r="E105" s="364">
        <f t="shared" si="29"/>
        <v>1.0158299146163834</v>
      </c>
      <c r="F105" s="365">
        <f t="shared" si="30"/>
        <v>0.17677033267155476</v>
      </c>
      <c r="G105" s="364">
        <f t="shared" si="31"/>
        <v>1.0011313541026194</v>
      </c>
      <c r="H105" s="365">
        <f t="shared" si="32"/>
        <v>-4.7545525473412197E-2</v>
      </c>
      <c r="I105" s="363">
        <f t="shared" si="33"/>
        <v>16243.487649888953</v>
      </c>
      <c r="J105" s="366">
        <f t="shared" si="34"/>
        <v>1.5707347636612774</v>
      </c>
      <c r="K105" s="374">
        <f t="shared" si="35"/>
        <v>4.0788107256849662</v>
      </c>
      <c r="L105" s="375">
        <f t="shared" si="36"/>
        <v>1.3231017986849074</v>
      </c>
      <c r="M105" s="363">
        <f t="shared" si="37"/>
        <v>1.0076334297910314</v>
      </c>
      <c r="N105" s="366">
        <f t="shared" si="38"/>
        <v>0.12316806641946826</v>
      </c>
      <c r="O105" s="367">
        <f t="shared" si="39"/>
        <v>1.0008058154137078</v>
      </c>
      <c r="P105" s="368">
        <f t="shared" si="40"/>
        <v>5.4301835925456253E-2</v>
      </c>
      <c r="Q105" s="369">
        <f t="shared" si="41"/>
        <v>-1.4193955749913294</v>
      </c>
      <c r="R105" s="370">
        <f t="shared" si="42"/>
        <v>-97.91762038760281</v>
      </c>
      <c r="S105" s="372">
        <f t="shared" si="43"/>
        <v>82.08237961239719</v>
      </c>
      <c r="U105" s="345">
        <f t="shared" si="50"/>
        <v>4786.3</v>
      </c>
      <c r="V105" s="345">
        <f t="shared" si="51"/>
        <v>22908667.690000001</v>
      </c>
      <c r="X105" s="371">
        <f t="shared" si="44"/>
        <v>16.027708385076721</v>
      </c>
      <c r="Y105" s="372">
        <f t="shared" si="45"/>
        <v>-21.2453341623558</v>
      </c>
      <c r="AA105" s="371">
        <f t="shared" si="46"/>
        <v>28.573495953211573</v>
      </c>
      <c r="AB105" s="372">
        <f t="shared" si="47"/>
        <v>-76.672286225247007</v>
      </c>
      <c r="AD105">
        <f t="shared" si="52"/>
        <v>0</v>
      </c>
      <c r="AE105">
        <f t="shared" si="53"/>
        <v>0</v>
      </c>
    </row>
    <row r="106" spans="1:31" x14ac:dyDescent="0.2">
      <c r="A106" s="373">
        <v>5248.1</v>
      </c>
      <c r="B106" s="390">
        <f t="shared" si="49"/>
        <v>5.2481</v>
      </c>
      <c r="C106" s="363">
        <f t="shared" si="27"/>
        <v>6.967835613817809</v>
      </c>
      <c r="D106" s="364">
        <f t="shared" si="28"/>
        <v>1.4267824458363003</v>
      </c>
      <c r="E106" s="364">
        <f t="shared" si="29"/>
        <v>1.019002033212161</v>
      </c>
      <c r="F106" s="365">
        <f t="shared" si="30"/>
        <v>0.19342148377430157</v>
      </c>
      <c r="G106" s="364">
        <f t="shared" si="31"/>
        <v>1.0013600450631819</v>
      </c>
      <c r="H106" s="365">
        <f t="shared" si="32"/>
        <v>-5.2124953995850334E-2</v>
      </c>
      <c r="I106" s="363">
        <f t="shared" si="33"/>
        <v>17810.719659904975</v>
      </c>
      <c r="J106" s="366">
        <f t="shared" si="34"/>
        <v>1.5707401808322616</v>
      </c>
      <c r="K106" s="374">
        <f t="shared" si="35"/>
        <v>4.4496779445018264</v>
      </c>
      <c r="L106" s="375">
        <f t="shared" si="36"/>
        <v>1.3441248805467048</v>
      </c>
      <c r="M106" s="363">
        <f t="shared" si="37"/>
        <v>1.0091704726109896</v>
      </c>
      <c r="N106" s="366">
        <f t="shared" si="38"/>
        <v>0.13491430895685583</v>
      </c>
      <c r="O106" s="367">
        <f t="shared" si="39"/>
        <v>1.0009687885094398</v>
      </c>
      <c r="P106" s="368">
        <f t="shared" si="40"/>
        <v>5.9537299558190968E-2</v>
      </c>
      <c r="Q106" s="369">
        <f t="shared" si="41"/>
        <v>-2.2311147721967619</v>
      </c>
      <c r="R106" s="370">
        <f t="shared" si="42"/>
        <v>-97.778274492245657</v>
      </c>
      <c r="S106" s="372">
        <f t="shared" si="43"/>
        <v>82.221725507754343</v>
      </c>
      <c r="U106" s="345">
        <f t="shared" si="50"/>
        <v>5248.1</v>
      </c>
      <c r="V106" s="345">
        <f t="shared" si="51"/>
        <v>27542553.610000003</v>
      </c>
      <c r="X106" s="371">
        <f t="shared" si="44"/>
        <v>15.970325855896911</v>
      </c>
      <c r="Y106" s="372">
        <f t="shared" si="45"/>
        <v>-20.71412080227342</v>
      </c>
      <c r="AA106" s="371">
        <f t="shared" si="46"/>
        <v>27.81915928518595</v>
      </c>
      <c r="AB106" s="372">
        <f t="shared" si="47"/>
        <v>-77.064153689972244</v>
      </c>
      <c r="AD106">
        <f t="shared" si="52"/>
        <v>0</v>
      </c>
      <c r="AE106">
        <f t="shared" si="53"/>
        <v>0</v>
      </c>
    </row>
    <row r="107" spans="1:31" x14ac:dyDescent="0.2">
      <c r="A107" s="373">
        <v>5370.3</v>
      </c>
      <c r="B107" s="390">
        <f t="shared" si="49"/>
        <v>5.3703000000000003</v>
      </c>
      <c r="C107" s="363">
        <f t="shared" si="27"/>
        <v>7.1267745249915322</v>
      </c>
      <c r="D107" s="364">
        <f t="shared" si="28"/>
        <v>1.4300158318431673</v>
      </c>
      <c r="E107" s="364">
        <f t="shared" si="29"/>
        <v>1.019888513332329</v>
      </c>
      <c r="F107" s="365">
        <f t="shared" si="30"/>
        <v>0.19780993384613721</v>
      </c>
      <c r="G107" s="364">
        <f t="shared" si="31"/>
        <v>1.0014240731416761</v>
      </c>
      <c r="H107" s="365">
        <f t="shared" si="32"/>
        <v>-5.3336389189621032E-2</v>
      </c>
      <c r="I107" s="363">
        <f t="shared" si="33"/>
        <v>18225.435449554072</v>
      </c>
      <c r="J107" s="366">
        <f t="shared" si="34"/>
        <v>1.5707414584213386</v>
      </c>
      <c r="K107" s="374">
        <f t="shared" si="35"/>
        <v>4.5481107097475126</v>
      </c>
      <c r="L107" s="375">
        <f t="shared" si="36"/>
        <v>1.3491135645306622</v>
      </c>
      <c r="M107" s="363">
        <f t="shared" si="37"/>
        <v>1.0096004519104858</v>
      </c>
      <c r="N107" s="366">
        <f t="shared" si="38"/>
        <v>0.13801643887347226</v>
      </c>
      <c r="O107" s="367">
        <f t="shared" si="39"/>
        <v>1.0010144223315272</v>
      </c>
      <c r="P107" s="368">
        <f t="shared" si="40"/>
        <v>6.0922520109817364E-2</v>
      </c>
      <c r="Q107" s="369">
        <f t="shared" si="41"/>
        <v>-2.4328848024802161</v>
      </c>
      <c r="R107" s="370">
        <f t="shared" si="42"/>
        <v>-97.752853225866517</v>
      </c>
      <c r="S107" s="372">
        <f t="shared" si="43"/>
        <v>82.247146774133483</v>
      </c>
      <c r="U107" s="345">
        <f t="shared" si="50"/>
        <v>5370.3</v>
      </c>
      <c r="V107" s="345">
        <f t="shared" si="51"/>
        <v>28840122.090000004</v>
      </c>
      <c r="X107" s="371">
        <f t="shared" si="44"/>
        <v>15.956745891491424</v>
      </c>
      <c r="Y107" s="372">
        <f t="shared" si="45"/>
        <v>-20.606102416730167</v>
      </c>
      <c r="AA107" s="371">
        <f t="shared" si="46"/>
        <v>27.630969219307985</v>
      </c>
      <c r="AB107" s="372">
        <f t="shared" si="47"/>
        <v>-77.14675080913635</v>
      </c>
      <c r="AD107">
        <f t="shared" si="52"/>
        <v>0</v>
      </c>
      <c r="AE107">
        <f t="shared" si="53"/>
        <v>0</v>
      </c>
    </row>
    <row r="108" spans="1:31" x14ac:dyDescent="0.2">
      <c r="A108" s="373">
        <v>5432.85</v>
      </c>
      <c r="B108" s="390">
        <f t="shared" si="49"/>
        <v>5.4328500000000002</v>
      </c>
      <c r="C108" s="363">
        <f t="shared" si="27"/>
        <v>7.2081577859329258</v>
      </c>
      <c r="D108" s="364">
        <f t="shared" si="28"/>
        <v>1.4316157092395225</v>
      </c>
      <c r="E108" s="364">
        <f t="shared" si="29"/>
        <v>1.0203498621732769</v>
      </c>
      <c r="F108" s="365">
        <f t="shared" si="30"/>
        <v>0.2000532587648593</v>
      </c>
      <c r="G108" s="364">
        <f t="shared" si="31"/>
        <v>1.001457415536342</v>
      </c>
      <c r="H108" s="365">
        <f t="shared" si="32"/>
        <v>-5.3956421023958777E-2</v>
      </c>
      <c r="I108" s="363">
        <f t="shared" si="33"/>
        <v>18437.714276427309</v>
      </c>
      <c r="J108" s="366">
        <f t="shared" si="34"/>
        <v>1.5707420901370606</v>
      </c>
      <c r="K108" s="374">
        <f t="shared" si="35"/>
        <v>4.5985374544216819</v>
      </c>
      <c r="L108" s="375">
        <f t="shared" si="36"/>
        <v>1.35158443280632</v>
      </c>
      <c r="M108" s="363">
        <f t="shared" si="37"/>
        <v>1.0098243004920548</v>
      </c>
      <c r="N108" s="366">
        <f t="shared" si="38"/>
        <v>0.13960328309043274</v>
      </c>
      <c r="O108" s="367">
        <f t="shared" si="39"/>
        <v>1.0010381868826035</v>
      </c>
      <c r="P108" s="368">
        <f t="shared" si="40"/>
        <v>6.1631538340542358E-2</v>
      </c>
      <c r="Q108" s="369">
        <f t="shared" si="41"/>
        <v>-2.5342338947326102</v>
      </c>
      <c r="R108" s="370">
        <f t="shared" si="42"/>
        <v>-97.741520705066819</v>
      </c>
      <c r="S108" s="372">
        <f t="shared" si="43"/>
        <v>82.258479294933181</v>
      </c>
      <c r="U108" s="345">
        <f t="shared" si="50"/>
        <v>5432.85</v>
      </c>
      <c r="V108" s="345">
        <f t="shared" si="51"/>
        <v>29515859.122500002</v>
      </c>
      <c r="X108" s="371">
        <f t="shared" si="44"/>
        <v>15.950010935486016</v>
      </c>
      <c r="Y108" s="372">
        <f t="shared" si="45"/>
        <v>-20.555487763765679</v>
      </c>
      <c r="AA108" s="371">
        <f t="shared" si="46"/>
        <v>27.536355083060997</v>
      </c>
      <c r="AB108" s="372">
        <f t="shared" si="47"/>
        <v>-77.18603294130115</v>
      </c>
      <c r="AD108">
        <f t="shared" si="52"/>
        <v>0</v>
      </c>
      <c r="AE108">
        <f t="shared" si="53"/>
        <v>0</v>
      </c>
    </row>
    <row r="109" spans="1:31" x14ac:dyDescent="0.2">
      <c r="A109" s="373">
        <v>5495.4</v>
      </c>
      <c r="B109" s="390">
        <f t="shared" si="49"/>
        <v>5.4954000000000001</v>
      </c>
      <c r="C109" s="363">
        <f t="shared" si="27"/>
        <v>7.2895590849370535</v>
      </c>
      <c r="D109" s="364">
        <f t="shared" si="28"/>
        <v>1.4331798594334892</v>
      </c>
      <c r="E109" s="364">
        <f t="shared" si="29"/>
        <v>1.0208163412753066</v>
      </c>
      <c r="F109" s="365">
        <f t="shared" si="30"/>
        <v>0.2022945447046314</v>
      </c>
      <c r="G109" s="364">
        <f t="shared" si="31"/>
        <v>1.0014911429050497</v>
      </c>
      <c r="H109" s="365">
        <f t="shared" si="32"/>
        <v>-5.4576411334820205E-2</v>
      </c>
      <c r="I109" s="363">
        <f t="shared" si="33"/>
        <v>18649.993103307737</v>
      </c>
      <c r="J109" s="366">
        <f t="shared" si="34"/>
        <v>1.5707427074720937</v>
      </c>
      <c r="K109" s="374">
        <f t="shared" si="35"/>
        <v>4.6489916648948162</v>
      </c>
      <c r="L109" s="375">
        <f t="shared" si="36"/>
        <v>1.354001684284931</v>
      </c>
      <c r="M109" s="363">
        <f t="shared" si="37"/>
        <v>1.0100506907556976</v>
      </c>
      <c r="N109" s="366">
        <f t="shared" si="38"/>
        <v>0.14118941995724371</v>
      </c>
      <c r="O109" s="367">
        <f t="shared" si="39"/>
        <v>1.0010622264483406</v>
      </c>
      <c r="P109" s="368">
        <f t="shared" si="40"/>
        <v>6.2340536780454772E-2</v>
      </c>
      <c r="Q109" s="369">
        <f t="shared" si="41"/>
        <v>-2.6343175669074599</v>
      </c>
      <c r="R109" s="370">
        <f t="shared" si="42"/>
        <v>-97.731285142246904</v>
      </c>
      <c r="S109" s="372">
        <f t="shared" si="43"/>
        <v>82.268714857753096</v>
      </c>
      <c r="U109" s="345">
        <f t="shared" si="50"/>
        <v>5495.4</v>
      </c>
      <c r="V109" s="345">
        <f t="shared" si="51"/>
        <v>30199421.159999996</v>
      </c>
      <c r="X109" s="371">
        <f t="shared" si="44"/>
        <v>15.943412772715913</v>
      </c>
      <c r="Y109" s="372">
        <f t="shared" si="45"/>
        <v>-20.50790377485545</v>
      </c>
      <c r="AA109" s="371">
        <f t="shared" si="46"/>
        <v>27.442869573656253</v>
      </c>
      <c r="AB109" s="372">
        <f t="shared" si="47"/>
        <v>-77.22338136739144</v>
      </c>
      <c r="AD109">
        <f t="shared" si="52"/>
        <v>0</v>
      </c>
      <c r="AE109">
        <f t="shared" si="53"/>
        <v>0</v>
      </c>
    </row>
    <row r="110" spans="1:31" x14ac:dyDescent="0.2">
      <c r="A110" s="373">
        <v>5559.4</v>
      </c>
      <c r="B110" s="390">
        <f t="shared" si="49"/>
        <v>5.5593999999999992</v>
      </c>
      <c r="C110" s="363">
        <f t="shared" si="27"/>
        <v>7.3728654314389228</v>
      </c>
      <c r="D110" s="364">
        <f t="shared" si="28"/>
        <v>1.4347445162280177</v>
      </c>
      <c r="E110" s="364">
        <f t="shared" si="29"/>
        <v>1.0212989367387049</v>
      </c>
      <c r="F110" s="365">
        <f t="shared" si="30"/>
        <v>0.20458565593106182</v>
      </c>
      <c r="G110" s="364">
        <f t="shared" si="31"/>
        <v>1.0015260505465307</v>
      </c>
      <c r="H110" s="365">
        <f t="shared" si="32"/>
        <v>-5.5210730451831287E-2</v>
      </c>
      <c r="I110" s="363">
        <f t="shared" si="33"/>
        <v>18867.192862233347</v>
      </c>
      <c r="J110" s="366">
        <f t="shared" si="34"/>
        <v>1.5707433247395421</v>
      </c>
      <c r="K110" s="374">
        <f t="shared" si="35"/>
        <v>4.7006429831170982</v>
      </c>
      <c r="L110" s="375">
        <f t="shared" si="36"/>
        <v>1.3564212474035002</v>
      </c>
      <c r="M110" s="363">
        <f t="shared" si="37"/>
        <v>1.0102849580375257</v>
      </c>
      <c r="N110" s="366">
        <f t="shared" si="38"/>
        <v>0.14281158582243053</v>
      </c>
      <c r="O110" s="367">
        <f t="shared" si="39"/>
        <v>1.0010871079312076</v>
      </c>
      <c r="P110" s="368">
        <f t="shared" si="40"/>
        <v>6.3065950115130637E-2</v>
      </c>
      <c r="Q110" s="369">
        <f t="shared" si="41"/>
        <v>-2.7354429256018173</v>
      </c>
      <c r="R110" s="370">
        <f t="shared" si="42"/>
        <v>-97.721917169633755</v>
      </c>
      <c r="S110" s="372">
        <f t="shared" si="43"/>
        <v>82.278082830366245</v>
      </c>
      <c r="U110" s="345">
        <f t="shared" si="50"/>
        <v>5559.4</v>
      </c>
      <c r="V110" s="345">
        <f t="shared" si="51"/>
        <v>30906928.359999996</v>
      </c>
      <c r="X110" s="371">
        <f t="shared" si="44"/>
        <v>15.936796166858844</v>
      </c>
      <c r="Y110" s="372">
        <f t="shared" si="45"/>
        <v>-20.462251644408781</v>
      </c>
      <c r="AA110" s="371">
        <f t="shared" si="46"/>
        <v>27.348360820818961</v>
      </c>
      <c r="AB110" s="372">
        <f t="shared" si="47"/>
        <v>-77.259665525224989</v>
      </c>
      <c r="AD110">
        <f t="shared" si="52"/>
        <v>0</v>
      </c>
      <c r="AE110">
        <f t="shared" si="53"/>
        <v>0</v>
      </c>
    </row>
    <row r="111" spans="1:31" x14ac:dyDescent="0.2">
      <c r="A111" s="373">
        <v>5623.4</v>
      </c>
      <c r="B111" s="390">
        <f t="shared" si="49"/>
        <v>5.6233999999999993</v>
      </c>
      <c r="C111" s="363">
        <f t="shared" si="27"/>
        <v>7.4561894244676346</v>
      </c>
      <c r="D111" s="364">
        <f t="shared" si="28"/>
        <v>1.43627420616699</v>
      </c>
      <c r="E111" s="364">
        <f t="shared" si="29"/>
        <v>1.0217868881144763</v>
      </c>
      <c r="F111" s="365">
        <f t="shared" si="30"/>
        <v>0.2068745909359434</v>
      </c>
      <c r="G111" s="364">
        <f t="shared" si="31"/>
        <v>1.0015613611345917</v>
      </c>
      <c r="H111" s="365">
        <f t="shared" si="32"/>
        <v>-5.584500509750686E-2</v>
      </c>
      <c r="I111" s="363">
        <f t="shared" si="33"/>
        <v>19084.392621165985</v>
      </c>
      <c r="J111" s="366">
        <f t="shared" si="34"/>
        <v>1.5707439279567303</v>
      </c>
      <c r="K111" s="374">
        <f t="shared" si="35"/>
        <v>4.7523212219667732</v>
      </c>
      <c r="L111" s="375">
        <f t="shared" si="36"/>
        <v>1.3587882019449642</v>
      </c>
      <c r="M111" s="363">
        <f t="shared" si="37"/>
        <v>1.0105218825688111</v>
      </c>
      <c r="N111" s="366">
        <f t="shared" si="38"/>
        <v>0.1444329952943533</v>
      </c>
      <c r="O111" s="367">
        <f t="shared" si="39"/>
        <v>1.001112277313948</v>
      </c>
      <c r="P111" s="368">
        <f t="shared" si="40"/>
        <v>6.3791342251102084E-2</v>
      </c>
      <c r="Q111" s="369">
        <f t="shared" si="41"/>
        <v>-2.8353060453992809</v>
      </c>
      <c r="R111" s="370">
        <f t="shared" si="42"/>
        <v>-97.713636775741591</v>
      </c>
      <c r="S111" s="372">
        <f t="shared" si="43"/>
        <v>82.286363224258409</v>
      </c>
      <c r="U111" s="345">
        <f t="shared" si="50"/>
        <v>5623.4</v>
      </c>
      <c r="V111" s="345">
        <f t="shared" si="51"/>
        <v>31622627.559999995</v>
      </c>
      <c r="X111" s="371">
        <f t="shared" si="44"/>
        <v>15.930308790941295</v>
      </c>
      <c r="Y111" s="372">
        <f t="shared" si="45"/>
        <v>-20.419569620237521</v>
      </c>
      <c r="AA111" s="371">
        <f t="shared" si="46"/>
        <v>27.25498507693905</v>
      </c>
      <c r="AB111" s="372">
        <f t="shared" si="47"/>
        <v>-77.294067155504067</v>
      </c>
      <c r="AD111">
        <f t="shared" si="52"/>
        <v>0</v>
      </c>
      <c r="AE111">
        <f t="shared" si="53"/>
        <v>0</v>
      </c>
    </row>
    <row r="112" spans="1:31" x14ac:dyDescent="0.2">
      <c r="A112" s="373">
        <v>5688.9</v>
      </c>
      <c r="B112" s="390">
        <f t="shared" si="49"/>
        <v>5.6888999999999994</v>
      </c>
      <c r="C112" s="363">
        <f t="shared" si="27"/>
        <v>7.5414839849695126</v>
      </c>
      <c r="D112" s="364">
        <f t="shared" si="28"/>
        <v>1.4378047445686069</v>
      </c>
      <c r="E112" s="364">
        <f t="shared" si="29"/>
        <v>1.0222918135242338</v>
      </c>
      <c r="F112" s="365">
        <f t="shared" si="30"/>
        <v>0.20921489777038521</v>
      </c>
      <c r="G112" s="364">
        <f t="shared" si="31"/>
        <v>1.0015979164934301</v>
      </c>
      <c r="H112" s="365">
        <f t="shared" si="32"/>
        <v>-5.6494098980579888E-2</v>
      </c>
      <c r="I112" s="363">
        <f t="shared" si="33"/>
        <v>19306.682999455632</v>
      </c>
      <c r="J112" s="366">
        <f t="shared" si="34"/>
        <v>1.5707445312585802</v>
      </c>
      <c r="K112" s="374">
        <f t="shared" si="35"/>
        <v>4.8052376376277266</v>
      </c>
      <c r="L112" s="375">
        <f t="shared" si="36"/>
        <v>1.3611579034344874</v>
      </c>
      <c r="M112" s="363">
        <f t="shared" si="37"/>
        <v>1.0107671094669843</v>
      </c>
      <c r="N112" s="366">
        <f t="shared" si="38"/>
        <v>0.14609161501986739</v>
      </c>
      <c r="O112" s="367">
        <f t="shared" si="39"/>
        <v>1.0011383346975162</v>
      </c>
      <c r="P112" s="368">
        <f t="shared" si="40"/>
        <v>6.4533713562391862E-2</v>
      </c>
      <c r="Q112" s="369">
        <f t="shared" si="41"/>
        <v>-2.9362339664409594</v>
      </c>
      <c r="R112" s="370">
        <f t="shared" si="42"/>
        <v>-97.706258127809036</v>
      </c>
      <c r="S112" s="372">
        <f t="shared" si="43"/>
        <v>82.293741872190964</v>
      </c>
      <c r="U112" s="345">
        <f t="shared" si="50"/>
        <v>5688.9</v>
      </c>
      <c r="V112" s="345">
        <f t="shared" si="51"/>
        <v>32363583.209999997</v>
      </c>
      <c r="X112" s="371">
        <f t="shared" si="44"/>
        <v>15.92379638743302</v>
      </c>
      <c r="Y112" s="372">
        <f t="shared" si="45"/>
        <v>-20.378862202874338</v>
      </c>
      <c r="AA112" s="371">
        <f t="shared" si="46"/>
        <v>27.160569559405644</v>
      </c>
      <c r="AB112" s="372">
        <f t="shared" si="47"/>
        <v>-77.327395924934692</v>
      </c>
      <c r="AD112">
        <f t="shared" si="52"/>
        <v>0</v>
      </c>
      <c r="AE112">
        <f t="shared" si="53"/>
        <v>0</v>
      </c>
    </row>
    <row r="113" spans="1:31" x14ac:dyDescent="0.2">
      <c r="A113" s="373">
        <v>5754.4</v>
      </c>
      <c r="B113" s="390">
        <f t="shared" si="49"/>
        <v>5.7543999999999995</v>
      </c>
      <c r="C113" s="363">
        <f t="shared" si="27"/>
        <v>7.6267958165911018</v>
      </c>
      <c r="D113" s="364">
        <f t="shared" si="28"/>
        <v>1.4393010458098106</v>
      </c>
      <c r="E113" s="364">
        <f t="shared" si="29"/>
        <v>1.0228023325170306</v>
      </c>
      <c r="F113" s="365">
        <f t="shared" si="30"/>
        <v>0.21155288112967258</v>
      </c>
      <c r="G113" s="364">
        <f t="shared" si="31"/>
        <v>1.0016348938174704</v>
      </c>
      <c r="H113" s="365">
        <f t="shared" si="32"/>
        <v>-5.7143145211937037E-2</v>
      </c>
      <c r="I113" s="363">
        <f t="shared" si="33"/>
        <v>19528.973377752147</v>
      </c>
      <c r="J113" s="366">
        <f t="shared" si="34"/>
        <v>1.5707451208261498</v>
      </c>
      <c r="K113" s="374">
        <f t="shared" si="35"/>
        <v>4.8581804491158378</v>
      </c>
      <c r="L113" s="375">
        <f t="shared" si="36"/>
        <v>1.3634759692910399</v>
      </c>
      <c r="M113" s="363">
        <f t="shared" si="37"/>
        <v>1.0110151156517002</v>
      </c>
      <c r="N113" s="366">
        <f t="shared" si="38"/>
        <v>0.14774942557165349</v>
      </c>
      <c r="O113" s="367">
        <f t="shared" si="39"/>
        <v>1.0011646936200977</v>
      </c>
      <c r="P113" s="368">
        <f t="shared" si="40"/>
        <v>6.5276062155702419E-2</v>
      </c>
      <c r="Q113" s="369">
        <f t="shared" si="41"/>
        <v>-3.0359020462117678</v>
      </c>
      <c r="R113" s="370">
        <f t="shared" si="42"/>
        <v>-97.699958283203046</v>
      </c>
      <c r="S113" s="372">
        <f t="shared" si="43"/>
        <v>82.300041716796954</v>
      </c>
      <c r="U113" s="345">
        <f t="shared" si="50"/>
        <v>5754.4</v>
      </c>
      <c r="V113" s="345">
        <f t="shared" si="51"/>
        <v>33113119.359999996</v>
      </c>
      <c r="X113" s="371">
        <f t="shared" si="44"/>
        <v>15.917405928017867</v>
      </c>
      <c r="Y113" s="372">
        <f t="shared" si="45"/>
        <v>-20.341066140200383</v>
      </c>
      <c r="AA113" s="371">
        <f t="shared" si="46"/>
        <v>27.067291939049994</v>
      </c>
      <c r="AB113" s="372">
        <f t="shared" si="47"/>
        <v>-77.358892143002663</v>
      </c>
      <c r="AD113">
        <f t="shared" si="52"/>
        <v>0</v>
      </c>
      <c r="AE113">
        <f t="shared" si="53"/>
        <v>0</v>
      </c>
    </row>
    <row r="114" spans="1:31" x14ac:dyDescent="0.2">
      <c r="A114" s="373">
        <v>5821.4</v>
      </c>
      <c r="B114" s="390">
        <f t="shared" si="49"/>
        <v>5.8213999999999997</v>
      </c>
      <c r="C114" s="363">
        <f t="shared" si="27"/>
        <v>7.7140786258351488</v>
      </c>
      <c r="D114" s="364">
        <f t="shared" si="28"/>
        <v>1.4407973686009716</v>
      </c>
      <c r="E114" s="364">
        <f t="shared" si="29"/>
        <v>1.0233303212522431</v>
      </c>
      <c r="F114" s="365">
        <f t="shared" si="30"/>
        <v>0.21394197919422586</v>
      </c>
      <c r="G114" s="364">
        <f t="shared" si="31"/>
        <v>1.0016731544725759</v>
      </c>
      <c r="H114" s="365">
        <f t="shared" si="32"/>
        <v>-5.7807005231797742E-2</v>
      </c>
      <c r="I114" s="363">
        <f t="shared" si="33"/>
        <v>19756.354375405826</v>
      </c>
      <c r="J114" s="366">
        <f t="shared" si="34"/>
        <v>1.5707457101689024</v>
      </c>
      <c r="K114" s="374">
        <f t="shared" si="35"/>
        <v>4.9123621111534739</v>
      </c>
      <c r="L114" s="375">
        <f t="shared" si="36"/>
        <v>1.3657954126443279</v>
      </c>
      <c r="M114" s="363">
        <f t="shared" si="37"/>
        <v>1.0112716747225177</v>
      </c>
      <c r="N114" s="366">
        <f t="shared" si="38"/>
        <v>0.14944435519312743</v>
      </c>
      <c r="O114" s="367">
        <f t="shared" si="39"/>
        <v>1.0011919681507442</v>
      </c>
      <c r="P114" s="368">
        <f t="shared" si="40"/>
        <v>6.6035387323245043E-2</v>
      </c>
      <c r="Q114" s="369">
        <f t="shared" si="41"/>
        <v>-3.1365802149015742</v>
      </c>
      <c r="R114" s="370">
        <f t="shared" si="42"/>
        <v>-97.694600298453125</v>
      </c>
      <c r="S114" s="372">
        <f t="shared" si="43"/>
        <v>82.305399701546875</v>
      </c>
      <c r="U114" s="345">
        <f t="shared" si="50"/>
        <v>5821.4</v>
      </c>
      <c r="V114" s="345">
        <f t="shared" si="51"/>
        <v>33888697.959999993</v>
      </c>
      <c r="X114" s="371">
        <f t="shared" si="44"/>
        <v>15.910988779880919</v>
      </c>
      <c r="Y114" s="372">
        <f t="shared" si="45"/>
        <v>-20.305317905931041</v>
      </c>
      <c r="AA114" s="371">
        <f t="shared" si="46"/>
        <v>26.973030918497123</v>
      </c>
      <c r="AB114" s="372">
        <f t="shared" si="47"/>
        <v>-77.389282392522134</v>
      </c>
      <c r="AD114">
        <f t="shared" si="52"/>
        <v>0</v>
      </c>
      <c r="AE114">
        <f t="shared" si="53"/>
        <v>0</v>
      </c>
    </row>
    <row r="115" spans="1:31" x14ac:dyDescent="0.2">
      <c r="A115" s="373">
        <v>5888.4</v>
      </c>
      <c r="B115" s="390">
        <f t="shared" si="49"/>
        <v>5.8883999999999999</v>
      </c>
      <c r="C115" s="363">
        <f t="shared" si="27"/>
        <v>7.8013783202637743</v>
      </c>
      <c r="D115" s="364">
        <f t="shared" si="28"/>
        <v>1.4422602060313507</v>
      </c>
      <c r="E115" s="364">
        <f t="shared" si="29"/>
        <v>1.023864144897991</v>
      </c>
      <c r="F115" s="365">
        <f t="shared" si="30"/>
        <v>0.21632859960709475</v>
      </c>
      <c r="G115" s="364">
        <f t="shared" si="31"/>
        <v>1.0017118565413474</v>
      </c>
      <c r="H115" s="365">
        <f t="shared" si="32"/>
        <v>-5.8470814246489068E-2</v>
      </c>
      <c r="I115" s="363">
        <f t="shared" si="33"/>
        <v>19983.735373066214</v>
      </c>
      <c r="J115" s="366">
        <f t="shared" si="34"/>
        <v>1.5707462861002142</v>
      </c>
      <c r="K115" s="374">
        <f t="shared" si="35"/>
        <v>4.966569624108705</v>
      </c>
      <c r="L115" s="375">
        <f t="shared" si="36"/>
        <v>1.3680642369573699</v>
      </c>
      <c r="M115" s="363">
        <f t="shared" si="37"/>
        <v>1.0115311374823031</v>
      </c>
      <c r="N115" s="366">
        <f t="shared" si="38"/>
        <v>0.15113842016348936</v>
      </c>
      <c r="O115" s="367">
        <f t="shared" si="39"/>
        <v>1.0012195581738141</v>
      </c>
      <c r="P115" s="368">
        <f t="shared" si="40"/>
        <v>6.6794688170413272E-2</v>
      </c>
      <c r="Q115" s="369">
        <f t="shared" si="41"/>
        <v>-3.2360021031398807</v>
      </c>
      <c r="R115" s="370">
        <f t="shared" si="42"/>
        <v>-97.690311335095757</v>
      </c>
      <c r="S115" s="372">
        <f t="shared" si="43"/>
        <v>82.309688664904243</v>
      </c>
      <c r="U115" s="345">
        <f t="shared" si="50"/>
        <v>5888.4</v>
      </c>
      <c r="V115" s="345">
        <f t="shared" si="51"/>
        <v>34673254.559999995</v>
      </c>
      <c r="X115" s="371">
        <f t="shared" si="44"/>
        <v>15.904686371319684</v>
      </c>
      <c r="Y115" s="372">
        <f t="shared" si="45"/>
        <v>-20.272419619755617</v>
      </c>
      <c r="AA115" s="371">
        <f t="shared" si="46"/>
        <v>26.879911438820059</v>
      </c>
      <c r="AB115" s="372">
        <f t="shared" si="47"/>
        <v>-77.417891715340133</v>
      </c>
      <c r="AD115">
        <f t="shared" si="52"/>
        <v>0</v>
      </c>
      <c r="AE115">
        <f t="shared" si="53"/>
        <v>0</v>
      </c>
    </row>
    <row r="116" spans="1:31" x14ac:dyDescent="0.2">
      <c r="A116" s="373">
        <v>5957</v>
      </c>
      <c r="B116" s="390">
        <f t="shared" si="49"/>
        <v>5.9569999999999999</v>
      </c>
      <c r="C116" s="363">
        <f t="shared" si="27"/>
        <v>7.8907796930705132</v>
      </c>
      <c r="D116" s="364">
        <f t="shared" si="28"/>
        <v>1.4437244367723887</v>
      </c>
      <c r="E116" s="364">
        <f t="shared" si="29"/>
        <v>1.0244167526302113</v>
      </c>
      <c r="F116" s="365">
        <f t="shared" si="30"/>
        <v>0.21876962250487964</v>
      </c>
      <c r="G116" s="364">
        <f t="shared" si="31"/>
        <v>1.0017519401365573</v>
      </c>
      <c r="H116" s="365">
        <f t="shared" si="32"/>
        <v>-5.915042196525061E-2</v>
      </c>
      <c r="I116" s="363">
        <f t="shared" si="33"/>
        <v>20216.54636470729</v>
      </c>
      <c r="J116" s="366">
        <f t="shared" si="34"/>
        <v>1.5707468623620322</v>
      </c>
      <c r="K116" s="374">
        <f t="shared" si="35"/>
        <v>5.0220975549085791</v>
      </c>
      <c r="L116" s="375">
        <f t="shared" si="36"/>
        <v>1.3703364832836837</v>
      </c>
      <c r="M116" s="363">
        <f t="shared" si="37"/>
        <v>1.0117998025642914</v>
      </c>
      <c r="N116" s="366">
        <f t="shared" si="38"/>
        <v>0.15287203509058905</v>
      </c>
      <c r="O116" s="367">
        <f t="shared" si="39"/>
        <v>1.0012481339382895</v>
      </c>
      <c r="P116" s="368">
        <f t="shared" si="40"/>
        <v>6.7572096086310637E-2</v>
      </c>
      <c r="Q116" s="369">
        <f t="shared" si="41"/>
        <v>-3.3365275514822019</v>
      </c>
      <c r="R116" s="370">
        <f t="shared" si="42"/>
        <v>-97.686997825081278</v>
      </c>
      <c r="S116" s="372">
        <f t="shared" si="43"/>
        <v>82.313002174918722</v>
      </c>
      <c r="U116" s="345">
        <f t="shared" si="50"/>
        <v>5957</v>
      </c>
      <c r="V116" s="345">
        <f t="shared" si="51"/>
        <v>35485849</v>
      </c>
      <c r="X116" s="371">
        <f t="shared" si="44"/>
        <v>15.898346096618393</v>
      </c>
      <c r="Y116" s="372">
        <f t="shared" si="45"/>
        <v>-20.241591331202262</v>
      </c>
      <c r="AA116" s="371">
        <f t="shared" si="46"/>
        <v>26.785726265179029</v>
      </c>
      <c r="AB116" s="372">
        <f t="shared" si="47"/>
        <v>-77.44540649387902</v>
      </c>
      <c r="AD116">
        <f t="shared" si="52"/>
        <v>0</v>
      </c>
      <c r="AE116">
        <f t="shared" si="53"/>
        <v>0</v>
      </c>
    </row>
    <row r="117" spans="1:31" x14ac:dyDescent="0.2">
      <c r="A117" s="373">
        <v>6025.6</v>
      </c>
      <c r="B117" s="390">
        <f t="shared" si="49"/>
        <v>6.0256000000000007</v>
      </c>
      <c r="C117" s="363">
        <f t="shared" si="27"/>
        <v>7.9801976044118197</v>
      </c>
      <c r="D117" s="364">
        <f t="shared" si="28"/>
        <v>1.4451558571888212</v>
      </c>
      <c r="E117" s="364">
        <f t="shared" si="29"/>
        <v>1.0249754578415624</v>
      </c>
      <c r="F117" s="365">
        <f t="shared" si="30"/>
        <v>0.22120799875810299</v>
      </c>
      <c r="G117" s="364">
        <f t="shared" si="31"/>
        <v>1.0017924863704317</v>
      </c>
      <c r="H117" s="365">
        <f t="shared" si="32"/>
        <v>-5.9829974985396037E-2</v>
      </c>
      <c r="I117" s="363">
        <f t="shared" si="33"/>
        <v>20449.357356354933</v>
      </c>
      <c r="J117" s="366">
        <f t="shared" si="34"/>
        <v>1.570747425502647</v>
      </c>
      <c r="K117" s="374">
        <f t="shared" si="35"/>
        <v>5.0776508481206184</v>
      </c>
      <c r="L117" s="375">
        <f t="shared" si="36"/>
        <v>1.3725590207326095</v>
      </c>
      <c r="M117" s="363">
        <f t="shared" si="37"/>
        <v>1.012071506910567</v>
      </c>
      <c r="N117" s="366">
        <f t="shared" si="38"/>
        <v>0.1546047243978701</v>
      </c>
      <c r="O117" s="367">
        <f t="shared" si="39"/>
        <v>1.0012770404261966</v>
      </c>
      <c r="P117" s="368">
        <f t="shared" si="40"/>
        <v>6.8349477916636203E-2</v>
      </c>
      <c r="Q117" s="369">
        <f t="shared" si="41"/>
        <v>-3.4357977343347357</v>
      </c>
      <c r="R117" s="370">
        <f t="shared" si="42"/>
        <v>-97.684745757893978</v>
      </c>
      <c r="S117" s="372">
        <f t="shared" si="43"/>
        <v>82.315254242106022</v>
      </c>
      <c r="U117" s="345">
        <f t="shared" si="50"/>
        <v>6025.6</v>
      </c>
      <c r="V117" s="345">
        <f t="shared" si="51"/>
        <v>36307855.360000007</v>
      </c>
      <c r="X117" s="371">
        <f t="shared" si="44"/>
        <v>15.89211376817849</v>
      </c>
      <c r="Y117" s="372">
        <f t="shared" si="45"/>
        <v>-20.213557365632163</v>
      </c>
      <c r="AA117" s="371">
        <f t="shared" si="46"/>
        <v>26.692688410766397</v>
      </c>
      <c r="AB117" s="372">
        <f t="shared" si="47"/>
        <v>-77.471188392261823</v>
      </c>
      <c r="AD117">
        <f t="shared" si="52"/>
        <v>0</v>
      </c>
      <c r="AE117">
        <f t="shared" si="53"/>
        <v>0</v>
      </c>
    </row>
    <row r="118" spans="1:31" x14ac:dyDescent="0.2">
      <c r="A118" s="373">
        <v>6095.8</v>
      </c>
      <c r="B118" s="390">
        <f t="shared" si="49"/>
        <v>6.0958000000000006</v>
      </c>
      <c r="C118" s="363">
        <f t="shared" si="27"/>
        <v>8.0717176129049122</v>
      </c>
      <c r="D118" s="364">
        <f t="shared" si="28"/>
        <v>1.4465878279891951</v>
      </c>
      <c r="E118" s="364">
        <f t="shared" si="29"/>
        <v>1.0255534961411001</v>
      </c>
      <c r="F118" s="365">
        <f t="shared" si="30"/>
        <v>0.2237004810899148</v>
      </c>
      <c r="G118" s="364">
        <f t="shared" si="31"/>
        <v>1.0018344571805622</v>
      </c>
      <c r="H118" s="365">
        <f t="shared" si="32"/>
        <v>-6.0525320363682487E-2</v>
      </c>
      <c r="I118" s="363">
        <f t="shared" si="33"/>
        <v>20687.598341983416</v>
      </c>
      <c r="J118" s="366">
        <f t="shared" si="34"/>
        <v>1.5707479886560822</v>
      </c>
      <c r="K118" s="374">
        <f t="shared" si="35"/>
        <v>5.1345252427064203</v>
      </c>
      <c r="L118" s="375">
        <f t="shared" si="36"/>
        <v>1.3747835951363472</v>
      </c>
      <c r="M118" s="363">
        <f t="shared" si="37"/>
        <v>1.0123526922520951</v>
      </c>
      <c r="N118" s="366">
        <f t="shared" si="38"/>
        <v>0.15637685795677933</v>
      </c>
      <c r="O118" s="367">
        <f t="shared" si="39"/>
        <v>1.0013069634925507</v>
      </c>
      <c r="P118" s="368">
        <f t="shared" si="40"/>
        <v>6.9144963785156943E-2</v>
      </c>
      <c r="Q118" s="369">
        <f t="shared" si="41"/>
        <v>-3.5361145710585702</v>
      </c>
      <c r="R118" s="370">
        <f t="shared" si="42"/>
        <v>-97.683510576851546</v>
      </c>
      <c r="S118" s="372">
        <f t="shared" si="43"/>
        <v>82.316489423148454</v>
      </c>
      <c r="U118" s="345">
        <f t="shared" si="50"/>
        <v>6095.8</v>
      </c>
      <c r="V118" s="345">
        <f t="shared" si="51"/>
        <v>37158777.640000001</v>
      </c>
      <c r="X118" s="371">
        <f t="shared" si="44"/>
        <v>15.885841842971342</v>
      </c>
      <c r="Y118" s="372">
        <f t="shared" si="45"/>
        <v>-20.187666681029626</v>
      </c>
      <c r="AA118" s="371">
        <f t="shared" si="46"/>
        <v>26.598643499249714</v>
      </c>
      <c r="AB118" s="372">
        <f t="shared" si="47"/>
        <v>-77.495843895821906</v>
      </c>
      <c r="AD118">
        <f t="shared" si="52"/>
        <v>0</v>
      </c>
      <c r="AE118">
        <f t="shared" si="53"/>
        <v>0</v>
      </c>
    </row>
    <row r="119" spans="1:31" x14ac:dyDescent="0.2">
      <c r="A119" s="373">
        <v>6166</v>
      </c>
      <c r="B119" s="390">
        <f t="shared" si="49"/>
        <v>6.1660000000000004</v>
      </c>
      <c r="C119" s="363">
        <f t="shared" si="27"/>
        <v>8.1632538016390317</v>
      </c>
      <c r="D119" s="364">
        <f t="shared" si="28"/>
        <v>1.447987687659765</v>
      </c>
      <c r="E119" s="364">
        <f t="shared" si="29"/>
        <v>1.0261378984580212</v>
      </c>
      <c r="F119" s="365">
        <f t="shared" si="30"/>
        <v>0.22619013985513539</v>
      </c>
      <c r="G119" s="364">
        <f t="shared" si="31"/>
        <v>1.0018769123421363</v>
      </c>
      <c r="H119" s="365">
        <f t="shared" si="32"/>
        <v>-6.1220607146728362E-2</v>
      </c>
      <c r="I119" s="363">
        <f t="shared" si="33"/>
        <v>20925.839327618316</v>
      </c>
      <c r="J119" s="366">
        <f t="shared" si="34"/>
        <v>1.5707485389864975</v>
      </c>
      <c r="K119" s="374">
        <f t="shared" si="35"/>
        <v>5.1914244898629471</v>
      </c>
      <c r="L119" s="375">
        <f t="shared" si="36"/>
        <v>1.3769594163827166</v>
      </c>
      <c r="M119" s="363">
        <f t="shared" si="37"/>
        <v>1.0126370550726496</v>
      </c>
      <c r="N119" s="366">
        <f t="shared" si="38"/>
        <v>0.15814800179491897</v>
      </c>
      <c r="O119" s="367">
        <f t="shared" si="39"/>
        <v>1.0013372328707097</v>
      </c>
      <c r="P119" s="368">
        <f t="shared" si="40"/>
        <v>6.9940421705240327E-2</v>
      </c>
      <c r="Q119" s="369">
        <f t="shared" si="41"/>
        <v>-3.6351784010365664</v>
      </c>
      <c r="R119" s="370">
        <f t="shared" si="42"/>
        <v>-97.683328292085747</v>
      </c>
      <c r="S119" s="372">
        <f t="shared" si="43"/>
        <v>82.316671707914253</v>
      </c>
      <c r="U119" s="345">
        <f t="shared" si="50"/>
        <v>6166</v>
      </c>
      <c r="V119" s="345">
        <f t="shared" si="51"/>
        <v>38019556</v>
      </c>
      <c r="X119" s="371">
        <f t="shared" si="44"/>
        <v>15.879671127961497</v>
      </c>
      <c r="Y119" s="372">
        <f t="shared" si="45"/>
        <v>-20.164511905057449</v>
      </c>
      <c r="AA119" s="371">
        <f t="shared" si="46"/>
        <v>26.505750384281555</v>
      </c>
      <c r="AB119" s="372">
        <f t="shared" si="47"/>
        <v>-77.518816387028309</v>
      </c>
      <c r="AD119">
        <f t="shared" si="52"/>
        <v>0</v>
      </c>
      <c r="AE119">
        <f t="shared" si="53"/>
        <v>0</v>
      </c>
    </row>
    <row r="120" spans="1:31" x14ac:dyDescent="0.2">
      <c r="A120" s="373">
        <v>6237.8</v>
      </c>
      <c r="B120" s="390">
        <f t="shared" si="49"/>
        <v>6.2378</v>
      </c>
      <c r="C120" s="363">
        <f t="shared" si="27"/>
        <v>8.2568924619963955</v>
      </c>
      <c r="D120" s="364">
        <f t="shared" si="28"/>
        <v>1.4493873431929623</v>
      </c>
      <c r="E120" s="364">
        <f t="shared" si="29"/>
        <v>1.0267421924021938</v>
      </c>
      <c r="F120" s="365">
        <f t="shared" si="30"/>
        <v>0.22873359503223037</v>
      </c>
      <c r="G120" s="364">
        <f t="shared" si="31"/>
        <v>1.001920836114812</v>
      </c>
      <c r="H120" s="365">
        <f t="shared" si="32"/>
        <v>-6.193167961539877E-2</v>
      </c>
      <c r="I120" s="363">
        <f t="shared" si="33"/>
        <v>21169.510307234206</v>
      </c>
      <c r="J120" s="366">
        <f t="shared" si="34"/>
        <v>1.5707490890465567</v>
      </c>
      <c r="K120" s="374">
        <f t="shared" si="35"/>
        <v>5.2496454523459786</v>
      </c>
      <c r="L120" s="375">
        <f t="shared" si="36"/>
        <v>1.3791360276131903</v>
      </c>
      <c r="M120" s="363">
        <f t="shared" si="37"/>
        <v>1.012931183243732</v>
      </c>
      <c r="N120" s="366">
        <f t="shared" si="38"/>
        <v>0.15995847906119448</v>
      </c>
      <c r="O120" s="367">
        <f t="shared" si="39"/>
        <v>1.0013685503805843</v>
      </c>
      <c r="P120" s="368">
        <f t="shared" si="40"/>
        <v>7.0753980476206277E-2</v>
      </c>
      <c r="Q120" s="369">
        <f t="shared" si="41"/>
        <v>-3.735234610805322</v>
      </c>
      <c r="R120" s="370">
        <f t="shared" si="42"/>
        <v>-97.684201920462698</v>
      </c>
      <c r="S120" s="372">
        <f t="shared" si="43"/>
        <v>82.315798079537302</v>
      </c>
      <c r="U120" s="345">
        <f t="shared" si="50"/>
        <v>6237.8</v>
      </c>
      <c r="V120" s="345">
        <f t="shared" si="51"/>
        <v>38910148.840000004</v>
      </c>
      <c r="X120" s="371">
        <f t="shared" si="44"/>
        <v>15.873458733413221</v>
      </c>
      <c r="Y120" s="372">
        <f t="shared" si="45"/>
        <v>-20.143565490268436</v>
      </c>
      <c r="AA120" s="371">
        <f t="shared" si="46"/>
        <v>26.411906569061081</v>
      </c>
      <c r="AB120" s="372">
        <f t="shared" si="47"/>
        <v>-77.540636430194283</v>
      </c>
      <c r="AD120">
        <f t="shared" si="52"/>
        <v>0</v>
      </c>
      <c r="AE120">
        <f t="shared" si="53"/>
        <v>0</v>
      </c>
    </row>
    <row r="121" spans="1:31" x14ac:dyDescent="0.2">
      <c r="A121" s="373">
        <v>6309.6</v>
      </c>
      <c r="B121" s="390">
        <f t="shared" si="49"/>
        <v>6.3096000000000005</v>
      </c>
      <c r="C121" s="363">
        <f t="shared" si="27"/>
        <v>8.3505469351136803</v>
      </c>
      <c r="D121" s="364">
        <f t="shared" si="28"/>
        <v>1.4507556060475597</v>
      </c>
      <c r="E121" s="364">
        <f t="shared" si="29"/>
        <v>1.0273531206712867</v>
      </c>
      <c r="F121" s="365">
        <f t="shared" si="30"/>
        <v>0.23127404163338314</v>
      </c>
      <c r="G121" s="364">
        <f t="shared" si="31"/>
        <v>1.0019652664381991</v>
      </c>
      <c r="H121" s="365">
        <f t="shared" si="32"/>
        <v>-6.2642689381121386E-2</v>
      </c>
      <c r="I121" s="363">
        <f t="shared" si="33"/>
        <v>21413.181286856357</v>
      </c>
      <c r="J121" s="366">
        <f t="shared" si="34"/>
        <v>1.5707496265878154</v>
      </c>
      <c r="K121" s="374">
        <f t="shared" si="35"/>
        <v>5.3078907400668429</v>
      </c>
      <c r="L121" s="375">
        <f t="shared" si="36"/>
        <v>1.3812648793573008</v>
      </c>
      <c r="M121" s="363">
        <f t="shared" si="37"/>
        <v>1.0132286296949566</v>
      </c>
      <c r="N121" s="366">
        <f t="shared" si="38"/>
        <v>0.16176789927722207</v>
      </c>
      <c r="O121" s="367">
        <f t="shared" si="39"/>
        <v>1.0014002301478002</v>
      </c>
      <c r="P121" s="368">
        <f t="shared" si="40"/>
        <v>7.1567509334333146E-2</v>
      </c>
      <c r="Q121" s="369">
        <f t="shared" si="41"/>
        <v>-3.8340412196858886</v>
      </c>
      <c r="R121" s="370">
        <f t="shared" si="42"/>
        <v>-97.686119088267617</v>
      </c>
      <c r="S121" s="372">
        <f t="shared" si="43"/>
        <v>82.313880911732383</v>
      </c>
      <c r="U121" s="345">
        <f t="shared" si="50"/>
        <v>6309.6</v>
      </c>
      <c r="V121" s="345">
        <f t="shared" si="51"/>
        <v>39811052.160000004</v>
      </c>
      <c r="X121" s="371">
        <f t="shared" si="44"/>
        <v>15.867340894224677</v>
      </c>
      <c r="Y121" s="372">
        <f t="shared" si="45"/>
        <v>-20.12529421069042</v>
      </c>
      <c r="AA121" s="371">
        <f t="shared" si="46"/>
        <v>26.31921779936906</v>
      </c>
      <c r="AB121" s="372">
        <f t="shared" si="47"/>
        <v>-77.560824877577161</v>
      </c>
      <c r="AD121">
        <f t="shared" si="52"/>
        <v>0</v>
      </c>
      <c r="AE121">
        <f t="shared" si="53"/>
        <v>0</v>
      </c>
    </row>
    <row r="122" spans="1:31" x14ac:dyDescent="0.2">
      <c r="A122" s="373">
        <v>6383.05</v>
      </c>
      <c r="B122" s="390">
        <f t="shared" si="49"/>
        <v>6.3830499999999999</v>
      </c>
      <c r="C122" s="363">
        <f t="shared" si="27"/>
        <v>8.4463694485516161</v>
      </c>
      <c r="D122" s="364">
        <f t="shared" si="28"/>
        <v>1.4521239127284464</v>
      </c>
      <c r="E122" s="364">
        <f t="shared" si="29"/>
        <v>1.0279849408115604</v>
      </c>
      <c r="F122" s="365">
        <f t="shared" si="30"/>
        <v>0.23386972732753755</v>
      </c>
      <c r="G122" s="364">
        <f t="shared" si="31"/>
        <v>1.0020112418680831</v>
      </c>
      <c r="H122" s="365">
        <f t="shared" si="32"/>
        <v>-6.3369972886033812E-2</v>
      </c>
      <c r="I122" s="363">
        <f t="shared" si="33"/>
        <v>21662.45194777134</v>
      </c>
      <c r="J122" s="366">
        <f t="shared" si="34"/>
        <v>1.5707501639688801</v>
      </c>
      <c r="K122" s="374">
        <f t="shared" si="35"/>
        <v>5.3674988781943043</v>
      </c>
      <c r="L122" s="375">
        <f t="shared" si="36"/>
        <v>1.3833948361067769</v>
      </c>
      <c r="M122" s="363">
        <f t="shared" si="37"/>
        <v>1.0135363421084049</v>
      </c>
      <c r="N122" s="366">
        <f t="shared" si="38"/>
        <v>0.1636177957329111</v>
      </c>
      <c r="O122" s="367">
        <f t="shared" si="39"/>
        <v>1.0014330127611519</v>
      </c>
      <c r="P122" s="368">
        <f t="shared" si="40"/>
        <v>7.239970218547577E-2</v>
      </c>
      <c r="Q122" s="369">
        <f t="shared" si="41"/>
        <v>-3.9338559789782273</v>
      </c>
      <c r="R122" s="370">
        <f t="shared" si="42"/>
        <v>-97.689131381224058</v>
      </c>
      <c r="S122" s="372">
        <f t="shared" si="43"/>
        <v>82.310868618775942</v>
      </c>
      <c r="U122" s="345">
        <f t="shared" si="50"/>
        <v>6383.05</v>
      </c>
      <c r="V122" s="345">
        <f t="shared" si="51"/>
        <v>40743327.302500002</v>
      </c>
      <c r="X122" s="371">
        <f t="shared" si="44"/>
        <v>15.861174818182597</v>
      </c>
      <c r="Y122" s="372">
        <f t="shared" si="45"/>
        <v>-20.109278727495923</v>
      </c>
      <c r="AA122" s="371">
        <f t="shared" si="46"/>
        <v>26.225569116118802</v>
      </c>
      <c r="AB122" s="372">
        <f t="shared" si="47"/>
        <v>-77.579852653728139</v>
      </c>
      <c r="AD122">
        <f t="shared" si="52"/>
        <v>0</v>
      </c>
      <c r="AE122">
        <f t="shared" si="53"/>
        <v>0</v>
      </c>
    </row>
    <row r="123" spans="1:31" x14ac:dyDescent="0.2">
      <c r="A123" s="373">
        <v>6456.5</v>
      </c>
      <c r="B123" s="390">
        <f t="shared" si="49"/>
        <v>6.4565000000000001</v>
      </c>
      <c r="C123" s="363">
        <f t="shared" si="27"/>
        <v>8.5422074210146608</v>
      </c>
      <c r="D123" s="364">
        <f t="shared" si="28"/>
        <v>1.4534615188575206</v>
      </c>
      <c r="E123" s="364">
        <f t="shared" si="29"/>
        <v>1.0286236785511549</v>
      </c>
      <c r="F123" s="365">
        <f t="shared" si="30"/>
        <v>0.23646220681871005</v>
      </c>
      <c r="G123" s="364">
        <f t="shared" si="31"/>
        <v>1.0020577472542949</v>
      </c>
      <c r="H123" s="365">
        <f t="shared" si="32"/>
        <v>-6.4097189269281721E-2</v>
      </c>
      <c r="I123" s="363">
        <f t="shared" si="33"/>
        <v>21911.722608692442</v>
      </c>
      <c r="J123" s="366">
        <f t="shared" si="34"/>
        <v>1.5707506891233085</v>
      </c>
      <c r="K123" s="374">
        <f t="shared" si="35"/>
        <v>5.4271308321672516</v>
      </c>
      <c r="L123" s="375">
        <f t="shared" si="36"/>
        <v>1.3854779952723475</v>
      </c>
      <c r="M123" s="363">
        <f t="shared" si="37"/>
        <v>1.0138475208493645</v>
      </c>
      <c r="N123" s="366">
        <f t="shared" si="38"/>
        <v>0.16546656294003539</v>
      </c>
      <c r="O123" s="367">
        <f t="shared" si="39"/>
        <v>1.0014661744502447</v>
      </c>
      <c r="P123" s="368">
        <f t="shared" si="40"/>
        <v>7.3231863010054868E-2</v>
      </c>
      <c r="Q123" s="369">
        <f t="shared" si="41"/>
        <v>-4.0324239211840034</v>
      </c>
      <c r="R123" s="370">
        <f t="shared" si="42"/>
        <v>-97.693178585596002</v>
      </c>
      <c r="S123" s="372">
        <f t="shared" si="43"/>
        <v>82.306821414403998</v>
      </c>
      <c r="U123" s="345">
        <f t="shared" si="50"/>
        <v>6456.5</v>
      </c>
      <c r="V123" s="345">
        <f t="shared" si="51"/>
        <v>41686392.25</v>
      </c>
      <c r="X123" s="371">
        <f t="shared" si="44"/>
        <v>15.855096860625839</v>
      </c>
      <c r="Y123" s="372">
        <f t="shared" si="45"/>
        <v>-20.095879146642179</v>
      </c>
      <c r="AA123" s="371">
        <f t="shared" si="46"/>
        <v>26.133079131469785</v>
      </c>
      <c r="AB123" s="372">
        <f t="shared" si="47"/>
        <v>-77.597299438953812</v>
      </c>
      <c r="AD123">
        <f t="shared" si="52"/>
        <v>0</v>
      </c>
      <c r="AE123">
        <f t="shared" si="53"/>
        <v>0</v>
      </c>
    </row>
    <row r="124" spans="1:31" x14ac:dyDescent="0.2">
      <c r="A124" s="373">
        <v>6531.7</v>
      </c>
      <c r="B124" s="390">
        <f t="shared" si="49"/>
        <v>6.5316999999999998</v>
      </c>
      <c r="C124" s="363">
        <f t="shared" si="27"/>
        <v>8.6403442820276926</v>
      </c>
      <c r="D124" s="364">
        <f t="shared" si="28"/>
        <v>1.4548002498474633</v>
      </c>
      <c r="E124" s="364">
        <f t="shared" si="29"/>
        <v>1.0292847880236808</v>
      </c>
      <c r="F124" s="365">
        <f t="shared" si="30"/>
        <v>0.23911310221167759</v>
      </c>
      <c r="G124" s="364">
        <f t="shared" si="31"/>
        <v>1.0021059096349556</v>
      </c>
      <c r="H124" s="365">
        <f t="shared" si="32"/>
        <v>-6.4841661782094398E-2</v>
      </c>
      <c r="I124" s="363">
        <f t="shared" si="33"/>
        <v>22166.932325529964</v>
      </c>
      <c r="J124" s="366">
        <f t="shared" si="34"/>
        <v>1.5707512145535791</v>
      </c>
      <c r="K124" s="374">
        <f t="shared" si="35"/>
        <v>5.4882074241667747</v>
      </c>
      <c r="L124" s="375">
        <f t="shared" si="36"/>
        <v>1.3875638782527453</v>
      </c>
      <c r="M124" s="363">
        <f t="shared" si="37"/>
        <v>1.0141697015124547</v>
      </c>
      <c r="N124" s="366">
        <f t="shared" si="38"/>
        <v>0.16735819634662991</v>
      </c>
      <c r="O124" s="367">
        <f t="shared" si="39"/>
        <v>1.0015005189596677</v>
      </c>
      <c r="P124" s="368">
        <f t="shared" si="40"/>
        <v>7.4083817113327968E-2</v>
      </c>
      <c r="Q124" s="369">
        <f t="shared" si="41"/>
        <v>-4.1320790216173418</v>
      </c>
      <c r="R124" s="370">
        <f t="shared" si="42"/>
        <v>-97.698366034871142</v>
      </c>
      <c r="S124" s="372">
        <f t="shared" si="43"/>
        <v>82.301633965128858</v>
      </c>
      <c r="U124" s="345">
        <f t="shared" si="50"/>
        <v>6531.7</v>
      </c>
      <c r="V124" s="345">
        <f t="shared" si="51"/>
        <v>42663104.890000001</v>
      </c>
      <c r="X124" s="371">
        <f t="shared" si="44"/>
        <v>15.848960127836428</v>
      </c>
      <c r="Y124" s="372">
        <f t="shared" si="45"/>
        <v>-20.084779570815293</v>
      </c>
      <c r="AA124" s="371">
        <f t="shared" si="46"/>
        <v>26.039560763825854</v>
      </c>
      <c r="AB124" s="372">
        <f t="shared" si="47"/>
        <v>-77.613586464055885</v>
      </c>
      <c r="AD124">
        <f t="shared" si="52"/>
        <v>0</v>
      </c>
      <c r="AE124">
        <f t="shared" si="53"/>
        <v>0</v>
      </c>
    </row>
    <row r="125" spans="1:31" x14ac:dyDescent="0.2">
      <c r="A125" s="373">
        <v>6606.9</v>
      </c>
      <c r="B125" s="390">
        <f t="shared" si="49"/>
        <v>6.6068999999999996</v>
      </c>
      <c r="C125" s="363">
        <f t="shared" si="27"/>
        <v>8.7384962804446467</v>
      </c>
      <c r="D125" s="364">
        <f t="shared" si="28"/>
        <v>1.4561089095159339</v>
      </c>
      <c r="E125" s="364">
        <f t="shared" si="29"/>
        <v>1.0299531212188551</v>
      </c>
      <c r="F125" s="365">
        <f t="shared" si="30"/>
        <v>0.24176057587446181</v>
      </c>
      <c r="G125" s="364">
        <f t="shared" si="31"/>
        <v>1.0021546273685527</v>
      </c>
      <c r="H125" s="365">
        <f t="shared" si="32"/>
        <v>-6.5586062325379155E-2</v>
      </c>
      <c r="I125" s="363">
        <f t="shared" si="33"/>
        <v>22422.142042373471</v>
      </c>
      <c r="J125" s="366">
        <f t="shared" si="34"/>
        <v>1.5707517280229131</v>
      </c>
      <c r="K125" s="374">
        <f t="shared" si="35"/>
        <v>5.5493073691655344</v>
      </c>
      <c r="L125" s="375">
        <f t="shared" si="36"/>
        <v>1.389603837246659</v>
      </c>
      <c r="M125" s="363">
        <f t="shared" si="37"/>
        <v>1.0144955088430712</v>
      </c>
      <c r="N125" s="366">
        <f t="shared" si="38"/>
        <v>0.16924862151012632</v>
      </c>
      <c r="O125" s="367">
        <f t="shared" si="39"/>
        <v>1.0015352607987102</v>
      </c>
      <c r="P125" s="368">
        <f t="shared" si="40"/>
        <v>7.4935736870465064E-2</v>
      </c>
      <c r="Q125" s="369">
        <f t="shared" si="41"/>
        <v>-4.2304879066736181</v>
      </c>
      <c r="R125" s="370">
        <f t="shared" si="42"/>
        <v>-97.704581821664675</v>
      </c>
      <c r="S125" s="372">
        <f t="shared" si="43"/>
        <v>82.295418178335325</v>
      </c>
      <c r="U125" s="345">
        <f t="shared" si="50"/>
        <v>6606.9</v>
      </c>
      <c r="V125" s="345">
        <f t="shared" si="51"/>
        <v>43651127.609999992</v>
      </c>
      <c r="X125" s="371">
        <f t="shared" si="44"/>
        <v>15.842905378143472</v>
      </c>
      <c r="Y125" s="372">
        <f t="shared" si="45"/>
        <v>-20.07624133305394</v>
      </c>
      <c r="AA125" s="371">
        <f t="shared" si="46"/>
        <v>25.947206628462531</v>
      </c>
      <c r="AB125" s="372">
        <f t="shared" si="47"/>
        <v>-77.628340488610732</v>
      </c>
      <c r="AD125">
        <f t="shared" si="52"/>
        <v>0</v>
      </c>
      <c r="AE125">
        <f t="shared" si="53"/>
        <v>0</v>
      </c>
    </row>
    <row r="126" spans="1:31" x14ac:dyDescent="0.2">
      <c r="A126" s="373">
        <v>6683.85</v>
      </c>
      <c r="B126" s="390">
        <f t="shared" si="49"/>
        <v>6.6838500000000005</v>
      </c>
      <c r="C126" s="363">
        <f t="shared" si="27"/>
        <v>8.8389475449994208</v>
      </c>
      <c r="D126" s="364">
        <f t="shared" si="28"/>
        <v>1.4574179346726266</v>
      </c>
      <c r="E126" s="364">
        <f t="shared" si="29"/>
        <v>1.0306444705561719</v>
      </c>
      <c r="F126" s="365">
        <f t="shared" si="30"/>
        <v>0.24446608579781931</v>
      </c>
      <c r="G126" s="364">
        <f t="shared" si="31"/>
        <v>1.0022050536304805</v>
      </c>
      <c r="H126" s="365">
        <f t="shared" si="32"/>
        <v>-6.634771066873163E-2</v>
      </c>
      <c r="I126" s="363">
        <f t="shared" si="33"/>
        <v>22683.290815133547</v>
      </c>
      <c r="J126" s="366">
        <f t="shared" si="34"/>
        <v>1.5707522414808002</v>
      </c>
      <c r="K126" s="374">
        <f t="shared" si="35"/>
        <v>5.6118525666500094</v>
      </c>
      <c r="L126" s="375">
        <f t="shared" si="36"/>
        <v>1.3916452766150946</v>
      </c>
      <c r="M126" s="363">
        <f t="shared" si="37"/>
        <v>1.014832648727378</v>
      </c>
      <c r="N126" s="366">
        <f t="shared" si="38"/>
        <v>0.17118177565987314</v>
      </c>
      <c r="O126" s="367">
        <f t="shared" si="39"/>
        <v>1.0015712224181312</v>
      </c>
      <c r="P126" s="368">
        <f t="shared" si="40"/>
        <v>7.5807445924582648E-2</v>
      </c>
      <c r="Q126" s="369">
        <f t="shared" si="41"/>
        <v>-4.3299271814566769</v>
      </c>
      <c r="R126" s="370">
        <f t="shared" si="42"/>
        <v>-97.711978756655796</v>
      </c>
      <c r="S126" s="372">
        <f t="shared" si="43"/>
        <v>82.288021243344204</v>
      </c>
      <c r="U126" s="345">
        <f t="shared" si="50"/>
        <v>6683.85</v>
      </c>
      <c r="V126" s="345">
        <f t="shared" si="51"/>
        <v>44673850.822500005</v>
      </c>
      <c r="X126" s="371">
        <f t="shared" si="44"/>
        <v>15.836789559497987</v>
      </c>
      <c r="Y126" s="372">
        <f t="shared" si="45"/>
        <v>-20.07006646600226</v>
      </c>
      <c r="AA126" s="371">
        <f t="shared" si="46"/>
        <v>25.853883172324959</v>
      </c>
      <c r="AB126" s="372">
        <f t="shared" si="47"/>
        <v>-77.641912290653536</v>
      </c>
      <c r="AD126">
        <f t="shared" si="52"/>
        <v>0</v>
      </c>
      <c r="AE126">
        <f t="shared" si="53"/>
        <v>0</v>
      </c>
    </row>
    <row r="127" spans="1:31" x14ac:dyDescent="0.2">
      <c r="A127" s="373">
        <v>6760.8</v>
      </c>
      <c r="B127" s="390">
        <f t="shared" si="49"/>
        <v>6.7608000000000006</v>
      </c>
      <c r="C127" s="363">
        <f t="shared" si="27"/>
        <v>8.9394136151031152</v>
      </c>
      <c r="D127" s="364">
        <f t="shared" si="28"/>
        <v>1.4586975388849481</v>
      </c>
      <c r="E127" s="364">
        <f t="shared" si="29"/>
        <v>1.0313433538419534</v>
      </c>
      <c r="F127" s="365">
        <f t="shared" si="30"/>
        <v>0.24716794873271036</v>
      </c>
      <c r="G127" s="364">
        <f t="shared" si="31"/>
        <v>1.002256061221078</v>
      </c>
      <c r="H127" s="365">
        <f t="shared" si="32"/>
        <v>-6.7109281929047457E-2</v>
      </c>
      <c r="I127" s="363">
        <f t="shared" si="33"/>
        <v>22944.439587899458</v>
      </c>
      <c r="J127" s="366">
        <f t="shared" si="34"/>
        <v>1.5707527432505488</v>
      </c>
      <c r="K127" s="374">
        <f t="shared" si="35"/>
        <v>5.6744206357690263</v>
      </c>
      <c r="L127" s="375">
        <f t="shared" si="36"/>
        <v>1.3936417049581744</v>
      </c>
      <c r="M127" s="363">
        <f t="shared" si="37"/>
        <v>1.0151735786002609</v>
      </c>
      <c r="N127" s="366">
        <f t="shared" si="38"/>
        <v>0.17311363858709036</v>
      </c>
      <c r="O127" s="367">
        <f t="shared" si="39"/>
        <v>1.0016076000478669</v>
      </c>
      <c r="P127" s="368">
        <f t="shared" si="40"/>
        <v>7.6679118184997161E-2</v>
      </c>
      <c r="Q127" s="369">
        <f t="shared" si="41"/>
        <v>-4.4281220838136672</v>
      </c>
      <c r="R127" s="370">
        <f t="shared" si="42"/>
        <v>-97.720396718598906</v>
      </c>
      <c r="S127" s="372">
        <f t="shared" si="43"/>
        <v>82.279603281401094</v>
      </c>
      <c r="U127" s="345">
        <f t="shared" si="50"/>
        <v>6760.8</v>
      </c>
      <c r="V127" s="345">
        <f t="shared" si="51"/>
        <v>45708416.640000001</v>
      </c>
      <c r="X127" s="371">
        <f t="shared" si="44"/>
        <v>15.830749642574332</v>
      </c>
      <c r="Y127" s="372">
        <f t="shared" si="45"/>
        <v>-20.066395889455514</v>
      </c>
      <c r="AA127" s="371">
        <f t="shared" si="46"/>
        <v>25.761728186891627</v>
      </c>
      <c r="AB127" s="372">
        <f t="shared" si="47"/>
        <v>-77.654000829143385</v>
      </c>
      <c r="AD127">
        <f t="shared" si="52"/>
        <v>0</v>
      </c>
      <c r="AE127">
        <f t="shared" si="53"/>
        <v>0</v>
      </c>
    </row>
    <row r="128" spans="1:31" x14ac:dyDescent="0.2">
      <c r="A128" s="373">
        <v>6839.55</v>
      </c>
      <c r="B128" s="390">
        <f t="shared" si="49"/>
        <v>6.83955</v>
      </c>
      <c r="C128" s="363">
        <f t="shared" si="27"/>
        <v>9.0422445828731366</v>
      </c>
      <c r="D128" s="364">
        <f t="shared" si="28"/>
        <v>1.4599776330146268</v>
      </c>
      <c r="E128" s="364">
        <f t="shared" si="29"/>
        <v>1.0320663696624575</v>
      </c>
      <c r="F128" s="365">
        <f t="shared" si="30"/>
        <v>0.24992920380286912</v>
      </c>
      <c r="G128" s="364">
        <f t="shared" si="31"/>
        <v>1.0023088637642885</v>
      </c>
      <c r="H128" s="365">
        <f t="shared" si="32"/>
        <v>-6.7888587003549633E-2</v>
      </c>
      <c r="I128" s="363">
        <f t="shared" si="33"/>
        <v>23211.697103893817</v>
      </c>
      <c r="J128" s="366">
        <f t="shared" si="34"/>
        <v>1.5707532450677901</v>
      </c>
      <c r="K128" s="374">
        <f t="shared" si="35"/>
        <v>5.7384751852358216</v>
      </c>
      <c r="L128" s="375">
        <f t="shared" si="36"/>
        <v>1.3956397506266132</v>
      </c>
      <c r="M128" s="363">
        <f t="shared" si="37"/>
        <v>1.0155264034653124</v>
      </c>
      <c r="N128" s="366">
        <f t="shared" si="38"/>
        <v>0.17508934072737259</v>
      </c>
      <c r="O128" s="367">
        <f t="shared" si="39"/>
        <v>1.0016452593226854</v>
      </c>
      <c r="P128" s="368">
        <f t="shared" si="40"/>
        <v>7.7571141907008465E-2</v>
      </c>
      <c r="Q128" s="369">
        <f t="shared" si="41"/>
        <v>-4.527355812389942</v>
      </c>
      <c r="R128" s="370">
        <f t="shared" si="42"/>
        <v>-97.730041096306891</v>
      </c>
      <c r="S128" s="372">
        <f t="shared" si="43"/>
        <v>82.269958903693109</v>
      </c>
      <c r="U128" s="345">
        <f t="shared" si="50"/>
        <v>6839.55</v>
      </c>
      <c r="V128" s="345">
        <f t="shared" si="51"/>
        <v>46779444.202500001</v>
      </c>
      <c r="X128" s="371">
        <f t="shared" si="44"/>
        <v>15.82464220890474</v>
      </c>
      <c r="Y128" s="372">
        <f t="shared" si="45"/>
        <v>-20.065144451601295</v>
      </c>
      <c r="AA128" s="371">
        <f t="shared" si="46"/>
        <v>25.668601891984942</v>
      </c>
      <c r="AB128" s="372">
        <f t="shared" si="47"/>
        <v>-77.664896644705607</v>
      </c>
      <c r="AD128">
        <f t="shared" si="52"/>
        <v>0</v>
      </c>
      <c r="AE128">
        <f t="shared" si="53"/>
        <v>0</v>
      </c>
    </row>
    <row r="129" spans="1:31" x14ac:dyDescent="0.2">
      <c r="A129" s="373">
        <v>6918.3</v>
      </c>
      <c r="B129" s="390">
        <f t="shared" si="49"/>
        <v>6.9183000000000003</v>
      </c>
      <c r="C129" s="363">
        <f t="shared" si="27"/>
        <v>9.1450900344056016</v>
      </c>
      <c r="D129" s="364">
        <f t="shared" si="28"/>
        <v>1.46122893734399</v>
      </c>
      <c r="E129" s="364">
        <f t="shared" si="29"/>
        <v>1.0327972434510286</v>
      </c>
      <c r="F129" s="365">
        <f t="shared" si="30"/>
        <v>0.25268657178845094</v>
      </c>
      <c r="G129" s="364">
        <f t="shared" si="31"/>
        <v>1.0023622749617609</v>
      </c>
      <c r="H129" s="365">
        <f t="shared" si="32"/>
        <v>-6.8667809500199573E-2</v>
      </c>
      <c r="I129" s="363">
        <f t="shared" si="33"/>
        <v>23478.954619893881</v>
      </c>
      <c r="J129" s="366">
        <f t="shared" si="34"/>
        <v>1.5707537354608065</v>
      </c>
      <c r="K129" s="374">
        <f t="shared" si="35"/>
        <v>5.8025521379253977</v>
      </c>
      <c r="L129" s="375">
        <f t="shared" si="36"/>
        <v>1.3975936755502019</v>
      </c>
      <c r="M129" s="363">
        <f t="shared" si="37"/>
        <v>1.0158831895725704</v>
      </c>
      <c r="N129" s="366">
        <f t="shared" si="38"/>
        <v>0.17706366280570146</v>
      </c>
      <c r="O129" s="367">
        <f t="shared" si="39"/>
        <v>1.0016833542680839</v>
      </c>
      <c r="P129" s="368">
        <f t="shared" si="40"/>
        <v>7.8463126204380756E-2</v>
      </c>
      <c r="Q129" s="369">
        <f t="shared" si="41"/>
        <v>-4.6253466005302215</v>
      </c>
      <c r="R129" s="370">
        <f t="shared" si="42"/>
        <v>-97.740699869461608</v>
      </c>
      <c r="S129" s="372">
        <f t="shared" si="43"/>
        <v>82.259300130538392</v>
      </c>
      <c r="U129" s="345">
        <f t="shared" si="50"/>
        <v>6918.3</v>
      </c>
      <c r="V129" s="345">
        <f t="shared" si="51"/>
        <v>47862874.890000001</v>
      </c>
      <c r="X129" s="371">
        <f t="shared" si="44"/>
        <v>15.818604755542227</v>
      </c>
      <c r="Y129" s="372">
        <f t="shared" si="45"/>
        <v>-20.066341219933491</v>
      </c>
      <c r="AA129" s="371">
        <f t="shared" si="46"/>
        <v>25.576648557207172</v>
      </c>
      <c r="AB129" s="372">
        <f t="shared" si="47"/>
        <v>-77.674358649528102</v>
      </c>
      <c r="AD129">
        <f t="shared" si="52"/>
        <v>0</v>
      </c>
      <c r="AE129">
        <f t="shared" si="53"/>
        <v>0</v>
      </c>
    </row>
    <row r="130" spans="1:31" x14ac:dyDescent="0.2">
      <c r="A130" s="373">
        <v>6998.9</v>
      </c>
      <c r="B130" s="390">
        <f t="shared" si="49"/>
        <v>6.9988999999999999</v>
      </c>
      <c r="C130" s="363">
        <f t="shared" si="27"/>
        <v>9.2503660317895609</v>
      </c>
      <c r="D130" s="364">
        <f t="shared" si="28"/>
        <v>1.4624808232751483</v>
      </c>
      <c r="E130" s="364">
        <f t="shared" si="29"/>
        <v>1.0335534066107495</v>
      </c>
      <c r="F130" s="365">
        <f t="shared" si="30"/>
        <v>0.25550465580405424</v>
      </c>
      <c r="G130" s="364">
        <f t="shared" si="31"/>
        <v>1.0024175710669629</v>
      </c>
      <c r="H130" s="365">
        <f t="shared" si="32"/>
        <v>-6.9465251057001839E-2</v>
      </c>
      <c r="I130" s="363">
        <f t="shared" si="33"/>
        <v>23752.490566434266</v>
      </c>
      <c r="J130" s="366">
        <f t="shared" si="34"/>
        <v>1.570754225946672</v>
      </c>
      <c r="K130" s="374">
        <f t="shared" si="35"/>
        <v>5.868156823400029</v>
      </c>
      <c r="L130" s="375">
        <f t="shared" si="36"/>
        <v>1.3995493076123862</v>
      </c>
      <c r="M130" s="363">
        <f t="shared" si="37"/>
        <v>1.016252454889184</v>
      </c>
      <c r="N130" s="366">
        <f t="shared" si="38"/>
        <v>0.17908292217296914</v>
      </c>
      <c r="O130" s="367">
        <f t="shared" si="39"/>
        <v>1.0017227952693402</v>
      </c>
      <c r="P130" s="368">
        <f t="shared" si="40"/>
        <v>7.9376023759461747E-2</v>
      </c>
      <c r="Q130" s="369">
        <f t="shared" si="41"/>
        <v>-4.7243824722601548</v>
      </c>
      <c r="R130" s="370">
        <f t="shared" si="42"/>
        <v>-97.752632220815215</v>
      </c>
      <c r="S130" s="372">
        <f t="shared" si="43"/>
        <v>82.247367779184785</v>
      </c>
      <c r="U130" s="345">
        <f t="shared" si="50"/>
        <v>6998.9</v>
      </c>
      <c r="V130" s="345">
        <f t="shared" si="51"/>
        <v>48984601.209999993</v>
      </c>
      <c r="X130" s="371">
        <f t="shared" si="44"/>
        <v>15.812493325218259</v>
      </c>
      <c r="Y130" s="372">
        <f t="shared" si="45"/>
        <v>-20.07001489875076</v>
      </c>
      <c r="AA130" s="371">
        <f t="shared" si="46"/>
        <v>25.483724115801209</v>
      </c>
      <c r="AB130" s="372">
        <f t="shared" si="47"/>
        <v>-77.682617322064445</v>
      </c>
      <c r="AD130">
        <f t="shared" si="52"/>
        <v>0</v>
      </c>
      <c r="AE130">
        <f t="shared" si="53"/>
        <v>0</v>
      </c>
    </row>
    <row r="131" spans="1:31" x14ac:dyDescent="0.2">
      <c r="A131" s="373">
        <v>7079.5</v>
      </c>
      <c r="B131" s="390">
        <f t="shared" si="49"/>
        <v>7.0795000000000003</v>
      </c>
      <c r="C131" s="363">
        <f t="shared" si="27"/>
        <v>9.3556562002368597</v>
      </c>
      <c r="D131" s="364">
        <f t="shared" si="28"/>
        <v>1.4637045332079548</v>
      </c>
      <c r="E131" s="364">
        <f t="shared" si="29"/>
        <v>1.0343177657962359</v>
      </c>
      <c r="F131" s="365">
        <f t="shared" si="30"/>
        <v>0.25831859702024307</v>
      </c>
      <c r="G131" s="364">
        <f t="shared" si="31"/>
        <v>1.002473504552007</v>
      </c>
      <c r="H131" s="365">
        <f t="shared" si="32"/>
        <v>-7.0262604133544043E-2</v>
      </c>
      <c r="I131" s="363">
        <f t="shared" si="33"/>
        <v>24026.026512980239</v>
      </c>
      <c r="J131" s="366">
        <f t="shared" si="34"/>
        <v>1.570754705264189</v>
      </c>
      <c r="K131" s="374">
        <f t="shared" si="35"/>
        <v>5.9337834553121374</v>
      </c>
      <c r="L131" s="375">
        <f t="shared" si="36"/>
        <v>1.4014616889408393</v>
      </c>
      <c r="M131" s="363">
        <f t="shared" si="37"/>
        <v>1.0166258608620495</v>
      </c>
      <c r="N131" s="366">
        <f t="shared" si="38"/>
        <v>0.18110070641742934</v>
      </c>
      <c r="O131" s="367">
        <f t="shared" si="39"/>
        <v>1.0017626926184946</v>
      </c>
      <c r="P131" s="368">
        <f t="shared" si="40"/>
        <v>8.0288879062842239E-2</v>
      </c>
      <c r="Q131" s="369">
        <f t="shared" si="41"/>
        <v>-4.8221764859885088</v>
      </c>
      <c r="R131" s="370">
        <f t="shared" si="42"/>
        <v>-97.765573007206356</v>
      </c>
      <c r="S131" s="372">
        <f t="shared" si="43"/>
        <v>82.234426992793644</v>
      </c>
      <c r="U131" s="345">
        <f t="shared" si="50"/>
        <v>7079.5</v>
      </c>
      <c r="V131" s="345">
        <f t="shared" si="51"/>
        <v>50119320.25</v>
      </c>
      <c r="X131" s="371">
        <f t="shared" si="44"/>
        <v>15.806446098078617</v>
      </c>
      <c r="Y131" s="372">
        <f t="shared" si="45"/>
        <v>-20.076081503864035</v>
      </c>
      <c r="AA131" s="371">
        <f t="shared" si="46"/>
        <v>25.391977329212494</v>
      </c>
      <c r="AB131" s="372">
        <f t="shared" si="47"/>
        <v>-77.689491503342296</v>
      </c>
      <c r="AD131">
        <f t="shared" si="52"/>
        <v>0</v>
      </c>
      <c r="AE131">
        <f t="shared" si="53"/>
        <v>0</v>
      </c>
    </row>
    <row r="132" spans="1:31" x14ac:dyDescent="0.2">
      <c r="A132" s="373">
        <v>7161.95</v>
      </c>
      <c r="B132" s="390">
        <f t="shared" si="49"/>
        <v>7.16195</v>
      </c>
      <c r="C132" s="363">
        <f t="shared" si="27"/>
        <v>9.4633772480423275</v>
      </c>
      <c r="D132" s="364">
        <f t="shared" si="28"/>
        <v>1.4649281540565562</v>
      </c>
      <c r="E132" s="364">
        <f t="shared" si="29"/>
        <v>1.035108130642729</v>
      </c>
      <c r="F132" s="365">
        <f t="shared" si="30"/>
        <v>0.26119280285386137</v>
      </c>
      <c r="G132" s="364">
        <f t="shared" si="31"/>
        <v>1.0025313812511767</v>
      </c>
      <c r="H132" s="365">
        <f t="shared" si="32"/>
        <v>-7.1078166147103577E-2</v>
      </c>
      <c r="I132" s="363">
        <f t="shared" si="33"/>
        <v>24305.840890066651</v>
      </c>
      <c r="J132" s="366">
        <f t="shared" si="34"/>
        <v>1.5707551844207321</v>
      </c>
      <c r="K132" s="374">
        <f t="shared" si="35"/>
        <v>6.0009383628135566</v>
      </c>
      <c r="L132" s="375">
        <f t="shared" si="36"/>
        <v>1.403374678759963</v>
      </c>
      <c r="M132" s="363">
        <f t="shared" si="37"/>
        <v>1.0170121171188438</v>
      </c>
      <c r="N132" s="366">
        <f t="shared" si="38"/>
        <v>0.18316326284272497</v>
      </c>
      <c r="O132" s="367">
        <f t="shared" si="39"/>
        <v>1.0018039778879513</v>
      </c>
      <c r="P132" s="368">
        <f t="shared" si="40"/>
        <v>8.1222642780526641E-2</v>
      </c>
      <c r="Q132" s="369">
        <f t="shared" si="41"/>
        <v>-4.9209602648211517</v>
      </c>
      <c r="R132" s="370">
        <f t="shared" si="42"/>
        <v>-97.779827424184802</v>
      </c>
      <c r="S132" s="372">
        <f t="shared" si="43"/>
        <v>82.220172575815198</v>
      </c>
      <c r="U132" s="345">
        <f t="shared" si="50"/>
        <v>7161.95</v>
      </c>
      <c r="V132" s="345">
        <f t="shared" si="51"/>
        <v>51293527.802499995</v>
      </c>
      <c r="X132" s="371">
        <f t="shared" si="44"/>
        <v>15.800322094372811</v>
      </c>
      <c r="Y132" s="372">
        <f t="shared" si="45"/>
        <v>-20.084678492811253</v>
      </c>
      <c r="AA132" s="371">
        <f t="shared" si="46"/>
        <v>25.299317554085658</v>
      </c>
      <c r="AB132" s="372">
        <f t="shared" si="47"/>
        <v>-77.695148931373538</v>
      </c>
      <c r="AD132">
        <f t="shared" si="52"/>
        <v>0</v>
      </c>
      <c r="AE132">
        <f t="shared" si="53"/>
        <v>0</v>
      </c>
    </row>
    <row r="133" spans="1:31" x14ac:dyDescent="0.2">
      <c r="A133" s="373">
        <v>7244.4</v>
      </c>
      <c r="B133" s="390">
        <f t="shared" si="49"/>
        <v>7.2443999999999997</v>
      </c>
      <c r="C133" s="363">
        <f t="shared" si="27"/>
        <v>9.5711121459187574</v>
      </c>
      <c r="D133" s="364">
        <f t="shared" si="28"/>
        <v>1.4661242298811061</v>
      </c>
      <c r="E133" s="364">
        <f t="shared" si="29"/>
        <v>1.0359070334891394</v>
      </c>
      <c r="F133" s="365">
        <f t="shared" si="30"/>
        <v>0.26406259912670244</v>
      </c>
      <c r="G133" s="364">
        <f t="shared" si="31"/>
        <v>1.0025899246982242</v>
      </c>
      <c r="H133" s="365">
        <f t="shared" si="32"/>
        <v>-7.1893633458065778E-2</v>
      </c>
      <c r="I133" s="363">
        <f t="shared" si="33"/>
        <v>24585.65526715852</v>
      </c>
      <c r="J133" s="366">
        <f t="shared" si="34"/>
        <v>1.5707556526705175</v>
      </c>
      <c r="K133" s="374">
        <f t="shared" si="35"/>
        <v>6.0681147448133741</v>
      </c>
      <c r="L133" s="375">
        <f t="shared" si="36"/>
        <v>1.4052453202216235</v>
      </c>
      <c r="M133" s="363">
        <f t="shared" si="37"/>
        <v>1.017402696590711</v>
      </c>
      <c r="N133" s="366">
        <f t="shared" si="38"/>
        <v>0.18522424440508931</v>
      </c>
      <c r="O133" s="367">
        <f t="shared" si="39"/>
        <v>1.0018457406588619</v>
      </c>
      <c r="P133" s="368">
        <f t="shared" si="40"/>
        <v>8.2156361264967601E-2</v>
      </c>
      <c r="Q133" s="369">
        <f t="shared" si="41"/>
        <v>-5.0185044617635342</v>
      </c>
      <c r="R133" s="370">
        <f t="shared" si="42"/>
        <v>-97.79508378327013</v>
      </c>
      <c r="S133" s="372">
        <f t="shared" si="43"/>
        <v>82.20491621672987</v>
      </c>
      <c r="U133" s="345">
        <f t="shared" si="50"/>
        <v>7244.4</v>
      </c>
      <c r="V133" s="345">
        <f t="shared" si="51"/>
        <v>52481331.359999992</v>
      </c>
      <c r="X133" s="371">
        <f t="shared" si="44"/>
        <v>15.794256578629057</v>
      </c>
      <c r="Y133" s="372">
        <f t="shared" si="45"/>
        <v>-20.095611006002638</v>
      </c>
      <c r="AA133" s="371">
        <f t="shared" si="46"/>
        <v>25.207838872887038</v>
      </c>
      <c r="AB133" s="372">
        <f t="shared" si="47"/>
        <v>-77.699472777267488</v>
      </c>
      <c r="AD133">
        <f t="shared" si="52"/>
        <v>0</v>
      </c>
      <c r="AE133">
        <f t="shared" si="53"/>
        <v>0</v>
      </c>
    </row>
    <row r="134" spans="1:31" x14ac:dyDescent="0.2">
      <c r="A134" s="373">
        <v>7328.75</v>
      </c>
      <c r="B134" s="390">
        <f t="shared" si="49"/>
        <v>7.3287500000000003</v>
      </c>
      <c r="C134" s="363">
        <f t="shared" si="27"/>
        <v>9.6813435661296676</v>
      </c>
      <c r="D134" s="364">
        <f t="shared" si="28"/>
        <v>1.4673203193320261</v>
      </c>
      <c r="E134" s="364">
        <f t="shared" si="29"/>
        <v>1.0367331612789885</v>
      </c>
      <c r="F134" s="365">
        <f t="shared" si="30"/>
        <v>0.26699392600143207</v>
      </c>
      <c r="G134" s="364">
        <f t="shared" si="31"/>
        <v>1.0026505070864211</v>
      </c>
      <c r="H134" s="365">
        <f t="shared" si="32"/>
        <v>-7.272779350249349E-2</v>
      </c>
      <c r="I134" s="363">
        <f t="shared" si="33"/>
        <v>24871.917762102716</v>
      </c>
      <c r="J134" s="366">
        <f t="shared" si="34"/>
        <v>1.5707561208079746</v>
      </c>
      <c r="K134" s="374">
        <f t="shared" si="35"/>
        <v>6.1368606445696416</v>
      </c>
      <c r="L134" s="375">
        <f t="shared" si="36"/>
        <v>1.4071166825719046</v>
      </c>
      <c r="M134" s="363">
        <f t="shared" si="37"/>
        <v>1.0178067452917545</v>
      </c>
      <c r="N134" s="366">
        <f t="shared" si="38"/>
        <v>0.18733107370708829</v>
      </c>
      <c r="O134" s="367">
        <f t="shared" si="39"/>
        <v>1.0018889599368392</v>
      </c>
      <c r="P134" s="368">
        <f t="shared" si="40"/>
        <v>8.3111549263360326E-2</v>
      </c>
      <c r="Q134" s="369">
        <f t="shared" si="41"/>
        <v>-5.1170436765382368</v>
      </c>
      <c r="R134" s="370">
        <f t="shared" si="42"/>
        <v>-97.811702178234043</v>
      </c>
      <c r="S134" s="372">
        <f t="shared" si="43"/>
        <v>82.188297821765957</v>
      </c>
      <c r="U134" s="345">
        <f t="shared" si="50"/>
        <v>7328.75</v>
      </c>
      <c r="V134" s="345">
        <f t="shared" si="51"/>
        <v>53710576.5625</v>
      </c>
      <c r="X134" s="371">
        <f t="shared" si="44"/>
        <v>15.788107605691394</v>
      </c>
      <c r="Y134" s="372">
        <f t="shared" si="45"/>
        <v>-20.109129090866855</v>
      </c>
      <c r="AA134" s="371">
        <f t="shared" si="46"/>
        <v>25.115448631049993</v>
      </c>
      <c r="AB134" s="372">
        <f t="shared" si="47"/>
        <v>-77.702573087367199</v>
      </c>
      <c r="AD134">
        <f t="shared" si="52"/>
        <v>0</v>
      </c>
      <c r="AE134">
        <f t="shared" si="53"/>
        <v>0</v>
      </c>
    </row>
    <row r="135" spans="1:31" x14ac:dyDescent="0.2">
      <c r="A135" s="373">
        <v>7413.1</v>
      </c>
      <c r="B135" s="390">
        <f t="shared" si="49"/>
        <v>7.4131</v>
      </c>
      <c r="C135" s="363">
        <f t="shared" si="27"/>
        <v>9.7915885248998684</v>
      </c>
      <c r="D135" s="364">
        <f t="shared" si="28"/>
        <v>1.4684894765245133</v>
      </c>
      <c r="E135" s="364">
        <f t="shared" si="29"/>
        <v>1.0375681831517991</v>
      </c>
      <c r="F135" s="365">
        <f t="shared" si="30"/>
        <v>0.26992055979994584</v>
      </c>
      <c r="G135" s="364">
        <f t="shared" si="31"/>
        <v>1.0027117870572944</v>
      </c>
      <c r="H135" s="365">
        <f t="shared" si="32"/>
        <v>-7.3561852169101827E-2</v>
      </c>
      <c r="I135" s="363">
        <f t="shared" si="33"/>
        <v>25158.180257052234</v>
      </c>
      <c r="J135" s="366">
        <f t="shared" si="34"/>
        <v>1.5707565782920221</v>
      </c>
      <c r="K135" s="374">
        <f t="shared" si="35"/>
        <v>6.2056275593901917</v>
      </c>
      <c r="L135" s="375">
        <f t="shared" si="36"/>
        <v>1.4089465766594025</v>
      </c>
      <c r="M135" s="363">
        <f t="shared" si="37"/>
        <v>1.0182153081646563</v>
      </c>
      <c r="N135" s="366">
        <f t="shared" si="38"/>
        <v>0.1894362216000656</v>
      </c>
      <c r="O135" s="367">
        <f t="shared" si="39"/>
        <v>1.0019326789379395</v>
      </c>
      <c r="P135" s="368">
        <f t="shared" si="40"/>
        <v>8.4066688828752026E-2</v>
      </c>
      <c r="Q135" s="369">
        <f t="shared" si="41"/>
        <v>-5.214345240678206</v>
      </c>
      <c r="R135" s="370">
        <f t="shared" si="42"/>
        <v>-97.829316786795772</v>
      </c>
      <c r="S135" s="372">
        <f t="shared" si="43"/>
        <v>82.170683213204228</v>
      </c>
      <c r="U135" s="345">
        <f t="shared" si="50"/>
        <v>7413.1</v>
      </c>
      <c r="V135" s="345">
        <f t="shared" si="51"/>
        <v>54954051.610000007</v>
      </c>
      <c r="X135" s="371">
        <f t="shared" si="44"/>
        <v>15.782011544239838</v>
      </c>
      <c r="Y135" s="372">
        <f t="shared" si="45"/>
        <v>-20.124926184138904</v>
      </c>
      <c r="AA135" s="371">
        <f t="shared" si="46"/>
        <v>25.024243128361583</v>
      </c>
      <c r="AB135" s="372">
        <f t="shared" si="47"/>
        <v>-77.704390602656844</v>
      </c>
      <c r="AD135">
        <f t="shared" si="52"/>
        <v>0</v>
      </c>
      <c r="AE135">
        <f t="shared" si="53"/>
        <v>0</v>
      </c>
    </row>
    <row r="136" spans="1:31" x14ac:dyDescent="0.2">
      <c r="A136" s="373">
        <v>7499.45</v>
      </c>
      <c r="B136" s="390">
        <f t="shared" si="49"/>
        <v>7.4994499999999995</v>
      </c>
      <c r="C136" s="363">
        <f t="shared" si="27"/>
        <v>9.904461023907178</v>
      </c>
      <c r="D136" s="364">
        <f t="shared" si="28"/>
        <v>1.4696593932395163</v>
      </c>
      <c r="E136" s="364">
        <f t="shared" si="29"/>
        <v>1.0384321945110349</v>
      </c>
      <c r="F136" s="365">
        <f t="shared" si="30"/>
        <v>0.27291168445435937</v>
      </c>
      <c r="G136" s="364">
        <f t="shared" si="31"/>
        <v>1.0027752424764842</v>
      </c>
      <c r="H136" s="365">
        <f t="shared" si="32"/>
        <v>-7.4415580770872736E-2</v>
      </c>
      <c r="I136" s="363">
        <f t="shared" si="33"/>
        <v>25451.230244477727</v>
      </c>
      <c r="J136" s="366">
        <f t="shared" si="34"/>
        <v>1.5707570359633474</v>
      </c>
      <c r="K136" s="374">
        <f t="shared" si="35"/>
        <v>6.2760460350862779</v>
      </c>
      <c r="L136" s="375">
        <f t="shared" si="36"/>
        <v>1.4107783146394048</v>
      </c>
      <c r="M136" s="363">
        <f t="shared" si="37"/>
        <v>1.0186382286821236</v>
      </c>
      <c r="N136" s="366">
        <f t="shared" si="38"/>
        <v>0.19158952504612417</v>
      </c>
      <c r="O136" s="367">
        <f t="shared" si="39"/>
        <v>1.0019779521641512</v>
      </c>
      <c r="P136" s="368">
        <f t="shared" si="40"/>
        <v>8.5044424704754193E-2</v>
      </c>
      <c r="Q136" s="369">
        <f t="shared" si="41"/>
        <v>-5.312701752933596</v>
      </c>
      <c r="R136" s="370">
        <f t="shared" si="42"/>
        <v>-97.848355009855638</v>
      </c>
      <c r="S136" s="372">
        <f t="shared" si="43"/>
        <v>82.151644990144362</v>
      </c>
      <c r="U136" s="345">
        <f t="shared" si="50"/>
        <v>7499.45</v>
      </c>
      <c r="V136" s="345">
        <f t="shared" si="51"/>
        <v>56241750.302499995</v>
      </c>
      <c r="X136" s="371">
        <f t="shared" si="44"/>
        <v>15.775821728579903</v>
      </c>
      <c r="Y136" s="372">
        <f t="shared" si="45"/>
        <v>-20.143376750837508</v>
      </c>
      <c r="AA136" s="371">
        <f t="shared" si="46"/>
        <v>24.932076431766124</v>
      </c>
      <c r="AB136" s="372">
        <f t="shared" si="47"/>
        <v>-77.704978259018091</v>
      </c>
      <c r="AD136">
        <f t="shared" si="52"/>
        <v>0</v>
      </c>
      <c r="AE136">
        <f t="shared" si="53"/>
        <v>0</v>
      </c>
    </row>
    <row r="137" spans="1:31" x14ac:dyDescent="0.2">
      <c r="A137" s="373">
        <v>7585.8</v>
      </c>
      <c r="B137" s="390">
        <f t="shared" si="49"/>
        <v>7.5857999999999999</v>
      </c>
      <c r="C137" s="363">
        <f t="shared" si="27"/>
        <v>10.017346773693873</v>
      </c>
      <c r="D137" s="364">
        <f t="shared" si="28"/>
        <v>1.4708029438446864</v>
      </c>
      <c r="E137" s="364">
        <f t="shared" si="29"/>
        <v>1.0393054810473823</v>
      </c>
      <c r="F137" s="365">
        <f t="shared" si="30"/>
        <v>0.27589780914473849</v>
      </c>
      <c r="G137" s="364">
        <f t="shared" si="31"/>
        <v>1.0028394286781381</v>
      </c>
      <c r="H137" s="365">
        <f t="shared" si="32"/>
        <v>-7.5269200709854947E-2</v>
      </c>
      <c r="I137" s="363">
        <f t="shared" si="33"/>
        <v>25744.280231908433</v>
      </c>
      <c r="J137" s="366">
        <f t="shared" si="34"/>
        <v>1.570757483215226</v>
      </c>
      <c r="K137" s="374">
        <f t="shared" si="35"/>
        <v>6.3464851012327639</v>
      </c>
      <c r="L137" s="375">
        <f t="shared" si="36"/>
        <v>1.4125693979288059</v>
      </c>
      <c r="M137" s="363">
        <f t="shared" si="37"/>
        <v>1.0190658684024427</v>
      </c>
      <c r="N137" s="366">
        <f t="shared" si="38"/>
        <v>0.19374103124121486</v>
      </c>
      <c r="O137" s="367">
        <f t="shared" si="39"/>
        <v>1.002023749048975</v>
      </c>
      <c r="P137" s="368">
        <f t="shared" si="40"/>
        <v>8.6022108654539339E-2</v>
      </c>
      <c r="Q137" s="369">
        <f t="shared" si="41"/>
        <v>-5.4098208399720873</v>
      </c>
      <c r="R137" s="370">
        <f t="shared" si="42"/>
        <v>-97.868385612168993</v>
      </c>
      <c r="S137" s="372">
        <f t="shared" si="43"/>
        <v>82.131614387831007</v>
      </c>
      <c r="U137" s="345">
        <f t="shared" si="50"/>
        <v>7585.8</v>
      </c>
      <c r="V137" s="345">
        <f t="shared" si="51"/>
        <v>57544361.640000001</v>
      </c>
      <c r="X137" s="371">
        <f t="shared" si="44"/>
        <v>15.769679426191693</v>
      </c>
      <c r="Y137" s="372">
        <f t="shared" si="45"/>
        <v>-20.164053087842021</v>
      </c>
      <c r="AA137" s="371">
        <f t="shared" si="46"/>
        <v>24.841099647115847</v>
      </c>
      <c r="AB137" s="372">
        <f t="shared" si="47"/>
        <v>-77.704332524326972</v>
      </c>
      <c r="AD137">
        <f t="shared" si="52"/>
        <v>0</v>
      </c>
      <c r="AE137">
        <f t="shared" si="53"/>
        <v>0</v>
      </c>
    </row>
    <row r="138" spans="1:31" x14ac:dyDescent="0.2">
      <c r="A138" s="373">
        <v>7674.15</v>
      </c>
      <c r="B138" s="390">
        <f t="shared" si="49"/>
        <v>7.67415</v>
      </c>
      <c r="C138" s="363">
        <f t="shared" si="27"/>
        <v>10.132860385413599</v>
      </c>
      <c r="D138" s="364">
        <f t="shared" si="28"/>
        <v>1.4719466076808954</v>
      </c>
      <c r="E138" s="364">
        <f t="shared" si="29"/>
        <v>1.0402085697949215</v>
      </c>
      <c r="F138" s="365">
        <f t="shared" si="30"/>
        <v>0.27894787976520291</v>
      </c>
      <c r="G138" s="364">
        <f t="shared" si="31"/>
        <v>1.0029058577530388</v>
      </c>
      <c r="H138" s="365">
        <f t="shared" si="32"/>
        <v>-7.6142478068546959E-2</v>
      </c>
      <c r="I138" s="363">
        <f t="shared" si="33"/>
        <v>26044.117711815234</v>
      </c>
      <c r="J138" s="366">
        <f t="shared" si="34"/>
        <v>1.5707579304087602</v>
      </c>
      <c r="K138" s="374">
        <f t="shared" si="35"/>
        <v>6.4185762497479111</v>
      </c>
      <c r="L138" s="375">
        <f t="shared" si="36"/>
        <v>1.4143612716891627</v>
      </c>
      <c r="M138" s="363">
        <f t="shared" si="37"/>
        <v>1.0195082911528097</v>
      </c>
      <c r="N138" s="366">
        <f t="shared" si="38"/>
        <v>0.19594049108238754</v>
      </c>
      <c r="O138" s="367">
        <f t="shared" si="39"/>
        <v>1.0020711486298086</v>
      </c>
      <c r="P138" s="368">
        <f t="shared" si="40"/>
        <v>8.7022382921071326E-2</v>
      </c>
      <c r="Q138" s="369">
        <f t="shared" si="41"/>
        <v>-5.5079384116296728</v>
      </c>
      <c r="R138" s="370">
        <f t="shared" si="42"/>
        <v>-97.889881734766973</v>
      </c>
      <c r="S138" s="372">
        <f t="shared" si="43"/>
        <v>82.110118265233027</v>
      </c>
      <c r="U138" s="345">
        <f t="shared" si="50"/>
        <v>7674.15</v>
      </c>
      <c r="V138" s="345">
        <f t="shared" si="51"/>
        <v>58892578.222499996</v>
      </c>
      <c r="X138" s="371">
        <f t="shared" si="44"/>
        <v>15.763440196341833</v>
      </c>
      <c r="Y138" s="372">
        <f t="shared" si="45"/>
        <v>-20.187431672389888</v>
      </c>
      <c r="AA138" s="371">
        <f t="shared" si="46"/>
        <v>24.749221305308112</v>
      </c>
      <c r="AB138" s="372">
        <f t="shared" si="47"/>
        <v>-77.702450062377082</v>
      </c>
      <c r="AD138">
        <f t="shared" si="52"/>
        <v>0</v>
      </c>
      <c r="AE138">
        <f t="shared" si="53"/>
        <v>0</v>
      </c>
    </row>
    <row r="139" spans="1:31" x14ac:dyDescent="0.2">
      <c r="A139" s="373">
        <v>7762.5</v>
      </c>
      <c r="B139" s="390">
        <f t="shared" si="49"/>
        <v>7.7625000000000002</v>
      </c>
      <c r="C139" s="363">
        <f t="shared" si="27"/>
        <v>10.248386951800395</v>
      </c>
      <c r="D139" s="364">
        <f t="shared" si="28"/>
        <v>1.4730644886881588</v>
      </c>
      <c r="E139" s="364">
        <f t="shared" si="29"/>
        <v>1.0411213186903177</v>
      </c>
      <c r="F139" s="365">
        <f t="shared" si="30"/>
        <v>0.28199263068845576</v>
      </c>
      <c r="G139" s="364">
        <f t="shared" si="31"/>
        <v>1.0029730515556776</v>
      </c>
      <c r="H139" s="365">
        <f t="shared" si="32"/>
        <v>-7.7015639083272358E-2</v>
      </c>
      <c r="I139" s="363">
        <f t="shared" si="33"/>
        <v>26343.955191727127</v>
      </c>
      <c r="J139" s="366">
        <f t="shared" si="34"/>
        <v>1.5707583674227006</v>
      </c>
      <c r="K139" s="374">
        <f t="shared" si="35"/>
        <v>6.4906875492649521</v>
      </c>
      <c r="L139" s="375">
        <f t="shared" si="36"/>
        <v>1.4161133356684679</v>
      </c>
      <c r="M139" s="363">
        <f t="shared" si="37"/>
        <v>1.0199556416079565</v>
      </c>
      <c r="N139" s="366">
        <f t="shared" si="38"/>
        <v>0.19813803218954365</v>
      </c>
      <c r="O139" s="367">
        <f t="shared" si="39"/>
        <v>1.0021190963604862</v>
      </c>
      <c r="P139" s="368">
        <f t="shared" si="40"/>
        <v>8.8022601576419057E-2</v>
      </c>
      <c r="Q139" s="369">
        <f t="shared" si="41"/>
        <v>-5.6048200269508701</v>
      </c>
      <c r="R139" s="370">
        <f t="shared" si="42"/>
        <v>-97.91236596780638</v>
      </c>
      <c r="S139" s="372">
        <f t="shared" si="43"/>
        <v>82.08763403219362</v>
      </c>
      <c r="U139" s="345">
        <f t="shared" si="50"/>
        <v>7762.5</v>
      </c>
      <c r="V139" s="345">
        <f t="shared" si="51"/>
        <v>60256406.25</v>
      </c>
      <c r="X139" s="371">
        <f t="shared" si="44"/>
        <v>15.757243131042664</v>
      </c>
      <c r="Y139" s="372">
        <f t="shared" si="45"/>
        <v>-20.212980670768928</v>
      </c>
      <c r="AA139" s="371">
        <f t="shared" si="46"/>
        <v>24.658536755286093</v>
      </c>
      <c r="AB139" s="372">
        <f t="shared" si="47"/>
        <v>-77.699385297037466</v>
      </c>
      <c r="AD139">
        <f t="shared" si="52"/>
        <v>0</v>
      </c>
      <c r="AE139">
        <f t="shared" si="53"/>
        <v>0</v>
      </c>
    </row>
    <row r="140" spans="1:31" x14ac:dyDescent="0.2">
      <c r="A140" s="373">
        <v>7852.9</v>
      </c>
      <c r="B140" s="390">
        <f t="shared" si="49"/>
        <v>7.8529</v>
      </c>
      <c r="C140" s="363">
        <f t="shared" si="27"/>
        <v>10.366607057931281</v>
      </c>
      <c r="D140" s="364">
        <f t="shared" si="28"/>
        <v>1.4741825171920988</v>
      </c>
      <c r="E140" s="364">
        <f t="shared" si="29"/>
        <v>1.042065218740915</v>
      </c>
      <c r="F140" s="365">
        <f t="shared" si="30"/>
        <v>0.28510247898019792</v>
      </c>
      <c r="G140" s="364">
        <f t="shared" si="31"/>
        <v>1.0030425958569293</v>
      </c>
      <c r="H140" s="365">
        <f t="shared" si="32"/>
        <v>-7.7908938411930015E-2</v>
      </c>
      <c r="I140" s="363">
        <f t="shared" si="33"/>
        <v>26650.749851427012</v>
      </c>
      <c r="J140" s="366">
        <f t="shared" si="34"/>
        <v>1.5707588043984984</v>
      </c>
      <c r="K140" s="374">
        <f t="shared" si="35"/>
        <v>6.5644922245550674</v>
      </c>
      <c r="L140" s="375">
        <f t="shared" si="36"/>
        <v>1.4178662044422436</v>
      </c>
      <c r="M140" s="363">
        <f t="shared" si="37"/>
        <v>1.0204184657897197</v>
      </c>
      <c r="N140" s="366">
        <f t="shared" si="38"/>
        <v>0.20038455769182825</v>
      </c>
      <c r="O140" s="367">
        <f t="shared" si="39"/>
        <v>1.0021687239807837</v>
      </c>
      <c r="P140" s="368">
        <f t="shared" si="40"/>
        <v>8.9045970252886714E-2</v>
      </c>
      <c r="Q140" s="369">
        <f t="shared" si="41"/>
        <v>-5.7027000195012221</v>
      </c>
      <c r="R140" s="370">
        <f t="shared" si="42"/>
        <v>-97.93636957180432</v>
      </c>
      <c r="S140" s="372">
        <f t="shared" si="43"/>
        <v>82.06363042819568</v>
      </c>
      <c r="U140" s="345">
        <f t="shared" si="50"/>
        <v>7852.9</v>
      </c>
      <c r="V140" s="345">
        <f t="shared" si="51"/>
        <v>61668038.409999996</v>
      </c>
      <c r="X140" s="371">
        <f t="shared" si="44"/>
        <v>15.750942256110108</v>
      </c>
      <c r="Y140" s="372">
        <f t="shared" si="45"/>
        <v>-20.241290154742025</v>
      </c>
      <c r="AA140" s="371">
        <f t="shared" si="46"/>
        <v>24.566957637668295</v>
      </c>
      <c r="AB140" s="372">
        <f t="shared" si="47"/>
        <v>-77.695079417062288</v>
      </c>
      <c r="AD140">
        <f t="shared" si="52"/>
        <v>0</v>
      </c>
      <c r="AE140">
        <f t="shared" si="53"/>
        <v>0</v>
      </c>
    </row>
    <row r="141" spans="1:31" x14ac:dyDescent="0.2">
      <c r="A141" s="373">
        <v>7943.3</v>
      </c>
      <c r="B141" s="390">
        <f t="shared" si="49"/>
        <v>7.9432999999999998</v>
      </c>
      <c r="C141" s="363">
        <f t="shared" ref="C141:C204" si="54">SQRT(1+(A141/pole1)^2)</f>
        <v>10.484839829969914</v>
      </c>
      <c r="D141" s="364">
        <f t="shared" ref="D141:D204" si="55">ATAN(A141/pole1)</f>
        <v>1.4752753320381891</v>
      </c>
      <c r="E141" s="364">
        <f t="shared" ref="E141:E204" si="56">SQRT(1+(A141/Zero1)^2)</f>
        <v>1.0430191784699119</v>
      </c>
      <c r="F141" s="365">
        <f t="shared" ref="F141:F204" si="57">ATAN(A141/Zero1)</f>
        <v>0.28820666862721883</v>
      </c>
      <c r="G141" s="364">
        <f t="shared" ref="G141:G204" si="58">IF(VIN_nom&gt;Vout, 1, SQRT(1+(A141/z_RHP)^2))</f>
        <v>1.0031129404584582</v>
      </c>
      <c r="H141" s="365">
        <f t="shared" ref="H141:H204" si="59">IF(VIN_nom&gt;Vout, 0, -ATAN(A141/z_RHP))</f>
        <v>-7.880211316568575E-2</v>
      </c>
      <c r="I141" s="363">
        <f t="shared" ref="I141:I204" si="60">SQRT(1+(A141/Pole2)^2)</f>
        <v>26957.544511131873</v>
      </c>
      <c r="J141" s="366">
        <f t="shared" ref="J141:J204" si="61">ATAN(A141/Pole2)</f>
        <v>1.57075923142815</v>
      </c>
      <c r="K141" s="374">
        <f t="shared" ref="K141:K147" si="62">SQRT(1+(A141/Zero2)^2)</f>
        <v>6.6383166210399311</v>
      </c>
      <c r="L141" s="375">
        <f t="shared" ref="L141:L147" si="63">ATAN(A141/Zero2)</f>
        <v>1.4195800912479926</v>
      </c>
      <c r="M141" s="363">
        <f t="shared" ref="M141:M204" si="64">SQRT(1+(A141/pole4)^2)</f>
        <v>1.0208864352131521</v>
      </c>
      <c r="N141" s="366">
        <f t="shared" ref="N141:N204" si="65">ATAN(A141/pole4)</f>
        <v>0.20262903492016951</v>
      </c>
      <c r="O141" s="367">
        <f t="shared" ref="O141:O204" si="66">SQRT((1-(V141/pterm2))^2+(A141/pterm1)^2)</f>
        <v>1.0022189254319764</v>
      </c>
      <c r="P141" s="368">
        <f t="shared" ref="P141:P204" si="67">IF((ATAN((A141/pterm1)/(1-A141^2/pterm2))&gt;0),ATAN((A141/pterm1)/(1-A141^2/pterm2)),PI()+ATAN((A141/pterm1)/(1-A141^2/pterm2)))</f>
        <v>9.0069279367732652E-2</v>
      </c>
      <c r="Q141" s="369">
        <f t="shared" ref="Q141:Q204" si="68">20*LOG10(((E141*K141*G141)/(C141*I141*O141*M141))*Adc)</f>
        <v>-5.7993453306276788</v>
      </c>
      <c r="R141" s="370">
        <f t="shared" ref="R141:R204" si="69">((F141+L141+H141)-(D141+J141+P141+N141))*radconv</f>
        <v>-97.961357780757709</v>
      </c>
      <c r="S141" s="372">
        <f t="shared" ref="S141:S204" si="70">IF(R141&gt;0,R141,R141+180)</f>
        <v>82.038642219242291</v>
      </c>
      <c r="U141" s="345">
        <f t="shared" si="50"/>
        <v>7943.3</v>
      </c>
      <c r="V141" s="345">
        <f t="shared" si="51"/>
        <v>63096014.890000001</v>
      </c>
      <c r="X141" s="371">
        <f t="shared" ref="X141:X204" si="71">20*LOG10((K141/(I141*M141))*AEA)</f>
        <v>15.744678300997748</v>
      </c>
      <c r="Y141" s="372">
        <f t="shared" ref="Y141:Y204" si="72">(L141-(J141+N141))*radconv</f>
        <v>-20.271715213638171</v>
      </c>
      <c r="AA141" s="371">
        <f t="shared" ref="AA141:AA204" si="73">20*LOG10((E141*G141/(C141*O141))*Acs*Am)</f>
        <v>24.4765762816542</v>
      </c>
      <c r="AB141" s="372">
        <f t="shared" ref="AB141:AB204" si="74">(F141+H141-(D141+P141))*radconv</f>
        <v>-77.689642567119549</v>
      </c>
      <c r="AD141">
        <f t="shared" si="52"/>
        <v>0</v>
      </c>
      <c r="AE141">
        <f t="shared" si="53"/>
        <v>0</v>
      </c>
    </row>
    <row r="142" spans="1:31" x14ac:dyDescent="0.2">
      <c r="A142" s="373">
        <v>8035.8</v>
      </c>
      <c r="B142" s="390">
        <f t="shared" ref="B142:B205" si="75">A142/1000</f>
        <v>8.0358000000000001</v>
      </c>
      <c r="C142" s="363">
        <f t="shared" si="54"/>
        <v>10.605831828571667</v>
      </c>
      <c r="D142" s="364">
        <f t="shared" si="55"/>
        <v>1.4763683109666881</v>
      </c>
      <c r="E142" s="364">
        <f t="shared" si="56"/>
        <v>1.0440056829241473</v>
      </c>
      <c r="F142" s="365">
        <f t="shared" si="57"/>
        <v>0.29137706539346325</v>
      </c>
      <c r="G142" s="364">
        <f t="shared" si="58"/>
        <v>1.0031857473984613</v>
      </c>
      <c r="H142" s="365">
        <f t="shared" si="59"/>
        <v>-7.9715906039626874E-2</v>
      </c>
      <c r="I142" s="363">
        <f t="shared" si="60"/>
        <v>27271.466037936614</v>
      </c>
      <c r="J142" s="366">
        <f t="shared" si="61"/>
        <v>1.5707596584324832</v>
      </c>
      <c r="K142" s="374">
        <f t="shared" si="62"/>
        <v>6.7138756998817923</v>
      </c>
      <c r="L142" s="375">
        <f t="shared" si="63"/>
        <v>1.4212947720271485</v>
      </c>
      <c r="M142" s="363">
        <f t="shared" si="64"/>
        <v>1.0213705941464741</v>
      </c>
      <c r="N142" s="366">
        <f t="shared" si="65"/>
        <v>0.20492351071887094</v>
      </c>
      <c r="O142" s="367">
        <f t="shared" si="66"/>
        <v>1.0022708870205277</v>
      </c>
      <c r="P142" s="368">
        <f t="shared" si="67"/>
        <v>9.1116297684395095E-2</v>
      </c>
      <c r="Q142" s="369">
        <f t="shared" si="68"/>
        <v>-5.8969873339090562</v>
      </c>
      <c r="R142" s="370">
        <f t="shared" si="69"/>
        <v>-97.987920985192432</v>
      </c>
      <c r="S142" s="372">
        <f t="shared" si="70"/>
        <v>82.012079014807568</v>
      </c>
      <c r="U142" s="345">
        <f t="shared" ref="U142:U205" si="76">IF(Q142&lt;0,A142,1000000000)</f>
        <v>8035.8</v>
      </c>
      <c r="V142" s="345">
        <f t="shared" ref="V142:V205" si="77">A142^2</f>
        <v>64574081.640000001</v>
      </c>
      <c r="X142" s="371">
        <f t="shared" si="71"/>
        <v>15.738303559557368</v>
      </c>
      <c r="Y142" s="372">
        <f t="shared" si="72"/>
        <v>-20.304959486824941</v>
      </c>
      <c r="AA142" s="371">
        <f t="shared" si="73"/>
        <v>24.385309019813196</v>
      </c>
      <c r="AB142" s="372">
        <f t="shared" si="74"/>
        <v>-77.682961498367519</v>
      </c>
      <c r="AD142">
        <f t="shared" ref="AD142:AD205" si="78">SUM((Q143&lt;0)*(Q142&gt;0))*A142</f>
        <v>0</v>
      </c>
      <c r="AE142">
        <f t="shared" si="53"/>
        <v>0</v>
      </c>
    </row>
    <row r="143" spans="1:31" x14ac:dyDescent="0.2">
      <c r="A143" s="373">
        <v>8128.3</v>
      </c>
      <c r="B143" s="390">
        <f t="shared" si="75"/>
        <v>8.1282999999999994</v>
      </c>
      <c r="C143" s="363">
        <f t="shared" si="54"/>
        <v>10.726836211108692</v>
      </c>
      <c r="D143" s="364">
        <f t="shared" si="55"/>
        <v>1.4774366323874246</v>
      </c>
      <c r="E143" s="364">
        <f t="shared" si="56"/>
        <v>1.045002661239375</v>
      </c>
      <c r="F143" s="365">
        <f t="shared" si="57"/>
        <v>0.29454144452109216</v>
      </c>
      <c r="G143" s="364">
        <f t="shared" si="58"/>
        <v>1.0032593918940464</v>
      </c>
      <c r="H143" s="365">
        <f t="shared" si="59"/>
        <v>-8.0629565522027852E-2</v>
      </c>
      <c r="I143" s="363">
        <f t="shared" si="60"/>
        <v>27585.387564746219</v>
      </c>
      <c r="J143" s="366">
        <f t="shared" si="61"/>
        <v>1.5707600757182034</v>
      </c>
      <c r="K143" s="374">
        <f t="shared" si="62"/>
        <v>6.789454078997629</v>
      </c>
      <c r="L143" s="375">
        <f t="shared" si="63"/>
        <v>1.4229712829127135</v>
      </c>
      <c r="M143" s="363">
        <f t="shared" si="64"/>
        <v>1.0218601250951402</v>
      </c>
      <c r="N143" s="366">
        <f t="shared" si="65"/>
        <v>0.20721580019898556</v>
      </c>
      <c r="O143" s="367">
        <f t="shared" si="66"/>
        <v>1.0023234493532789</v>
      </c>
      <c r="P143" s="368">
        <f t="shared" si="67"/>
        <v>9.216325220594343E-2</v>
      </c>
      <c r="Q143" s="369">
        <f t="shared" si="68"/>
        <v>-5.9933957811335334</v>
      </c>
      <c r="R143" s="370">
        <f t="shared" si="69"/>
        <v>-98.015466055976503</v>
      </c>
      <c r="S143" s="372">
        <f t="shared" si="70"/>
        <v>81.984533944023497</v>
      </c>
      <c r="U143" s="345">
        <f t="shared" si="76"/>
        <v>8128.3</v>
      </c>
      <c r="V143" s="345">
        <f t="shared" si="77"/>
        <v>66069260.890000001</v>
      </c>
      <c r="X143" s="371">
        <f t="shared" si="71"/>
        <v>15.731960587765336</v>
      </c>
      <c r="Y143" s="372">
        <f t="shared" si="72"/>
        <v>-20.340264910158101</v>
      </c>
      <c r="AA143" s="371">
        <f t="shared" si="73"/>
        <v>24.295243544380757</v>
      </c>
      <c r="AB143" s="372">
        <f t="shared" si="74"/>
        <v>-77.675201145818392</v>
      </c>
      <c r="AD143">
        <f t="shared" si="78"/>
        <v>0</v>
      </c>
      <c r="AE143">
        <f t="shared" si="53"/>
        <v>0</v>
      </c>
    </row>
    <row r="144" spans="1:31" x14ac:dyDescent="0.2">
      <c r="A144" s="373">
        <v>8222.9500000000007</v>
      </c>
      <c r="B144" s="390">
        <f t="shared" si="75"/>
        <v>8.2229500000000009</v>
      </c>
      <c r="C144" s="363">
        <f t="shared" si="54"/>
        <v>10.850665514798214</v>
      </c>
      <c r="D144" s="364">
        <f t="shared" si="55"/>
        <v>1.47850511923949</v>
      </c>
      <c r="E144" s="364">
        <f t="shared" si="56"/>
        <v>1.0460336231817422</v>
      </c>
      <c r="F144" s="365">
        <f t="shared" si="57"/>
        <v>0.297773096956084</v>
      </c>
      <c r="G144" s="364">
        <f t="shared" si="58"/>
        <v>1.0033356149172432</v>
      </c>
      <c r="H144" s="365">
        <f t="shared" si="59"/>
        <v>-8.1564321775368376E-2</v>
      </c>
      <c r="I144" s="363">
        <f t="shared" si="60"/>
        <v>27906.605645967611</v>
      </c>
      <c r="J144" s="366">
        <f t="shared" si="61"/>
        <v>1.5707604929850489</v>
      </c>
      <c r="K144" s="374">
        <f t="shared" si="62"/>
        <v>6.8668084583737992</v>
      </c>
      <c r="L144" s="375">
        <f t="shared" si="63"/>
        <v>1.4246485554125998</v>
      </c>
      <c r="M144" s="363">
        <f t="shared" si="64"/>
        <v>1.0223665870415313</v>
      </c>
      <c r="N144" s="366">
        <f t="shared" si="65"/>
        <v>0.20955908495164724</v>
      </c>
      <c r="O144" s="367">
        <f t="shared" si="66"/>
        <v>1.0023778552260671</v>
      </c>
      <c r="P144" s="368">
        <f t="shared" si="67"/>
        <v>9.3234474553458388E-2</v>
      </c>
      <c r="Q144" s="369">
        <f t="shared" si="68"/>
        <v>-6.0907977609278863</v>
      </c>
      <c r="R144" s="370">
        <f t="shared" si="69"/>
        <v>-98.044643504159964</v>
      </c>
      <c r="S144" s="372">
        <f t="shared" si="70"/>
        <v>81.955356495840036</v>
      </c>
      <c r="U144" s="345">
        <f t="shared" si="76"/>
        <v>8222.9500000000007</v>
      </c>
      <c r="V144" s="345">
        <f t="shared" si="77"/>
        <v>67616906.702500015</v>
      </c>
      <c r="X144" s="371">
        <f t="shared" si="71"/>
        <v>15.725499745622288</v>
      </c>
      <c r="Y144" s="372">
        <f t="shared" si="72"/>
        <v>-20.378448509018938</v>
      </c>
      <c r="AA144" s="371">
        <f t="shared" si="73"/>
        <v>24.204302406729447</v>
      </c>
      <c r="AB144" s="372">
        <f t="shared" si="74"/>
        <v>-77.666194995141041</v>
      </c>
      <c r="AD144">
        <f t="shared" si="78"/>
        <v>0</v>
      </c>
      <c r="AE144">
        <f t="shared" si="53"/>
        <v>0</v>
      </c>
    </row>
    <row r="145" spans="1:31" x14ac:dyDescent="0.2">
      <c r="A145" s="373">
        <v>8270.2750000000015</v>
      </c>
      <c r="B145" s="390">
        <f t="shared" si="75"/>
        <v>8.2702750000000016</v>
      </c>
      <c r="C145" s="363">
        <f t="shared" si="54"/>
        <v>10.912584733002257</v>
      </c>
      <c r="D145" s="364">
        <f t="shared" si="55"/>
        <v>1.4790302689671764</v>
      </c>
      <c r="E145" s="364">
        <f t="shared" si="56"/>
        <v>1.0465531947128948</v>
      </c>
      <c r="F145" s="365">
        <f t="shared" si="57"/>
        <v>0.29938652711848152</v>
      </c>
      <c r="G145" s="364">
        <f t="shared" si="58"/>
        <v>1.0033740551477313</v>
      </c>
      <c r="H145" s="365">
        <f t="shared" si="59"/>
        <v>-8.2031646440107561E-2</v>
      </c>
      <c r="I145" s="363">
        <f t="shared" si="60"/>
        <v>28067.214686580097</v>
      </c>
      <c r="J145" s="366">
        <f t="shared" si="61"/>
        <v>1.570760698036882</v>
      </c>
      <c r="K145" s="374">
        <f t="shared" si="62"/>
        <v>6.9054927705831828</v>
      </c>
      <c r="L145" s="375">
        <f t="shared" si="63"/>
        <v>1.4254730990726412</v>
      </c>
      <c r="M145" s="363">
        <f t="shared" si="64"/>
        <v>1.0226219216219363</v>
      </c>
      <c r="N145" s="366">
        <f t="shared" si="65"/>
        <v>0.21072985371550662</v>
      </c>
      <c r="O145" s="367">
        <f t="shared" si="66"/>
        <v>1.0024052940143882</v>
      </c>
      <c r="P145" s="368">
        <f t="shared" si="67"/>
        <v>9.3770060151863011E-2</v>
      </c>
      <c r="Q145" s="369">
        <f t="shared" si="68"/>
        <v>-6.1390347560778142</v>
      </c>
      <c r="R145" s="370">
        <f t="shared" si="69"/>
        <v>-98.059601139464817</v>
      </c>
      <c r="S145" s="372">
        <f t="shared" si="70"/>
        <v>81.940398860535183</v>
      </c>
      <c r="U145" s="345">
        <f t="shared" si="76"/>
        <v>8270.2750000000015</v>
      </c>
      <c r="V145" s="345">
        <f t="shared" si="77"/>
        <v>68397448.575625017</v>
      </c>
      <c r="X145" s="371">
        <f t="shared" si="71"/>
        <v>15.722279533069292</v>
      </c>
      <c r="Y145" s="372">
        <f t="shared" si="72"/>
        <v>-20.398297494856482</v>
      </c>
      <c r="AA145" s="371">
        <f t="shared" si="73"/>
        <v>24.159285624132515</v>
      </c>
      <c r="AB145" s="372">
        <f t="shared" si="74"/>
        <v>-77.661303644608338</v>
      </c>
      <c r="AD145">
        <f t="shared" si="78"/>
        <v>0</v>
      </c>
      <c r="AE145">
        <f t="shared" si="53"/>
        <v>0</v>
      </c>
    </row>
    <row r="146" spans="1:31" x14ac:dyDescent="0.2">
      <c r="A146" s="373">
        <v>8317.6</v>
      </c>
      <c r="B146" s="390">
        <f t="shared" si="75"/>
        <v>8.3176000000000005</v>
      </c>
      <c r="C146" s="363">
        <f t="shared" si="54"/>
        <v>10.9745069267431</v>
      </c>
      <c r="D146" s="364">
        <f t="shared" si="55"/>
        <v>1.4795494926619148</v>
      </c>
      <c r="E146" s="364">
        <f t="shared" si="56"/>
        <v>1.0470754878783681</v>
      </c>
      <c r="F146" s="365">
        <f t="shared" si="57"/>
        <v>0.30099835187859175</v>
      </c>
      <c r="G146" s="364">
        <f t="shared" si="58"/>
        <v>1.0034127144906118</v>
      </c>
      <c r="H146" s="365">
        <f t="shared" si="59"/>
        <v>-8.2498935196855569E-2</v>
      </c>
      <c r="I146" s="363">
        <f t="shared" si="60"/>
        <v>28227.823727193747</v>
      </c>
      <c r="J146" s="366">
        <f t="shared" si="61"/>
        <v>1.5707609007553311</v>
      </c>
      <c r="K146" s="374">
        <f t="shared" si="62"/>
        <v>6.9441817253358842</v>
      </c>
      <c r="L146" s="375">
        <f t="shared" si="63"/>
        <v>1.4262884555233797</v>
      </c>
      <c r="M146" s="363">
        <f t="shared" si="64"/>
        <v>1.0228786572087778</v>
      </c>
      <c r="N146" s="366">
        <f t="shared" si="65"/>
        <v>0.21190003637266971</v>
      </c>
      <c r="O146" s="367">
        <f t="shared" si="66"/>
        <v>1.0024328900320298</v>
      </c>
      <c r="P146" s="368">
        <f t="shared" si="67"/>
        <v>9.4305628570705999E-2</v>
      </c>
      <c r="Q146" s="369">
        <f t="shared" si="68"/>
        <v>-6.1869672019192326</v>
      </c>
      <c r="R146" s="370">
        <f t="shared" si="69"/>
        <v>-98.07480085236098</v>
      </c>
      <c r="S146" s="372">
        <f t="shared" si="70"/>
        <v>81.92519914763902</v>
      </c>
      <c r="U146" s="345">
        <f t="shared" si="76"/>
        <v>8317.6</v>
      </c>
      <c r="V146" s="345">
        <f t="shared" si="77"/>
        <v>69182469.760000005</v>
      </c>
      <c r="X146" s="371">
        <f t="shared" si="71"/>
        <v>15.719065609162531</v>
      </c>
      <c r="Y146" s="372">
        <f t="shared" si="72"/>
        <v>-20.418639153880058</v>
      </c>
      <c r="AA146" s="371">
        <f t="shared" si="73"/>
        <v>24.114567102197864</v>
      </c>
      <c r="AB146" s="372">
        <f t="shared" si="74"/>
        <v>-77.656161698480929</v>
      </c>
      <c r="AD146">
        <f t="shared" si="78"/>
        <v>0</v>
      </c>
      <c r="AE146">
        <f t="shared" si="53"/>
        <v>0</v>
      </c>
    </row>
    <row r="147" spans="1:31" x14ac:dyDescent="0.2">
      <c r="A147" s="373">
        <v>8366.0499999999993</v>
      </c>
      <c r="B147" s="390">
        <f t="shared" si="75"/>
        <v>8.3660499999999995</v>
      </c>
      <c r="C147" s="363">
        <f t="shared" si="54"/>
        <v>11.037904152109405</v>
      </c>
      <c r="D147" s="364">
        <f t="shared" si="55"/>
        <v>1.4800750240655534</v>
      </c>
      <c r="E147" s="364">
        <f t="shared" si="56"/>
        <v>1.0476130120877065</v>
      </c>
      <c r="F147" s="365">
        <f t="shared" si="57"/>
        <v>0.30264682326820264</v>
      </c>
      <c r="G147" s="364">
        <f t="shared" si="58"/>
        <v>1.0034525197962041</v>
      </c>
      <c r="H147" s="365">
        <f t="shared" si="59"/>
        <v>-8.2977294836906773E-2</v>
      </c>
      <c r="I147" s="363">
        <f t="shared" si="60"/>
        <v>28392.250732323962</v>
      </c>
      <c r="J147" s="366">
        <f t="shared" si="61"/>
        <v>1.5707611059168607</v>
      </c>
      <c r="K147" s="374">
        <f t="shared" si="62"/>
        <v>6.9837951146620005</v>
      </c>
      <c r="L147" s="375">
        <f t="shared" si="63"/>
        <v>1.4271138353624619</v>
      </c>
      <c r="M147" s="363">
        <f t="shared" si="64"/>
        <v>1.0231429461179657</v>
      </c>
      <c r="N147" s="366">
        <f t="shared" si="65"/>
        <v>0.21309742631146175</v>
      </c>
      <c r="O147" s="367">
        <f t="shared" si="66"/>
        <v>1.0024613049324316</v>
      </c>
      <c r="P147" s="368">
        <f t="shared" si="67"/>
        <v>9.485391051171882E-2</v>
      </c>
      <c r="Q147" s="369">
        <f t="shared" si="68"/>
        <v>-6.2357272545188369</v>
      </c>
      <c r="R147" s="370">
        <f t="shared" si="69"/>
        <v>-98.090609723743327</v>
      </c>
      <c r="S147" s="372">
        <f t="shared" si="70"/>
        <v>81.909390276256673</v>
      </c>
      <c r="U147" s="345">
        <f t="shared" si="76"/>
        <v>8366.0499999999993</v>
      </c>
      <c r="V147" s="345">
        <f t="shared" si="77"/>
        <v>69990792.602499992</v>
      </c>
      <c r="X147" s="371">
        <f t="shared" si="71"/>
        <v>15.715781409067677</v>
      </c>
      <c r="Y147" s="372">
        <f t="shared" si="72"/>
        <v>-20.439965517443799</v>
      </c>
      <c r="AA147" s="371">
        <f t="shared" si="73"/>
        <v>24.069091249693109</v>
      </c>
      <c r="AB147" s="372">
        <f t="shared" si="74"/>
        <v>-77.650644206299532</v>
      </c>
      <c r="AD147">
        <f t="shared" si="78"/>
        <v>0</v>
      </c>
      <c r="AE147">
        <f t="shared" si="53"/>
        <v>0</v>
      </c>
    </row>
    <row r="148" spans="1:31" x14ac:dyDescent="0.2">
      <c r="A148" s="376">
        <v>8414.5</v>
      </c>
      <c r="B148" s="390">
        <f t="shared" si="75"/>
        <v>8.4145000000000003</v>
      </c>
      <c r="C148" s="363">
        <f t="shared" si="54"/>
        <v>11.101304391141028</v>
      </c>
      <c r="D148" s="364">
        <f t="shared" si="55"/>
        <v>1.4805945529263262</v>
      </c>
      <c r="E148" s="364">
        <f t="shared" si="56"/>
        <v>1.0481533802169212</v>
      </c>
      <c r="F148" s="365">
        <f t="shared" si="57"/>
        <v>0.30429359941327988</v>
      </c>
      <c r="G148" s="364">
        <f t="shared" si="58"/>
        <v>1.0034925547015277</v>
      </c>
      <c r="H148" s="365">
        <f t="shared" si="59"/>
        <v>-8.3455616417545106E-2</v>
      </c>
      <c r="I148" s="363">
        <f t="shared" si="60"/>
        <v>28556.677737455364</v>
      </c>
      <c r="J148" s="366">
        <f t="shared" si="61"/>
        <v>1.5707613087157839</v>
      </c>
      <c r="K148" s="374">
        <f t="shared" ref="K148:K157" si="79">SQRT(1+(A148/Zero2)^2)</f>
        <v>7.0234132080408473</v>
      </c>
      <c r="L148" s="375">
        <f t="shared" ref="L148:L157" si="80">ATAN(A148/Zero2)</f>
        <v>1.4279299040473934</v>
      </c>
      <c r="M148" s="363">
        <f t="shared" si="64"/>
        <v>1.0234087011919739</v>
      </c>
      <c r="N148" s="366">
        <f t="shared" si="65"/>
        <v>0.21429419609758668</v>
      </c>
      <c r="O148" s="367">
        <f t="shared" si="66"/>
        <v>1.0024898846177381</v>
      </c>
      <c r="P148" s="368">
        <f t="shared" si="67"/>
        <v>9.5402174241029966E-2</v>
      </c>
      <c r="Q148" s="369">
        <f t="shared" si="68"/>
        <v>-6.2841754790796625</v>
      </c>
      <c r="R148" s="370">
        <f t="shared" si="69"/>
        <v>-98.106666403350459</v>
      </c>
      <c r="S148" s="372">
        <f t="shared" si="70"/>
        <v>81.893333596649541</v>
      </c>
      <c r="U148" s="345">
        <f t="shared" si="76"/>
        <v>8414.5</v>
      </c>
      <c r="V148" s="345">
        <f t="shared" si="77"/>
        <v>70803810.25</v>
      </c>
      <c r="X148" s="371">
        <f t="shared" si="71"/>
        <v>15.712503019299511</v>
      </c>
      <c r="Y148" s="372">
        <f t="shared" si="72"/>
        <v>-20.461789703345488</v>
      </c>
      <c r="AA148" s="371">
        <f t="shared" si="73"/>
        <v>24.02392141490045</v>
      </c>
      <c r="AB148" s="372">
        <f t="shared" si="74"/>
        <v>-77.644876700004957</v>
      </c>
      <c r="AD148">
        <f t="shared" si="78"/>
        <v>0</v>
      </c>
      <c r="AE148">
        <f t="shared" si="53"/>
        <v>0</v>
      </c>
    </row>
    <row r="149" spans="1:31" x14ac:dyDescent="0.2">
      <c r="A149" s="376">
        <v>8462.9500000000007</v>
      </c>
      <c r="B149" s="390">
        <f t="shared" si="75"/>
        <v>8.4629500000000011</v>
      </c>
      <c r="C149" s="363">
        <f t="shared" si="54"/>
        <v>11.164707592497491</v>
      </c>
      <c r="D149" s="364">
        <f t="shared" si="55"/>
        <v>1.4811081812247953</v>
      </c>
      <c r="E149" s="364">
        <f t="shared" si="56"/>
        <v>1.048696587869802</v>
      </c>
      <c r="F149" s="365">
        <f t="shared" si="57"/>
        <v>0.30593867400961516</v>
      </c>
      <c r="G149" s="364">
        <f t="shared" si="58"/>
        <v>1.0035328191791033</v>
      </c>
      <c r="H149" s="365">
        <f t="shared" si="59"/>
        <v>-8.3933899724466868E-2</v>
      </c>
      <c r="I149" s="363">
        <f t="shared" si="60"/>
        <v>28721.10474258793</v>
      </c>
      <c r="J149" s="366">
        <f t="shared" si="61"/>
        <v>1.5707615091926781</v>
      </c>
      <c r="K149" s="374">
        <f t="shared" si="79"/>
        <v>7.0630359263142832</v>
      </c>
      <c r="L149" s="375">
        <f t="shared" si="80"/>
        <v>1.4287368171850863</v>
      </c>
      <c r="M149" s="363">
        <f t="shared" si="64"/>
        <v>1.0236759212889157</v>
      </c>
      <c r="N149" s="366">
        <f t="shared" si="65"/>
        <v>0.21549034278720966</v>
      </c>
      <c r="O149" s="367">
        <f t="shared" si="66"/>
        <v>1.0025186290836074</v>
      </c>
      <c r="P149" s="368">
        <f t="shared" si="67"/>
        <v>9.5950419654641947E-2</v>
      </c>
      <c r="Q149" s="369">
        <f t="shared" si="68"/>
        <v>-6.3323155075169089</v>
      </c>
      <c r="R149" s="370">
        <f t="shared" si="69"/>
        <v>-98.122967995241595</v>
      </c>
      <c r="S149" s="372">
        <f t="shared" si="70"/>
        <v>81.877032004758405</v>
      </c>
      <c r="U149" s="345">
        <f t="shared" si="76"/>
        <v>8462.9500000000007</v>
      </c>
      <c r="V149" s="345">
        <f t="shared" si="77"/>
        <v>71621522.702500015</v>
      </c>
      <c r="X149" s="371">
        <f t="shared" si="71"/>
        <v>15.709230062119733</v>
      </c>
      <c r="Y149" s="372">
        <f t="shared" si="72"/>
        <v>-20.4841026296214</v>
      </c>
      <c r="AA149" s="371">
        <f t="shared" si="73"/>
        <v>23.979054343642986</v>
      </c>
      <c r="AB149" s="372">
        <f t="shared" si="74"/>
        <v>-77.638865365620191</v>
      </c>
      <c r="AD149">
        <f t="shared" si="78"/>
        <v>0</v>
      </c>
      <c r="AE149">
        <f t="shared" si="53"/>
        <v>0</v>
      </c>
    </row>
    <row r="150" spans="1:31" x14ac:dyDescent="0.2">
      <c r="A150" s="376">
        <v>8511.4</v>
      </c>
      <c r="B150" s="390">
        <f t="shared" si="75"/>
        <v>8.5114000000000001</v>
      </c>
      <c r="C150" s="363">
        <f t="shared" si="54"/>
        <v>11.228113705995602</v>
      </c>
      <c r="D150" s="364">
        <f t="shared" si="55"/>
        <v>1.4816160086505661</v>
      </c>
      <c r="E150" s="364">
        <f t="shared" si="56"/>
        <v>1.0492426306361646</v>
      </c>
      <c r="F150" s="365">
        <f t="shared" si="57"/>
        <v>0.3075820408028595</v>
      </c>
      <c r="G150" s="364">
        <f t="shared" si="58"/>
        <v>1.0035733132012992</v>
      </c>
      <c r="H150" s="365">
        <f t="shared" si="59"/>
        <v>-8.4412144543472734E-2</v>
      </c>
      <c r="I150" s="363">
        <f t="shared" si="60"/>
        <v>28885.53174772163</v>
      </c>
      <c r="J150" s="366">
        <f t="shared" si="61"/>
        <v>1.5707617073871969</v>
      </c>
      <c r="K150" s="374">
        <f t="shared" si="79"/>
        <v>7.1026631920813807</v>
      </c>
      <c r="L150" s="375">
        <f t="shared" si="80"/>
        <v>1.4295347269580969</v>
      </c>
      <c r="M150" s="363">
        <f t="shared" si="64"/>
        <v>1.0239446052618042</v>
      </c>
      <c r="N150" s="366">
        <f t="shared" si="65"/>
        <v>0.21668586344669266</v>
      </c>
      <c r="O150" s="367">
        <f t="shared" si="66"/>
        <v>1.0025475383256737</v>
      </c>
      <c r="P150" s="368">
        <f t="shared" si="67"/>
        <v>9.6498646648582473E-2</v>
      </c>
      <c r="Q150" s="369">
        <f t="shared" si="68"/>
        <v>-6.3801509080588303</v>
      </c>
      <c r="R150" s="370">
        <f t="shared" si="69"/>
        <v>-98.139511666097079</v>
      </c>
      <c r="S150" s="372">
        <f t="shared" si="70"/>
        <v>81.860488333902921</v>
      </c>
      <c r="U150" s="345">
        <f t="shared" si="76"/>
        <v>8511.4</v>
      </c>
      <c r="V150" s="345">
        <f t="shared" si="77"/>
        <v>72443929.959999993</v>
      </c>
      <c r="X150" s="371">
        <f t="shared" si="71"/>
        <v>15.705962170904629</v>
      </c>
      <c r="Y150" s="372">
        <f t="shared" si="72"/>
        <v>-20.506895411040212</v>
      </c>
      <c r="AA150" s="371">
        <f t="shared" si="73"/>
        <v>23.934486834316164</v>
      </c>
      <c r="AB150" s="372">
        <f t="shared" si="74"/>
        <v>-77.632616255056845</v>
      </c>
      <c r="AD150">
        <f t="shared" si="78"/>
        <v>0</v>
      </c>
      <c r="AE150">
        <f t="shared" si="53"/>
        <v>0</v>
      </c>
    </row>
    <row r="151" spans="1:31" x14ac:dyDescent="0.2">
      <c r="A151" s="376">
        <v>8560.9500000000007</v>
      </c>
      <c r="B151" s="390">
        <f t="shared" si="75"/>
        <v>8.5609500000000001</v>
      </c>
      <c r="C151" s="363">
        <f t="shared" si="54"/>
        <v>11.292962341326238</v>
      </c>
      <c r="D151" s="364">
        <f t="shared" si="55"/>
        <v>1.4821294673340117</v>
      </c>
      <c r="E151" s="364">
        <f t="shared" si="56"/>
        <v>1.0498039984438348</v>
      </c>
      <c r="F151" s="365">
        <f t="shared" si="57"/>
        <v>0.30926094542792865</v>
      </c>
      <c r="G151" s="364">
        <f t="shared" si="58"/>
        <v>1.0036149639845531</v>
      </c>
      <c r="H151" s="365">
        <f t="shared" si="59"/>
        <v>-8.4901207314300023E-2</v>
      </c>
      <c r="I151" s="363">
        <f t="shared" si="60"/>
        <v>29053.691873716085</v>
      </c>
      <c r="J151" s="366">
        <f t="shared" si="61"/>
        <v>1.5707619077611799</v>
      </c>
      <c r="K151" s="374">
        <f t="shared" si="79"/>
        <v>7.1431947727550353</v>
      </c>
      <c r="L151" s="375">
        <f t="shared" si="80"/>
        <v>1.4303415951331035</v>
      </c>
      <c r="M151" s="363">
        <f t="shared" si="64"/>
        <v>1.0242209022927646</v>
      </c>
      <c r="N151" s="366">
        <f t="shared" si="65"/>
        <v>0.21790787643214082</v>
      </c>
      <c r="O151" s="367">
        <f t="shared" si="66"/>
        <v>1.002577274343583</v>
      </c>
      <c r="P151" s="368">
        <f t="shared" si="67"/>
        <v>9.7059301328577596E-2</v>
      </c>
      <c r="Q151" s="369">
        <f t="shared" si="68"/>
        <v>-6.4287609275538724</v>
      </c>
      <c r="R151" s="370">
        <f t="shared" si="69"/>
        <v>-98.156678438132957</v>
      </c>
      <c r="S151" s="372">
        <f t="shared" si="70"/>
        <v>81.843321561867043</v>
      </c>
      <c r="U151" s="345">
        <f t="shared" si="76"/>
        <v>8560.9500000000007</v>
      </c>
      <c r="V151" s="345">
        <f t="shared" si="77"/>
        <v>73289864.902500018</v>
      </c>
      <c r="X151" s="371">
        <f t="shared" si="71"/>
        <v>15.702624955066515</v>
      </c>
      <c r="Y151" s="372">
        <f t="shared" si="72"/>
        <v>-20.530692937176006</v>
      </c>
      <c r="AA151" s="371">
        <f t="shared" si="73"/>
        <v>23.889214030659236</v>
      </c>
      <c r="AB151" s="372">
        <f t="shared" si="74"/>
        <v>-77.625985500956943</v>
      </c>
      <c r="AD151">
        <f t="shared" si="78"/>
        <v>0</v>
      </c>
      <c r="AE151">
        <f t="shared" si="53"/>
        <v>0</v>
      </c>
    </row>
    <row r="152" spans="1:31" x14ac:dyDescent="0.2">
      <c r="A152" s="376">
        <v>8610.5</v>
      </c>
      <c r="B152" s="390">
        <f t="shared" si="75"/>
        <v>8.6105</v>
      </c>
      <c r="C152" s="363">
        <f t="shared" si="54"/>
        <v>11.35781391993285</v>
      </c>
      <c r="D152" s="364">
        <f t="shared" si="55"/>
        <v>1.4826370625909817</v>
      </c>
      <c r="E152" s="364">
        <f t="shared" si="56"/>
        <v>1.0503683221879676</v>
      </c>
      <c r="F152" s="365">
        <f t="shared" si="57"/>
        <v>0.31093805075032865</v>
      </c>
      <c r="G152" s="364">
        <f t="shared" si="58"/>
        <v>1.0036568547948799</v>
      </c>
      <c r="H152" s="365">
        <f t="shared" si="59"/>
        <v>-8.5390229376904866E-2</v>
      </c>
      <c r="I152" s="363">
        <f t="shared" si="60"/>
        <v>29221.851999711689</v>
      </c>
      <c r="J152" s="366">
        <f t="shared" si="61"/>
        <v>1.570762105829018</v>
      </c>
      <c r="K152" s="374">
        <f t="shared" si="79"/>
        <v>7.1837309514284255</v>
      </c>
      <c r="L152" s="375">
        <f t="shared" si="80"/>
        <v>1.4311393578711953</v>
      </c>
      <c r="M152" s="363">
        <f t="shared" si="64"/>
        <v>1.0244987279826105</v>
      </c>
      <c r="N152" s="366">
        <f t="shared" si="65"/>
        <v>0.21912922846459928</v>
      </c>
      <c r="O152" s="367">
        <f t="shared" si="66"/>
        <v>1.0026071826954075</v>
      </c>
      <c r="P152" s="368">
        <f t="shared" si="67"/>
        <v>9.7619936523131542E-2</v>
      </c>
      <c r="Q152" s="369">
        <f t="shared" si="68"/>
        <v>-6.4770596811704415</v>
      </c>
      <c r="R152" s="370">
        <f t="shared" si="69"/>
        <v>-98.174092605341428</v>
      </c>
      <c r="S152" s="372">
        <f t="shared" si="70"/>
        <v>81.825907394658572</v>
      </c>
      <c r="U152" s="345">
        <f t="shared" si="76"/>
        <v>8610.5</v>
      </c>
      <c r="V152" s="345">
        <f t="shared" si="77"/>
        <v>74140710.25</v>
      </c>
      <c r="X152" s="371">
        <f t="shared" si="71"/>
        <v>15.699292296236958</v>
      </c>
      <c r="Y152" s="372">
        <f t="shared" si="72"/>
        <v>-20.554974164469083</v>
      </c>
      <c r="AA152" s="371">
        <f t="shared" si="73"/>
        <v>23.844247935872222</v>
      </c>
      <c r="AB152" s="372">
        <f t="shared" si="74"/>
        <v>-77.619118440872356</v>
      </c>
      <c r="AD152">
        <f t="shared" si="78"/>
        <v>0</v>
      </c>
      <c r="AE152">
        <f t="shared" si="53"/>
        <v>0</v>
      </c>
    </row>
    <row r="153" spans="1:31" x14ac:dyDescent="0.2">
      <c r="A153" s="376">
        <v>8660.0499999999993</v>
      </c>
      <c r="B153" s="390">
        <f t="shared" si="75"/>
        <v>8.66005</v>
      </c>
      <c r="C153" s="363">
        <f t="shared" si="54"/>
        <v>11.422668391684565</v>
      </c>
      <c r="D153" s="364">
        <f t="shared" si="55"/>
        <v>1.4831388940299659</v>
      </c>
      <c r="E153" s="364">
        <f t="shared" si="56"/>
        <v>1.0509355971067917</v>
      </c>
      <c r="F153" s="365">
        <f t="shared" si="57"/>
        <v>0.31261335024188414</v>
      </c>
      <c r="G153" s="364">
        <f t="shared" si="58"/>
        <v>1.0036989856022256</v>
      </c>
      <c r="H153" s="365">
        <f t="shared" si="59"/>
        <v>-8.5879210502507033E-2</v>
      </c>
      <c r="I153" s="363">
        <f t="shared" si="60"/>
        <v>29390.012125708425</v>
      </c>
      <c r="J153" s="366">
        <f t="shared" si="61"/>
        <v>1.5707623016302958</v>
      </c>
      <c r="K153" s="374">
        <f t="shared" si="79"/>
        <v>7.2242716507019162</v>
      </c>
      <c r="L153" s="375">
        <f t="shared" si="80"/>
        <v>1.4319281674401974</v>
      </c>
      <c r="M153" s="363">
        <f t="shared" si="64"/>
        <v>1.0247780810880465</v>
      </c>
      <c r="N153" s="366">
        <f t="shared" si="65"/>
        <v>0.22034991643934154</v>
      </c>
      <c r="O153" s="367">
        <f t="shared" si="66"/>
        <v>1.0026372633763974</v>
      </c>
      <c r="P153" s="368">
        <f t="shared" si="67"/>
        <v>9.8180552121111445E-2</v>
      </c>
      <c r="Q153" s="369">
        <f t="shared" si="68"/>
        <v>-6.5250507887409608</v>
      </c>
      <c r="R153" s="370">
        <f t="shared" si="69"/>
        <v>-98.191751329506474</v>
      </c>
      <c r="S153" s="372">
        <f t="shared" si="70"/>
        <v>81.808248670493526</v>
      </c>
      <c r="U153" s="345">
        <f t="shared" si="76"/>
        <v>8660.0499999999993</v>
      </c>
      <c r="V153" s="345">
        <f t="shared" si="77"/>
        <v>74996466.002499983</v>
      </c>
      <c r="X153" s="371">
        <f t="shared" si="71"/>
        <v>15.695963835986849</v>
      </c>
      <c r="Y153" s="372">
        <f t="shared" si="72"/>
        <v>-20.579730192995967</v>
      </c>
      <c r="AA153" s="371">
        <f t="shared" si="73"/>
        <v>23.79958528855181</v>
      </c>
      <c r="AB153" s="372">
        <f t="shared" si="74"/>
        <v>-77.612021136510492</v>
      </c>
      <c r="AD153">
        <f t="shared" si="78"/>
        <v>0</v>
      </c>
      <c r="AE153">
        <f t="shared" si="53"/>
        <v>0</v>
      </c>
    </row>
    <row r="154" spans="1:31" x14ac:dyDescent="0.2">
      <c r="A154" s="376">
        <v>8709.6</v>
      </c>
      <c r="B154" s="390">
        <f t="shared" si="75"/>
        <v>8.7096</v>
      </c>
      <c r="C154" s="363">
        <f t="shared" si="54"/>
        <v>11.487525707580394</v>
      </c>
      <c r="D154" s="364">
        <f t="shared" si="55"/>
        <v>1.4836350590217031</v>
      </c>
      <c r="E154" s="364">
        <f t="shared" si="56"/>
        <v>1.0515058184239361</v>
      </c>
      <c r="F154" s="365">
        <f t="shared" si="57"/>
        <v>0.31428683742901653</v>
      </c>
      <c r="G154" s="364">
        <f t="shared" si="58"/>
        <v>1.0037413563763695</v>
      </c>
      <c r="H154" s="365">
        <f t="shared" si="59"/>
        <v>-8.6368150462442936E-2</v>
      </c>
      <c r="I154" s="363">
        <f t="shared" si="60"/>
        <v>29558.172251706277</v>
      </c>
      <c r="J154" s="366">
        <f t="shared" si="61"/>
        <v>1.5707624952036983</v>
      </c>
      <c r="K154" s="374">
        <f t="shared" si="79"/>
        <v>7.2648167948950206</v>
      </c>
      <c r="L154" s="375">
        <f t="shared" si="80"/>
        <v>1.4327081727538291</v>
      </c>
      <c r="M154" s="363">
        <f t="shared" si="64"/>
        <v>1.0250589603603002</v>
      </c>
      <c r="N154" s="366">
        <f t="shared" si="65"/>
        <v>0.22156993726293223</v>
      </c>
      <c r="O154" s="367">
        <f t="shared" si="66"/>
        <v>1.0026675163817762</v>
      </c>
      <c r="P154" s="368">
        <f t="shared" si="67"/>
        <v>9.8741148011412705E-2</v>
      </c>
      <c r="Q154" s="369">
        <f t="shared" si="68"/>
        <v>-6.5727378068170692</v>
      </c>
      <c r="R154" s="370">
        <f t="shared" si="69"/>
        <v>-98.20965183384989</v>
      </c>
      <c r="S154" s="372">
        <f t="shared" si="70"/>
        <v>81.79034816615011</v>
      </c>
      <c r="U154" s="345">
        <f t="shared" si="76"/>
        <v>8709.6</v>
      </c>
      <c r="V154" s="345">
        <f t="shared" si="77"/>
        <v>75857132.160000011</v>
      </c>
      <c r="X154" s="371">
        <f t="shared" si="71"/>
        <v>15.692639226519042</v>
      </c>
      <c r="Y154" s="372">
        <f t="shared" si="72"/>
        <v>-20.604952315604713</v>
      </c>
      <c r="AA154" s="371">
        <f t="shared" si="73"/>
        <v>23.75522287994351</v>
      </c>
      <c r="AB154" s="372">
        <f t="shared" si="74"/>
        <v>-77.60469951824517</v>
      </c>
      <c r="AD154">
        <f t="shared" si="78"/>
        <v>0</v>
      </c>
      <c r="AE154">
        <f t="shared" ref="AE154:AE217" si="81">IF(AD154&gt;0,S154,0)</f>
        <v>0</v>
      </c>
    </row>
    <row r="155" spans="1:31" x14ac:dyDescent="0.2">
      <c r="A155" s="376">
        <v>8760.3250000000007</v>
      </c>
      <c r="B155" s="390">
        <f t="shared" si="75"/>
        <v>8.7603249999999999</v>
      </c>
      <c r="C155" s="363">
        <f t="shared" si="54"/>
        <v>11.553923908403874</v>
      </c>
      <c r="D155" s="364">
        <f t="shared" si="55"/>
        <v>1.4841372195604288</v>
      </c>
      <c r="E155" s="364">
        <f t="shared" si="56"/>
        <v>1.0520926086677607</v>
      </c>
      <c r="F155" s="365">
        <f t="shared" si="57"/>
        <v>0.31599812474279149</v>
      </c>
      <c r="G155" s="364">
        <f t="shared" si="58"/>
        <v>1.0037849804447014</v>
      </c>
      <c r="H155" s="365">
        <f t="shared" si="59"/>
        <v>-8.6868641981269021E-2</v>
      </c>
      <c r="I155" s="363">
        <f t="shared" si="60"/>
        <v>29730.320029532664</v>
      </c>
      <c r="J155" s="366">
        <f t="shared" si="61"/>
        <v>1.5707626910991088</v>
      </c>
      <c r="K155" s="374">
        <f t="shared" si="79"/>
        <v>7.3063279301712569</v>
      </c>
      <c r="L155" s="375">
        <f t="shared" si="80"/>
        <v>1.4334977068077919</v>
      </c>
      <c r="M155" s="363">
        <f t="shared" si="64"/>
        <v>1.0253480798133106</v>
      </c>
      <c r="N155" s="366">
        <f t="shared" si="65"/>
        <v>0.22281819466652358</v>
      </c>
      <c r="O155" s="367">
        <f t="shared" si="66"/>
        <v>1.0026986652868284</v>
      </c>
      <c r="P155" s="368">
        <f t="shared" si="67"/>
        <v>9.9315017017760021E-2</v>
      </c>
      <c r="Q155" s="369">
        <f t="shared" si="68"/>
        <v>-6.6212443040223681</v>
      </c>
      <c r="R155" s="370">
        <f t="shared" si="69"/>
        <v>-98.228224432410485</v>
      </c>
      <c r="S155" s="372">
        <f t="shared" si="70"/>
        <v>81.771775567589515</v>
      </c>
      <c r="U155" s="345">
        <f t="shared" si="76"/>
        <v>8760.3250000000007</v>
      </c>
      <c r="V155" s="345">
        <f t="shared" si="77"/>
        <v>76743294.105625018</v>
      </c>
      <c r="X155" s="371">
        <f t="shared" si="71"/>
        <v>15.689239415708901</v>
      </c>
      <c r="Y155" s="372">
        <f t="shared" si="72"/>
        <v>-20.631246451512826</v>
      </c>
      <c r="AA155" s="371">
        <f t="shared" si="73"/>
        <v>23.710116193548359</v>
      </c>
      <c r="AB155" s="372">
        <f t="shared" si="74"/>
        <v>-77.596977980897663</v>
      </c>
      <c r="AD155">
        <f t="shared" si="78"/>
        <v>0</v>
      </c>
      <c r="AE155">
        <f t="shared" si="81"/>
        <v>0</v>
      </c>
    </row>
    <row r="156" spans="1:31" x14ac:dyDescent="0.2">
      <c r="A156" s="376">
        <v>8811.0499999999993</v>
      </c>
      <c r="B156" s="390">
        <f t="shared" si="75"/>
        <v>8.8110499999999998</v>
      </c>
      <c r="C156" s="363">
        <f t="shared" si="54"/>
        <v>11.620324989429253</v>
      </c>
      <c r="D156" s="364">
        <f t="shared" si="55"/>
        <v>1.4846336413126331</v>
      </c>
      <c r="E156" s="364">
        <f t="shared" si="56"/>
        <v>1.0526824765291125</v>
      </c>
      <c r="F156" s="365">
        <f t="shared" si="57"/>
        <v>0.31770749922710911</v>
      </c>
      <c r="G156" s="364">
        <f t="shared" si="58"/>
        <v>1.0038288559310093</v>
      </c>
      <c r="H156" s="365">
        <f t="shared" si="59"/>
        <v>-8.736908987434315E-2</v>
      </c>
      <c r="I156" s="363">
        <f t="shared" si="60"/>
        <v>29902.467807360168</v>
      </c>
      <c r="J156" s="366">
        <f t="shared" si="61"/>
        <v>1.5707628847389892</v>
      </c>
      <c r="K156" s="374">
        <f t="shared" si="79"/>
        <v>7.3478435684871251</v>
      </c>
      <c r="L156" s="375">
        <f t="shared" si="80"/>
        <v>1.4342783195397477</v>
      </c>
      <c r="M156" s="363">
        <f t="shared" si="64"/>
        <v>1.0256387960067124</v>
      </c>
      <c r="N156" s="366">
        <f t="shared" si="65"/>
        <v>0.22406574637867954</v>
      </c>
      <c r="O156" s="367">
        <f t="shared" si="66"/>
        <v>1.0027299947757584</v>
      </c>
      <c r="P156" s="368">
        <f t="shared" si="67"/>
        <v>9.9888865135131039E-2</v>
      </c>
      <c r="Q156" s="369">
        <f t="shared" si="68"/>
        <v>-6.6694394648135704</v>
      </c>
      <c r="R156" s="370">
        <f t="shared" si="69"/>
        <v>-98.247044715082794</v>
      </c>
      <c r="S156" s="372">
        <f t="shared" si="70"/>
        <v>81.752955284917206</v>
      </c>
      <c r="U156" s="345">
        <f t="shared" si="76"/>
        <v>8811.0499999999993</v>
      </c>
      <c r="V156" s="345">
        <f t="shared" si="77"/>
        <v>77634602.102499992</v>
      </c>
      <c r="X156" s="371">
        <f t="shared" si="71"/>
        <v>15.685842935499277</v>
      </c>
      <c r="Y156" s="372">
        <f t="shared" si="72"/>
        <v>-20.658011179146907</v>
      </c>
      <c r="AA156" s="371">
        <f t="shared" si="73"/>
        <v>23.66531751296678</v>
      </c>
      <c r="AB156" s="372">
        <f t="shared" si="74"/>
        <v>-77.589033535935883</v>
      </c>
      <c r="AD156">
        <f t="shared" si="78"/>
        <v>0</v>
      </c>
      <c r="AE156">
        <f t="shared" si="81"/>
        <v>0</v>
      </c>
    </row>
    <row r="157" spans="1:31" x14ac:dyDescent="0.2">
      <c r="A157" s="376">
        <v>8861.7749999999996</v>
      </c>
      <c r="B157" s="390">
        <f t="shared" si="75"/>
        <v>8.8617749999999997</v>
      </c>
      <c r="C157" s="363">
        <f t="shared" si="54"/>
        <v>11.686728901562768</v>
      </c>
      <c r="D157" s="364">
        <f t="shared" si="55"/>
        <v>1.4851244218547703</v>
      </c>
      <c r="E157" s="364">
        <f t="shared" si="56"/>
        <v>1.0532754168373</v>
      </c>
      <c r="F157" s="365">
        <f t="shared" si="57"/>
        <v>0.31941495411467319</v>
      </c>
      <c r="G157" s="364">
        <f t="shared" si="58"/>
        <v>1.0038729828023278</v>
      </c>
      <c r="H157" s="365">
        <f t="shared" si="59"/>
        <v>-8.7869493896729586E-2</v>
      </c>
      <c r="I157" s="363">
        <f t="shared" si="60"/>
        <v>30074.615585188789</v>
      </c>
      <c r="J157" s="366">
        <f t="shared" si="61"/>
        <v>1.5707630761620714</v>
      </c>
      <c r="K157" s="374">
        <f t="shared" si="79"/>
        <v>7.3893636339443871</v>
      </c>
      <c r="L157" s="375">
        <f t="shared" si="80"/>
        <v>1.4350501603741859</v>
      </c>
      <c r="M157" s="363">
        <f t="shared" si="64"/>
        <v>1.0259311075831095</v>
      </c>
      <c r="N157" s="366">
        <f t="shared" si="65"/>
        <v>0.22531258911762661</v>
      </c>
      <c r="O157" s="367">
        <f t="shared" si="66"/>
        <v>1.0027615048433542</v>
      </c>
      <c r="P157" s="368">
        <f t="shared" si="67"/>
        <v>0.10046269224442146</v>
      </c>
      <c r="Q157" s="369">
        <f t="shared" si="68"/>
        <v>-6.7173269083718452</v>
      </c>
      <c r="R157" s="370">
        <f t="shared" si="69"/>
        <v>-98.266109892260161</v>
      </c>
      <c r="S157" s="372">
        <f t="shared" si="70"/>
        <v>81.733890107739839</v>
      </c>
      <c r="U157" s="345">
        <f t="shared" si="76"/>
        <v>8861.7749999999996</v>
      </c>
      <c r="V157" s="345">
        <f t="shared" si="77"/>
        <v>78531056.15062499</v>
      </c>
      <c r="X157" s="371">
        <f t="shared" si="71"/>
        <v>15.682449445142531</v>
      </c>
      <c r="Y157" s="372">
        <f t="shared" si="72"/>
        <v>-20.685237751301777</v>
      </c>
      <c r="AA157" s="371">
        <f t="shared" si="73"/>
        <v>23.620823559765252</v>
      </c>
      <c r="AB157" s="372">
        <f t="shared" si="74"/>
        <v>-77.580872140958391</v>
      </c>
      <c r="AD157">
        <f t="shared" si="78"/>
        <v>0</v>
      </c>
      <c r="AE157">
        <f t="shared" si="81"/>
        <v>0</v>
      </c>
    </row>
    <row r="158" spans="1:31" x14ac:dyDescent="0.2">
      <c r="A158" s="373">
        <v>8912.5</v>
      </c>
      <c r="B158" s="390">
        <f t="shared" si="75"/>
        <v>8.9124999999999996</v>
      </c>
      <c r="C158" s="363">
        <f t="shared" si="54"/>
        <v>11.753135596818078</v>
      </c>
      <c r="D158" s="364">
        <f t="shared" si="55"/>
        <v>1.48560965656903</v>
      </c>
      <c r="E158" s="364">
        <f t="shared" si="56"/>
        <v>1.0538714244063649</v>
      </c>
      <c r="F158" s="365">
        <f t="shared" si="57"/>
        <v>0.32112048269814875</v>
      </c>
      <c r="G158" s="364">
        <f t="shared" si="58"/>
        <v>1.0039173610255081</v>
      </c>
      <c r="H158" s="365">
        <f t="shared" si="59"/>
        <v>-8.8369853803623347E-2</v>
      </c>
      <c r="I158" s="363">
        <f t="shared" si="60"/>
        <v>30246.763363018501</v>
      </c>
      <c r="J158" s="366">
        <f t="shared" si="61"/>
        <v>1.5707632654062058</v>
      </c>
      <c r="K158" s="374">
        <f t="shared" ref="K158:K214" si="82">SQRT(1+(A158/Zero2)^2)</f>
        <v>7.430888052333124</v>
      </c>
      <c r="L158" s="375">
        <f t="shared" ref="L158:L214" si="83">ATAN(A158/Zero2)</f>
        <v>1.435813375437953</v>
      </c>
      <c r="M158" s="363">
        <f t="shared" si="64"/>
        <v>1.0262250131792074</v>
      </c>
      <c r="N158" s="366">
        <f t="shared" si="65"/>
        <v>0.22655871961413757</v>
      </c>
      <c r="O158" s="367">
        <f t="shared" si="66"/>
        <v>1.0027931954843763</v>
      </c>
      <c r="P158" s="368">
        <f t="shared" si="67"/>
        <v>0.10103649822655858</v>
      </c>
      <c r="Q158" s="369">
        <f t="shared" si="68"/>
        <v>-6.764910190741924</v>
      </c>
      <c r="R158" s="370">
        <f t="shared" si="69"/>
        <v>-98.285417234797009</v>
      </c>
      <c r="S158" s="372">
        <f t="shared" si="70"/>
        <v>81.714582765202991</v>
      </c>
      <c r="U158" s="345">
        <f t="shared" si="76"/>
        <v>8912.5</v>
      </c>
      <c r="V158" s="345">
        <f t="shared" si="77"/>
        <v>79432656.25</v>
      </c>
      <c r="X158" s="371">
        <f t="shared" si="71"/>
        <v>15.679058614100988</v>
      </c>
      <c r="Y158" s="372">
        <f t="shared" si="72"/>
        <v>-20.712917610381563</v>
      </c>
      <c r="AA158" s="371">
        <f t="shared" si="73"/>
        <v>23.576631108436711</v>
      </c>
      <c r="AB158" s="372">
        <f t="shared" si="74"/>
        <v>-77.572499624415457</v>
      </c>
      <c r="AD158">
        <f t="shared" si="78"/>
        <v>0</v>
      </c>
      <c r="AE158">
        <f t="shared" si="81"/>
        <v>0</v>
      </c>
    </row>
    <row r="159" spans="1:31" x14ac:dyDescent="0.2">
      <c r="A159" s="373">
        <v>8964.4</v>
      </c>
      <c r="B159" s="390">
        <f t="shared" si="75"/>
        <v>8.9643999999999995</v>
      </c>
      <c r="C159" s="363">
        <f t="shared" si="54"/>
        <v>11.821083376398459</v>
      </c>
      <c r="D159" s="364">
        <f t="shared" si="55"/>
        <v>1.486100488553274</v>
      </c>
      <c r="E159" s="364">
        <f t="shared" si="56"/>
        <v>1.0544844072010247</v>
      </c>
      <c r="F159" s="365">
        <f t="shared" si="57"/>
        <v>0.32286351766532984</v>
      </c>
      <c r="G159" s="364">
        <f t="shared" si="58"/>
        <v>1.0039630273492348</v>
      </c>
      <c r="H159" s="365">
        <f t="shared" si="59"/>
        <v>-8.8881758192203494E-2</v>
      </c>
      <c r="I159" s="363">
        <f t="shared" si="60"/>
        <v>30422.898792676813</v>
      </c>
      <c r="J159" s="366">
        <f t="shared" si="61"/>
        <v>1.5707634568173512</v>
      </c>
      <c r="K159" s="374">
        <f t="shared" si="82"/>
        <v>7.4733787770107991</v>
      </c>
      <c r="L159" s="375">
        <f t="shared" si="83"/>
        <v>1.4365854909563456</v>
      </c>
      <c r="M159" s="363">
        <f t="shared" si="64"/>
        <v>1.0265273752452504</v>
      </c>
      <c r="N159" s="366">
        <f t="shared" si="65"/>
        <v>0.227832975049473</v>
      </c>
      <c r="O159" s="367">
        <f t="shared" si="66"/>
        <v>1.0028258071018301</v>
      </c>
      <c r="P159" s="368">
        <f t="shared" si="67"/>
        <v>0.10162357392840041</v>
      </c>
      <c r="Q159" s="369">
        <f t="shared" si="68"/>
        <v>-6.8132845310725525</v>
      </c>
      <c r="R159" s="370">
        <f t="shared" si="69"/>
        <v>-98.305419674770619</v>
      </c>
      <c r="S159" s="372">
        <f t="shared" si="70"/>
        <v>81.694580325229381</v>
      </c>
      <c r="U159" s="345">
        <f t="shared" si="76"/>
        <v>8964.4</v>
      </c>
      <c r="V159" s="345">
        <f t="shared" si="77"/>
        <v>80360467.359999999</v>
      </c>
      <c r="X159" s="371">
        <f t="shared" si="71"/>
        <v>15.675591655474783</v>
      </c>
      <c r="Y159" s="372">
        <f t="shared" si="72"/>
        <v>-20.7416990754311</v>
      </c>
      <c r="AA159" s="371">
        <f t="shared" si="73"/>
        <v>23.531723726732288</v>
      </c>
      <c r="AB159" s="372">
        <f t="shared" si="74"/>
        <v>-77.563720599339518</v>
      </c>
      <c r="AD159">
        <f t="shared" si="78"/>
        <v>0</v>
      </c>
      <c r="AE159">
        <f t="shared" si="81"/>
        <v>0</v>
      </c>
    </row>
    <row r="160" spans="1:31" x14ac:dyDescent="0.2">
      <c r="A160" s="373">
        <v>9016.2999999999993</v>
      </c>
      <c r="B160" s="390">
        <f t="shared" si="75"/>
        <v>9.0162999999999993</v>
      </c>
      <c r="C160" s="363">
        <f t="shared" si="54"/>
        <v>11.889033971314698</v>
      </c>
      <c r="D160" s="364">
        <f t="shared" si="55"/>
        <v>1.4865857100502204</v>
      </c>
      <c r="E160" s="364">
        <f t="shared" si="56"/>
        <v>1.0551005899713297</v>
      </c>
      <c r="F160" s="365">
        <f t="shared" si="57"/>
        <v>0.32460452203870166</v>
      </c>
      <c r="G160" s="364">
        <f t="shared" si="58"/>
        <v>1.0040089567335877</v>
      </c>
      <c r="H160" s="365">
        <f t="shared" si="59"/>
        <v>-8.9393615879756999E-2</v>
      </c>
      <c r="I160" s="363">
        <f t="shared" si="60"/>
        <v>30599.034222336231</v>
      </c>
      <c r="J160" s="366">
        <f t="shared" si="61"/>
        <v>1.5707636460248791</v>
      </c>
      <c r="K160" s="374">
        <f t="shared" si="82"/>
        <v>7.515873906657875</v>
      </c>
      <c r="L160" s="375">
        <f t="shared" si="83"/>
        <v>1.4373488757654949</v>
      </c>
      <c r="M160" s="363">
        <f t="shared" si="64"/>
        <v>1.0268314031282266</v>
      </c>
      <c r="N160" s="366">
        <f t="shared" si="65"/>
        <v>0.22910647797947609</v>
      </c>
      <c r="O160" s="367">
        <f t="shared" si="66"/>
        <v>1.0028586077440573</v>
      </c>
      <c r="P160" s="368">
        <f t="shared" si="67"/>
        <v>0.10221062726087801</v>
      </c>
      <c r="Q160" s="369">
        <f t="shared" si="68"/>
        <v>-6.8613477913725642</v>
      </c>
      <c r="R160" s="370">
        <f t="shared" si="69"/>
        <v>-98.32567003566885</v>
      </c>
      <c r="S160" s="372">
        <f t="shared" si="70"/>
        <v>81.67432996433115</v>
      </c>
      <c r="U160" s="345">
        <f t="shared" si="76"/>
        <v>9016.2999999999993</v>
      </c>
      <c r="V160" s="345">
        <f t="shared" si="77"/>
        <v>81293665.689999983</v>
      </c>
      <c r="X160" s="371">
        <f t="shared" si="71"/>
        <v>15.67212681201584</v>
      </c>
      <c r="Y160" s="372">
        <f t="shared" si="72"/>
        <v>-20.770937531635372</v>
      </c>
      <c r="AA160" s="371">
        <f t="shared" si="73"/>
        <v>23.487125309891219</v>
      </c>
      <c r="AB160" s="372">
        <f t="shared" si="74"/>
        <v>-77.554732504033467</v>
      </c>
      <c r="AD160">
        <f t="shared" si="78"/>
        <v>0</v>
      </c>
      <c r="AE160">
        <f t="shared" si="81"/>
        <v>0</v>
      </c>
    </row>
    <row r="161" spans="1:31" x14ac:dyDescent="0.2">
      <c r="A161" s="373">
        <v>9068.2000000000007</v>
      </c>
      <c r="B161" s="390">
        <f t="shared" si="75"/>
        <v>9.0682000000000009</v>
      </c>
      <c r="C161" s="363">
        <f t="shared" si="54"/>
        <v>11.956987333568819</v>
      </c>
      <c r="D161" s="364">
        <f t="shared" si="55"/>
        <v>1.4870654164851547</v>
      </c>
      <c r="E161" s="364">
        <f t="shared" si="56"/>
        <v>1.0557199671141755</v>
      </c>
      <c r="F161" s="365">
        <f t="shared" si="57"/>
        <v>0.3263434888287664</v>
      </c>
      <c r="G161" s="364">
        <f t="shared" si="58"/>
        <v>1.0040551491424667</v>
      </c>
      <c r="H161" s="365">
        <f t="shared" si="59"/>
        <v>-8.9905426604499544E-2</v>
      </c>
      <c r="I161" s="363">
        <f t="shared" si="60"/>
        <v>30775.169651996737</v>
      </c>
      <c r="J161" s="366">
        <f t="shared" si="61"/>
        <v>1.5707638330666254</v>
      </c>
      <c r="K161" s="374">
        <f t="shared" si="82"/>
        <v>7.5583733669767206</v>
      </c>
      <c r="L161" s="375">
        <f t="shared" si="83"/>
        <v>1.4381036762420001</v>
      </c>
      <c r="M161" s="363">
        <f t="shared" si="64"/>
        <v>1.0271370953489136</v>
      </c>
      <c r="N161" s="366">
        <f t="shared" si="65"/>
        <v>0.23037922494344368</v>
      </c>
      <c r="O161" s="367">
        <f t="shared" si="66"/>
        <v>1.0028915974053503</v>
      </c>
      <c r="P161" s="368">
        <f t="shared" si="67"/>
        <v>0.10279765809655539</v>
      </c>
      <c r="Q161" s="369">
        <f t="shared" si="68"/>
        <v>-6.9091035849438924</v>
      </c>
      <c r="R161" s="370">
        <f t="shared" si="69"/>
        <v>-98.346165580248638</v>
      </c>
      <c r="S161" s="372">
        <f t="shared" si="70"/>
        <v>81.653834419751362</v>
      </c>
      <c r="U161" s="345">
        <f t="shared" si="76"/>
        <v>9068.2000000000007</v>
      </c>
      <c r="V161" s="345">
        <f t="shared" si="77"/>
        <v>82232251.24000001</v>
      </c>
      <c r="X161" s="371">
        <f t="shared" si="71"/>
        <v>15.668663760718704</v>
      </c>
      <c r="Y161" s="372">
        <f t="shared" si="72"/>
        <v>-20.800624396117179</v>
      </c>
      <c r="AA161" s="371">
        <f t="shared" si="73"/>
        <v>23.442832567617028</v>
      </c>
      <c r="AB161" s="372">
        <f t="shared" si="74"/>
        <v>-77.54554118413148</v>
      </c>
      <c r="AD161">
        <f t="shared" si="78"/>
        <v>0</v>
      </c>
      <c r="AE161">
        <f t="shared" si="81"/>
        <v>0</v>
      </c>
    </row>
    <row r="162" spans="1:31" x14ac:dyDescent="0.2">
      <c r="A162" s="373">
        <v>9120.1</v>
      </c>
      <c r="B162" s="390">
        <f t="shared" si="75"/>
        <v>9.1201000000000008</v>
      </c>
      <c r="C162" s="363">
        <f t="shared" si="54"/>
        <v>12.024943416245856</v>
      </c>
      <c r="D162" s="364">
        <f t="shared" si="55"/>
        <v>1.4875397011365541</v>
      </c>
      <c r="E162" s="364">
        <f t="shared" si="56"/>
        <v>1.0563425330105851</v>
      </c>
      <c r="F162" s="365">
        <f t="shared" si="57"/>
        <v>0.32808041111166975</v>
      </c>
      <c r="G162" s="364">
        <f t="shared" si="58"/>
        <v>1.0041016045395716</v>
      </c>
      <c r="H162" s="365">
        <f t="shared" si="59"/>
        <v>-9.0417190104793224E-2</v>
      </c>
      <c r="I162" s="363">
        <f t="shared" si="60"/>
        <v>30951.305081658302</v>
      </c>
      <c r="J162" s="366">
        <f t="shared" si="61"/>
        <v>1.5707640179795643</v>
      </c>
      <c r="K162" s="374">
        <f t="shared" si="82"/>
        <v>7.6008770853239218</v>
      </c>
      <c r="L162" s="375">
        <f t="shared" si="83"/>
        <v>1.4388500355279659</v>
      </c>
      <c r="M162" s="363">
        <f t="shared" si="64"/>
        <v>1.0274444504217564</v>
      </c>
      <c r="N162" s="366">
        <f t="shared" si="65"/>
        <v>0.2316512124945766</v>
      </c>
      <c r="O162" s="367">
        <f t="shared" si="66"/>
        <v>1.0029247760799682</v>
      </c>
      <c r="P162" s="368">
        <f t="shared" si="67"/>
        <v>0.1033846663080321</v>
      </c>
      <c r="Q162" s="369">
        <f t="shared" si="68"/>
        <v>-6.9565554622217896</v>
      </c>
      <c r="R162" s="370">
        <f t="shared" si="69"/>
        <v>-98.366903630583394</v>
      </c>
      <c r="S162" s="372">
        <f t="shared" si="70"/>
        <v>81.633096369416606</v>
      </c>
      <c r="U162" s="345">
        <f t="shared" si="76"/>
        <v>9120.1</v>
      </c>
      <c r="V162" s="345">
        <f t="shared" si="77"/>
        <v>83176224.010000005</v>
      </c>
      <c r="X162" s="371">
        <f t="shared" si="71"/>
        <v>15.665202188360915</v>
      </c>
      <c r="Y162" s="372">
        <f t="shared" si="72"/>
        <v>-20.830751272069442</v>
      </c>
      <c r="AA162" s="371">
        <f t="shared" si="73"/>
        <v>23.39884226269692</v>
      </c>
      <c r="AB162" s="372">
        <f t="shared" si="74"/>
        <v>-77.536152358513988</v>
      </c>
      <c r="AD162">
        <f t="shared" si="78"/>
        <v>0</v>
      </c>
      <c r="AE162">
        <f t="shared" si="81"/>
        <v>0</v>
      </c>
    </row>
    <row r="163" spans="1:31" x14ac:dyDescent="0.2">
      <c r="A163" s="373">
        <v>9173.2000000000007</v>
      </c>
      <c r="B163" s="390">
        <f t="shared" si="75"/>
        <v>9.1732000000000014</v>
      </c>
      <c r="C163" s="363">
        <f t="shared" si="54"/>
        <v>12.094473505503998</v>
      </c>
      <c r="D163" s="364">
        <f t="shared" si="55"/>
        <v>1.4880194357292955</v>
      </c>
      <c r="E163" s="364">
        <f t="shared" si="56"/>
        <v>1.0569827878161224</v>
      </c>
      <c r="F163" s="365">
        <f t="shared" si="57"/>
        <v>0.32985537033369827</v>
      </c>
      <c r="G163" s="364">
        <f t="shared" si="58"/>
        <v>1.0041494061913376</v>
      </c>
      <c r="H163" s="365">
        <f t="shared" si="59"/>
        <v>-9.0940737139546091E-2</v>
      </c>
      <c r="I163" s="363">
        <f t="shared" si="60"/>
        <v>31131.513006804456</v>
      </c>
      <c r="J163" s="366">
        <f t="shared" si="61"/>
        <v>1.5707642050024238</v>
      </c>
      <c r="K163" s="374">
        <f t="shared" si="82"/>
        <v>7.6443678813732978</v>
      </c>
      <c r="L163" s="375">
        <f t="shared" si="83"/>
        <v>1.439605061457937</v>
      </c>
      <c r="M163" s="363">
        <f t="shared" si="64"/>
        <v>1.0277606313821486</v>
      </c>
      <c r="N163" s="366">
        <f t="shared" si="65"/>
        <v>0.23295182062852435</v>
      </c>
      <c r="O163" s="367">
        <f t="shared" si="66"/>
        <v>1.0029589175047757</v>
      </c>
      <c r="P163" s="368">
        <f t="shared" si="67"/>
        <v>0.1039852234159707</v>
      </c>
      <c r="Q163" s="369">
        <f t="shared" si="68"/>
        <v>-7.0047935932113168</v>
      </c>
      <c r="R163" s="370">
        <f t="shared" si="69"/>
        <v>-98.388369422223619</v>
      </c>
      <c r="S163" s="372">
        <f t="shared" si="70"/>
        <v>81.611630577776381</v>
      </c>
      <c r="U163" s="345">
        <f t="shared" si="76"/>
        <v>9173.2000000000007</v>
      </c>
      <c r="V163" s="345">
        <f t="shared" si="77"/>
        <v>84147598.24000001</v>
      </c>
      <c r="X163" s="371">
        <f t="shared" si="71"/>
        <v>15.66166179353003</v>
      </c>
      <c r="Y163" s="372">
        <f t="shared" si="72"/>
        <v>-20.862021545390999</v>
      </c>
      <c r="AA163" s="371">
        <f t="shared" si="73"/>
        <v>23.354144526538278</v>
      </c>
      <c r="AB163" s="372">
        <f t="shared" si="74"/>
        <v>-77.526347876832631</v>
      </c>
      <c r="AD163">
        <f t="shared" si="78"/>
        <v>0</v>
      </c>
      <c r="AE163">
        <f t="shared" si="81"/>
        <v>0</v>
      </c>
    </row>
    <row r="164" spans="1:31" x14ac:dyDescent="0.2">
      <c r="A164" s="373">
        <v>9226.2999999999993</v>
      </c>
      <c r="B164" s="390">
        <f t="shared" si="75"/>
        <v>9.2262999999999984</v>
      </c>
      <c r="C164" s="363">
        <f t="shared" si="54"/>
        <v>12.164006346426653</v>
      </c>
      <c r="D164" s="364">
        <f t="shared" si="55"/>
        <v>1.4884936858376241</v>
      </c>
      <c r="E164" s="364">
        <f t="shared" si="56"/>
        <v>1.0576263685871659</v>
      </c>
      <c r="F164" s="365">
        <f t="shared" si="57"/>
        <v>0.33162817495912</v>
      </c>
      <c r="G164" s="364">
        <f t="shared" si="58"/>
        <v>1.0041974830557119</v>
      </c>
      <c r="H164" s="365">
        <f t="shared" si="59"/>
        <v>-9.1464234187201496E-2</v>
      </c>
      <c r="I164" s="363">
        <f t="shared" si="60"/>
        <v>31311.720931951677</v>
      </c>
      <c r="J164" s="366">
        <f t="shared" si="61"/>
        <v>1.5707643898725427</v>
      </c>
      <c r="K164" s="374">
        <f t="shared" si="82"/>
        <v>7.6878629858967962</v>
      </c>
      <c r="L164" s="375">
        <f t="shared" si="83"/>
        <v>1.4403515444907646</v>
      </c>
      <c r="M164" s="363">
        <f t="shared" si="64"/>
        <v>1.0280785498123541</v>
      </c>
      <c r="N164" s="366">
        <f t="shared" si="65"/>
        <v>0.23425162657154036</v>
      </c>
      <c r="O164" s="367">
        <f t="shared" si="66"/>
        <v>1.0029932567721966</v>
      </c>
      <c r="P164" s="368">
        <f t="shared" si="67"/>
        <v>0.10458575657171965</v>
      </c>
      <c r="Q164" s="369">
        <f t="shared" si="68"/>
        <v>-7.0527209152995525</v>
      </c>
      <c r="R164" s="370">
        <f t="shared" si="69"/>
        <v>-98.410083575390928</v>
      </c>
      <c r="S164" s="372">
        <f t="shared" si="70"/>
        <v>81.589916424609072</v>
      </c>
      <c r="U164" s="345">
        <f t="shared" si="76"/>
        <v>9226.2999999999993</v>
      </c>
      <c r="V164" s="345">
        <f t="shared" si="77"/>
        <v>85124611.689999983</v>
      </c>
      <c r="X164" s="371">
        <f t="shared" si="71"/>
        <v>15.658122313473159</v>
      </c>
      <c r="Y164" s="372">
        <f t="shared" si="72"/>
        <v>-20.893735205166504</v>
      </c>
      <c r="AA164" s="371">
        <f t="shared" si="73"/>
        <v>23.309756684506912</v>
      </c>
      <c r="AB164" s="372">
        <f t="shared" si="74"/>
        <v>-77.516348370224421</v>
      </c>
      <c r="AD164">
        <f t="shared" si="78"/>
        <v>0</v>
      </c>
      <c r="AE164">
        <f t="shared" si="81"/>
        <v>0</v>
      </c>
    </row>
    <row r="165" spans="1:31" x14ac:dyDescent="0.2">
      <c r="A165" s="373">
        <v>9279.4</v>
      </c>
      <c r="B165" s="390">
        <f t="shared" si="75"/>
        <v>9.279399999999999</v>
      </c>
      <c r="C165" s="363">
        <f t="shared" si="54"/>
        <v>12.233541892094204</v>
      </c>
      <c r="D165" s="364">
        <f t="shared" si="55"/>
        <v>1.4889625447679236</v>
      </c>
      <c r="E165" s="364">
        <f t="shared" si="56"/>
        <v>1.058273269255734</v>
      </c>
      <c r="F165" s="365">
        <f t="shared" si="57"/>
        <v>0.33339881778576647</v>
      </c>
      <c r="G165" s="364">
        <f t="shared" si="58"/>
        <v>1.0042458350931682</v>
      </c>
      <c r="H165" s="365">
        <f t="shared" si="59"/>
        <v>-9.1987680968031574E-2</v>
      </c>
      <c r="I165" s="363">
        <f t="shared" si="60"/>
        <v>31491.928857099963</v>
      </c>
      <c r="J165" s="366">
        <f t="shared" si="61"/>
        <v>1.5707645726268777</v>
      </c>
      <c r="K165" s="374">
        <f t="shared" si="82"/>
        <v>7.7313623261785667</v>
      </c>
      <c r="L165" s="375">
        <f t="shared" si="83"/>
        <v>1.4410896279833665</v>
      </c>
      <c r="M165" s="363">
        <f t="shared" si="64"/>
        <v>1.0283982041010116</v>
      </c>
      <c r="N165" s="366">
        <f t="shared" si="65"/>
        <v>0.23555062667760332</v>
      </c>
      <c r="O165" s="367">
        <f t="shared" si="66"/>
        <v>1.0030277938759793</v>
      </c>
      <c r="P165" s="368">
        <f t="shared" si="67"/>
        <v>0.10518626563895257</v>
      </c>
      <c r="Q165" s="369">
        <f t="shared" si="68"/>
        <v>-7.1003410361507822</v>
      </c>
      <c r="R165" s="370">
        <f t="shared" si="69"/>
        <v>-98.432043404432449</v>
      </c>
      <c r="S165" s="372">
        <f t="shared" si="70"/>
        <v>81.567956595567551</v>
      </c>
      <c r="U165" s="345">
        <f t="shared" si="76"/>
        <v>9279.4</v>
      </c>
      <c r="V165" s="345">
        <f t="shared" si="77"/>
        <v>86107264.359999999</v>
      </c>
      <c r="X165" s="371">
        <f t="shared" si="71"/>
        <v>15.65458344247074</v>
      </c>
      <c r="Y165" s="372">
        <f t="shared" si="72"/>
        <v>-20.925883830865409</v>
      </c>
      <c r="AA165" s="371">
        <f t="shared" si="73"/>
        <v>23.265675434658103</v>
      </c>
      <c r="AB165" s="372">
        <f t="shared" si="74"/>
        <v>-77.506159573567047</v>
      </c>
      <c r="AD165">
        <f t="shared" si="78"/>
        <v>0</v>
      </c>
      <c r="AE165">
        <f t="shared" si="81"/>
        <v>0</v>
      </c>
    </row>
    <row r="166" spans="1:31" x14ac:dyDescent="0.2">
      <c r="A166" s="373">
        <v>9332.5</v>
      </c>
      <c r="B166" s="390">
        <f t="shared" si="75"/>
        <v>9.3324999999999996</v>
      </c>
      <c r="C166" s="363">
        <f t="shared" si="54"/>
        <v>12.303080096645958</v>
      </c>
      <c r="D166" s="364">
        <f t="shared" si="55"/>
        <v>1.4894261037266754</v>
      </c>
      <c r="E166" s="364">
        <f t="shared" si="56"/>
        <v>1.0589234837374102</v>
      </c>
      <c r="F166" s="365">
        <f t="shared" si="57"/>
        <v>0.33516729168324361</v>
      </c>
      <c r="G166" s="364">
        <f t="shared" si="58"/>
        <v>1.0042944622639616</v>
      </c>
      <c r="H166" s="365">
        <f t="shared" si="59"/>
        <v>-9.2511077202472189E-2</v>
      </c>
      <c r="I166" s="363">
        <f t="shared" si="60"/>
        <v>31672.136782249294</v>
      </c>
      <c r="J166" s="366">
        <f t="shared" si="61"/>
        <v>1.5707647533015436</v>
      </c>
      <c r="K166" s="374">
        <f t="shared" si="82"/>
        <v>7.7748658311230976</v>
      </c>
      <c r="L166" s="375">
        <f t="shared" si="83"/>
        <v>1.4418194521211796</v>
      </c>
      <c r="M166" s="363">
        <f t="shared" si="64"/>
        <v>1.0287195926299699</v>
      </c>
      <c r="N166" s="366">
        <f t="shared" si="65"/>
        <v>0.23684881731608934</v>
      </c>
      <c r="O166" s="367">
        <f t="shared" si="66"/>
        <v>1.0030625288098374</v>
      </c>
      <c r="P166" s="368">
        <f t="shared" si="67"/>
        <v>0.10578675048138293</v>
      </c>
      <c r="Q166" s="369">
        <f t="shared" si="68"/>
        <v>-7.1476575008304923</v>
      </c>
      <c r="R166" s="370">
        <f t="shared" si="69"/>
        <v>-98.454246281825618</v>
      </c>
      <c r="S166" s="372">
        <f t="shared" si="70"/>
        <v>81.545753718174382</v>
      </c>
      <c r="U166" s="345">
        <f t="shared" si="76"/>
        <v>9332.5</v>
      </c>
      <c r="V166" s="345">
        <f t="shared" si="77"/>
        <v>87095556.25</v>
      </c>
      <c r="X166" s="371">
        <f t="shared" si="71"/>
        <v>15.651044884175311</v>
      </c>
      <c r="Y166" s="372">
        <f t="shared" si="72"/>
        <v>-20.958459184503639</v>
      </c>
      <c r="AA166" s="371">
        <f t="shared" si="73"/>
        <v>23.221897528273821</v>
      </c>
      <c r="AB166" s="372">
        <f t="shared" si="74"/>
        <v>-77.495787097321994</v>
      </c>
      <c r="AD166">
        <f t="shared" si="78"/>
        <v>0</v>
      </c>
      <c r="AE166">
        <f t="shared" si="81"/>
        <v>0</v>
      </c>
    </row>
    <row r="167" spans="1:31" x14ac:dyDescent="0.2">
      <c r="A167" s="373">
        <v>9386.85</v>
      </c>
      <c r="B167" s="390">
        <f t="shared" si="75"/>
        <v>9.3868500000000008</v>
      </c>
      <c r="C167" s="363">
        <f t="shared" si="54"/>
        <v>12.374257971304781</v>
      </c>
      <c r="D167" s="364">
        <f t="shared" si="55"/>
        <v>1.4898951795550501</v>
      </c>
      <c r="E167" s="364">
        <f t="shared" si="56"/>
        <v>1.0595924299634314</v>
      </c>
      <c r="F167" s="365">
        <f t="shared" si="57"/>
        <v>0.33697514283878283</v>
      </c>
      <c r="G167" s="364">
        <f t="shared" si="58"/>
        <v>1.0043445190251845</v>
      </c>
      <c r="H167" s="365">
        <f t="shared" si="59"/>
        <v>-9.3046741803711669E-2</v>
      </c>
      <c r="I167" s="363">
        <f t="shared" si="60"/>
        <v>31856.586890195096</v>
      </c>
      <c r="J167" s="366">
        <f t="shared" si="61"/>
        <v>1.570764936112536</v>
      </c>
      <c r="K167" s="374">
        <f t="shared" si="82"/>
        <v>7.8193976701997805</v>
      </c>
      <c r="L167" s="375">
        <f t="shared" si="83"/>
        <v>1.4425580464647407</v>
      </c>
      <c r="M167" s="363">
        <f t="shared" si="64"/>
        <v>1.0290503410644078</v>
      </c>
      <c r="N167" s="366">
        <f t="shared" si="65"/>
        <v>0.23817672594997166</v>
      </c>
      <c r="O167" s="367">
        <f t="shared" si="66"/>
        <v>1.0030982862848632</v>
      </c>
      <c r="P167" s="368">
        <f t="shared" si="67"/>
        <v>0.10640134580191446</v>
      </c>
      <c r="Q167" s="369">
        <f t="shared" si="68"/>
        <v>-7.1957769914957312</v>
      </c>
      <c r="R167" s="370">
        <f t="shared" si="69"/>
        <v>-98.477220840690123</v>
      </c>
      <c r="S167" s="372">
        <f t="shared" si="70"/>
        <v>81.522779159309877</v>
      </c>
      <c r="U167" s="345">
        <f t="shared" si="76"/>
        <v>9386.85</v>
      </c>
      <c r="V167" s="345">
        <f t="shared" si="77"/>
        <v>88112952.922499999</v>
      </c>
      <c r="X167" s="371">
        <f t="shared" si="71"/>
        <v>15.647423050532364</v>
      </c>
      <c r="Y167" s="372">
        <f t="shared" si="72"/>
        <v>-20.992234880482684</v>
      </c>
      <c r="AA167" s="371">
        <f t="shared" si="73"/>
        <v>23.177399871251531</v>
      </c>
      <c r="AB167" s="372">
        <f t="shared" si="74"/>
        <v>-77.48498596020741</v>
      </c>
      <c r="AD167">
        <f t="shared" si="78"/>
        <v>0</v>
      </c>
      <c r="AE167">
        <f t="shared" si="81"/>
        <v>0</v>
      </c>
    </row>
    <row r="168" spans="1:31" x14ac:dyDescent="0.2">
      <c r="A168" s="373">
        <v>9441.2000000000007</v>
      </c>
      <c r="B168" s="390">
        <f t="shared" si="75"/>
        <v>9.4412000000000003</v>
      </c>
      <c r="C168" s="363">
        <f t="shared" si="54"/>
        <v>12.44543853755394</v>
      </c>
      <c r="D168" s="364">
        <f t="shared" si="55"/>
        <v>1.4903588898104714</v>
      </c>
      <c r="E168" s="364">
        <f t="shared" si="56"/>
        <v>1.0602648349062365</v>
      </c>
      <c r="F168" s="365">
        <f t="shared" si="57"/>
        <v>0.33878070686207212</v>
      </c>
      <c r="G168" s="364">
        <f t="shared" si="58"/>
        <v>1.0043948639408007</v>
      </c>
      <c r="H168" s="365">
        <f t="shared" si="59"/>
        <v>-9.3582352858650533E-2</v>
      </c>
      <c r="I168" s="363">
        <f t="shared" si="60"/>
        <v>32041.03699814195</v>
      </c>
      <c r="J168" s="366">
        <f t="shared" si="61"/>
        <v>1.5707651168187582</v>
      </c>
      <c r="K168" s="374">
        <f t="shared" si="82"/>
        <v>7.8639337266144747</v>
      </c>
      <c r="L168" s="375">
        <f t="shared" si="83"/>
        <v>1.4432882753950305</v>
      </c>
      <c r="M168" s="363">
        <f t="shared" si="64"/>
        <v>1.0293829028979198</v>
      </c>
      <c r="N168" s="366">
        <f t="shared" si="65"/>
        <v>0.23950377891008426</v>
      </c>
      <c r="O168" s="367">
        <f t="shared" si="66"/>
        <v>1.0031342510001873</v>
      </c>
      <c r="P168" s="368">
        <f t="shared" si="67"/>
        <v>0.1070159154549024</v>
      </c>
      <c r="Q168" s="369">
        <f t="shared" si="68"/>
        <v>-7.2435856820113385</v>
      </c>
      <c r="R168" s="370">
        <f t="shared" si="69"/>
        <v>-98.500444635060347</v>
      </c>
      <c r="S168" s="372">
        <f t="shared" si="70"/>
        <v>81.499555364939653</v>
      </c>
      <c r="U168" s="345">
        <f t="shared" si="76"/>
        <v>9441.2000000000007</v>
      </c>
      <c r="V168" s="345">
        <f t="shared" si="77"/>
        <v>89136257.440000013</v>
      </c>
      <c r="X168" s="371">
        <f t="shared" si="71"/>
        <v>15.643800945013291</v>
      </c>
      <c r="Y168" s="372">
        <f t="shared" si="72"/>
        <v>-21.026440732246474</v>
      </c>
      <c r="AA168" s="371">
        <f t="shared" si="73"/>
        <v>23.133213286255</v>
      </c>
      <c r="AB168" s="372">
        <f t="shared" si="74"/>
        <v>-77.474003902813877</v>
      </c>
      <c r="AD168">
        <f t="shared" si="78"/>
        <v>0</v>
      </c>
      <c r="AE168">
        <f t="shared" si="81"/>
        <v>0</v>
      </c>
    </row>
    <row r="169" spans="1:31" x14ac:dyDescent="0.2">
      <c r="A169" s="373">
        <v>9495.5499999999993</v>
      </c>
      <c r="B169" s="390">
        <f t="shared" si="75"/>
        <v>9.4955499999999997</v>
      </c>
      <c r="C169" s="363">
        <f t="shared" si="54"/>
        <v>12.516621749473151</v>
      </c>
      <c r="D169" s="364">
        <f t="shared" si="55"/>
        <v>1.4908173258353605</v>
      </c>
      <c r="E169" s="364">
        <f t="shared" si="56"/>
        <v>1.0609406919896098</v>
      </c>
      <c r="F169" s="365">
        <f t="shared" si="57"/>
        <v>0.34058397634046633</v>
      </c>
      <c r="G169" s="364">
        <f t="shared" si="58"/>
        <v>1.0044454969674814</v>
      </c>
      <c r="H169" s="365">
        <f t="shared" si="59"/>
        <v>-9.4117910068052174E-2</v>
      </c>
      <c r="I169" s="363">
        <f t="shared" si="60"/>
        <v>32225.487106089833</v>
      </c>
      <c r="J169" s="366">
        <f t="shared" si="61"/>
        <v>1.5707652954563518</v>
      </c>
      <c r="K169" s="374">
        <f t="shared" si="82"/>
        <v>7.9084739291181876</v>
      </c>
      <c r="L169" s="375">
        <f t="shared" si="83"/>
        <v>1.4440102794676277</v>
      </c>
      <c r="M169" s="363">
        <f t="shared" si="64"/>
        <v>1.0297172763735158</v>
      </c>
      <c r="N169" s="366">
        <f t="shared" si="65"/>
        <v>0.24082997235369116</v>
      </c>
      <c r="O169" s="367">
        <f t="shared" si="66"/>
        <v>1.0031704229489549</v>
      </c>
      <c r="P169" s="368">
        <f t="shared" si="67"/>
        <v>0.10763045929433825</v>
      </c>
      <c r="Q169" s="369">
        <f t="shared" si="68"/>
        <v>-7.2910871794935606</v>
      </c>
      <c r="R169" s="370">
        <f t="shared" si="69"/>
        <v>-98.523915026330982</v>
      </c>
      <c r="S169" s="372">
        <f t="shared" si="70"/>
        <v>81.476084973669018</v>
      </c>
      <c r="U169" s="345">
        <f t="shared" si="76"/>
        <v>9495.5499999999993</v>
      </c>
      <c r="V169" s="345">
        <f t="shared" si="77"/>
        <v>90165469.80249998</v>
      </c>
      <c r="X169" s="371">
        <f t="shared" si="71"/>
        <v>15.640178278372625</v>
      </c>
      <c r="Y169" s="372">
        <f t="shared" si="72"/>
        <v>-21.061068468451733</v>
      </c>
      <c r="AA169" s="371">
        <f t="shared" si="73"/>
        <v>23.089334455413439</v>
      </c>
      <c r="AB169" s="372">
        <f t="shared" si="74"/>
        <v>-77.462846557879232</v>
      </c>
      <c r="AD169">
        <f t="shared" si="78"/>
        <v>0</v>
      </c>
      <c r="AE169">
        <f t="shared" si="81"/>
        <v>0</v>
      </c>
    </row>
    <row r="170" spans="1:31" x14ac:dyDescent="0.2">
      <c r="A170" s="373">
        <v>9549.9</v>
      </c>
      <c r="B170" s="390">
        <f t="shared" si="75"/>
        <v>9.5498999999999992</v>
      </c>
      <c r="C170" s="363">
        <f t="shared" si="54"/>
        <v>12.587807562179158</v>
      </c>
      <c r="D170" s="364">
        <f t="shared" si="55"/>
        <v>1.4912705769149057</v>
      </c>
      <c r="E170" s="364">
        <f t="shared" si="56"/>
        <v>1.0616199946203628</v>
      </c>
      <c r="F170" s="365">
        <f t="shared" si="57"/>
        <v>0.34238494393983893</v>
      </c>
      <c r="G170" s="364">
        <f t="shared" si="58"/>
        <v>1.0044964180616591</v>
      </c>
      <c r="H170" s="365">
        <f t="shared" si="59"/>
        <v>-9.4653413132863781E-2</v>
      </c>
      <c r="I170" s="363">
        <f t="shared" si="60"/>
        <v>32409.937214038742</v>
      </c>
      <c r="J170" s="366">
        <f t="shared" si="61"/>
        <v>1.5707654720606354</v>
      </c>
      <c r="K170" s="374">
        <f t="shared" si="82"/>
        <v>7.9530182080514633</v>
      </c>
      <c r="L170" s="375">
        <f t="shared" si="83"/>
        <v>1.444724196123887</v>
      </c>
      <c r="M170" s="363">
        <f t="shared" si="64"/>
        <v>1.0300534597269237</v>
      </c>
      <c r="N170" s="366">
        <f t="shared" si="65"/>
        <v>0.24215530245512631</v>
      </c>
      <c r="O170" s="367">
        <f t="shared" si="66"/>
        <v>1.0032068021242728</v>
      </c>
      <c r="P170" s="368">
        <f t="shared" si="67"/>
        <v>0.10824497717425838</v>
      </c>
      <c r="Q170" s="369">
        <f t="shared" si="68"/>
        <v>-7.3382850286142132</v>
      </c>
      <c r="R170" s="370">
        <f t="shared" si="69"/>
        <v>-98.54762943290288</v>
      </c>
      <c r="S170" s="372">
        <f t="shared" si="70"/>
        <v>81.45237056709712</v>
      </c>
      <c r="U170" s="345">
        <f t="shared" si="76"/>
        <v>9549.9</v>
      </c>
      <c r="V170" s="345">
        <f t="shared" si="77"/>
        <v>91200590.00999999</v>
      </c>
      <c r="X170" s="371">
        <f t="shared" si="71"/>
        <v>15.636554770357717</v>
      </c>
      <c r="Y170" s="372">
        <f t="shared" si="72"/>
        <v>-21.09610999711801</v>
      </c>
      <c r="AA170" s="371">
        <f t="shared" si="73"/>
        <v>23.04576011430769</v>
      </c>
      <c r="AB170" s="372">
        <f t="shared" si="74"/>
        <v>-77.451519435784903</v>
      </c>
      <c r="AD170">
        <f t="shared" si="78"/>
        <v>0</v>
      </c>
      <c r="AE170">
        <f t="shared" si="81"/>
        <v>0</v>
      </c>
    </row>
    <row r="171" spans="1:31" x14ac:dyDescent="0.2">
      <c r="A171" s="373">
        <v>9605.5249999999996</v>
      </c>
      <c r="B171" s="390">
        <f t="shared" si="75"/>
        <v>9.6055250000000001</v>
      </c>
      <c r="C171" s="363">
        <f t="shared" si="54"/>
        <v>12.660665974493091</v>
      </c>
      <c r="D171" s="364">
        <f t="shared" si="55"/>
        <v>1.4917291830921615</v>
      </c>
      <c r="E171" s="364">
        <f t="shared" si="56"/>
        <v>1.0623187938949068</v>
      </c>
      <c r="F171" s="365">
        <f t="shared" si="57"/>
        <v>0.34422576946556449</v>
      </c>
      <c r="G171" s="364">
        <f t="shared" si="58"/>
        <v>1.0045488319546594</v>
      </c>
      <c r="H171" s="365">
        <f t="shared" si="59"/>
        <v>-9.5201422220433318E-2</v>
      </c>
      <c r="I171" s="363">
        <f t="shared" si="60"/>
        <v>32598.714348440106</v>
      </c>
      <c r="J171" s="366">
        <f t="shared" si="61"/>
        <v>1.5707656507384893</v>
      </c>
      <c r="K171" s="374">
        <f t="shared" si="82"/>
        <v>7.9986116038932336</v>
      </c>
      <c r="L171" s="375">
        <f t="shared" si="83"/>
        <v>1.4454466266179007</v>
      </c>
      <c r="M171" s="363">
        <f t="shared" si="64"/>
        <v>1.0303994018404923</v>
      </c>
      <c r="N171" s="366">
        <f t="shared" si="65"/>
        <v>0.24351082562321896</v>
      </c>
      <c r="O171" s="367">
        <f t="shared" si="66"/>
        <v>1.0032442492892555</v>
      </c>
      <c r="P171" s="368">
        <f t="shared" si="67"/>
        <v>0.10887388403458835</v>
      </c>
      <c r="Q171" s="369">
        <f t="shared" si="68"/>
        <v>-7.3862793131953106</v>
      </c>
      <c r="R171" s="370">
        <f t="shared" si="69"/>
        <v>-98.57215019031085</v>
      </c>
      <c r="S171" s="372">
        <f t="shared" si="70"/>
        <v>81.42784980968915</v>
      </c>
      <c r="U171" s="345">
        <f t="shared" si="76"/>
        <v>9605.5249999999996</v>
      </c>
      <c r="V171" s="345">
        <f t="shared" si="77"/>
        <v>92266110.52562499</v>
      </c>
      <c r="X171" s="371">
        <f t="shared" si="71"/>
        <v>15.63284510369888</v>
      </c>
      <c r="Y171" s="372">
        <f t="shared" si="72"/>
        <v>-21.132393772911762</v>
      </c>
      <c r="AA171" s="371">
        <f t="shared" si="73"/>
        <v>23.001475496385432</v>
      </c>
      <c r="AB171" s="372">
        <f t="shared" si="74"/>
        <v>-77.439756417399096</v>
      </c>
      <c r="AD171">
        <f t="shared" si="78"/>
        <v>0</v>
      </c>
      <c r="AE171">
        <f t="shared" si="81"/>
        <v>0</v>
      </c>
    </row>
    <row r="172" spans="1:31" x14ac:dyDescent="0.2">
      <c r="A172" s="373">
        <v>9661.15</v>
      </c>
      <c r="B172" s="390">
        <f t="shared" si="75"/>
        <v>9.6611499999999992</v>
      </c>
      <c r="C172" s="363">
        <f t="shared" si="54"/>
        <v>12.733527019121484</v>
      </c>
      <c r="D172" s="364">
        <f t="shared" si="55"/>
        <v>1.4921825410889558</v>
      </c>
      <c r="E172" s="364">
        <f t="shared" si="56"/>
        <v>1.0630211882440006</v>
      </c>
      <c r="F172" s="365">
        <f t="shared" si="57"/>
        <v>0.34606416855245231</v>
      </c>
      <c r="G172" s="364">
        <f t="shared" si="58"/>
        <v>1.0046015474961649</v>
      </c>
      <c r="H172" s="365">
        <f t="shared" si="59"/>
        <v>-9.5749373960001161E-2</v>
      </c>
      <c r="I172" s="363">
        <f t="shared" si="60"/>
        <v>32787.491482842495</v>
      </c>
      <c r="J172" s="366">
        <f t="shared" si="61"/>
        <v>1.5707658273588334</v>
      </c>
      <c r="K172" s="374">
        <f t="shared" si="82"/>
        <v>8.0442091269345255</v>
      </c>
      <c r="L172" s="375">
        <f t="shared" si="83"/>
        <v>1.4461608674799935</v>
      </c>
      <c r="M172" s="363">
        <f t="shared" si="64"/>
        <v>1.0307472359813925</v>
      </c>
      <c r="N172" s="366">
        <f t="shared" si="65"/>
        <v>0.24486543641402944</v>
      </c>
      <c r="O172" s="367">
        <f t="shared" si="66"/>
        <v>1.0032819135027788</v>
      </c>
      <c r="P172" s="368">
        <f t="shared" si="67"/>
        <v>0.10950276339391761</v>
      </c>
      <c r="Q172" s="369">
        <f t="shared" si="68"/>
        <v>-7.4339628546040561</v>
      </c>
      <c r="R172" s="370">
        <f t="shared" si="69"/>
        <v>-98.596921250434022</v>
      </c>
      <c r="S172" s="372">
        <f t="shared" si="70"/>
        <v>81.403078749565978</v>
      </c>
      <c r="U172" s="345">
        <f t="shared" si="76"/>
        <v>9661.15</v>
      </c>
      <c r="V172" s="345">
        <f t="shared" si="77"/>
        <v>93337819.32249999</v>
      </c>
      <c r="X172" s="371">
        <f t="shared" si="71"/>
        <v>15.629133989315818</v>
      </c>
      <c r="Y172" s="372">
        <f t="shared" si="72"/>
        <v>-21.169094386796608</v>
      </c>
      <c r="AA172" s="371">
        <f t="shared" si="73"/>
        <v>22.957503069359753</v>
      </c>
      <c r="AB172" s="372">
        <f t="shared" si="74"/>
        <v>-77.427826863637449</v>
      </c>
      <c r="AD172">
        <f t="shared" si="78"/>
        <v>0</v>
      </c>
      <c r="AE172">
        <f t="shared" si="81"/>
        <v>0</v>
      </c>
    </row>
    <row r="173" spans="1:31" x14ac:dyDescent="0.2">
      <c r="A173" s="373">
        <v>9716.7749999999996</v>
      </c>
      <c r="B173" s="390">
        <f t="shared" si="75"/>
        <v>9.7167750000000002</v>
      </c>
      <c r="C173" s="363">
        <f t="shared" si="54"/>
        <v>12.806390651135242</v>
      </c>
      <c r="D173" s="364">
        <f t="shared" si="55"/>
        <v>1.4926307402979437</v>
      </c>
      <c r="E173" s="364">
        <f t="shared" si="56"/>
        <v>1.0637271705460065</v>
      </c>
      <c r="F173" s="365">
        <f t="shared" si="57"/>
        <v>0.3479001335929679</v>
      </c>
      <c r="G173" s="364">
        <f t="shared" si="58"/>
        <v>1.004654564638692</v>
      </c>
      <c r="H173" s="365">
        <f t="shared" si="59"/>
        <v>-9.6297268031574471E-2</v>
      </c>
      <c r="I173" s="363">
        <f t="shared" si="60"/>
        <v>32976.2686172459</v>
      </c>
      <c r="J173" s="366">
        <f t="shared" si="61"/>
        <v>1.5707660019570031</v>
      </c>
      <c r="K173" s="374">
        <f t="shared" si="82"/>
        <v>8.0898107073875209</v>
      </c>
      <c r="L173" s="375">
        <f t="shared" si="83"/>
        <v>1.4468670564680008</v>
      </c>
      <c r="M173" s="363">
        <f t="shared" si="64"/>
        <v>1.0310969602348334</v>
      </c>
      <c r="N173" s="366">
        <f t="shared" si="65"/>
        <v>0.24621913078209598</v>
      </c>
      <c r="O173" s="367">
        <f t="shared" si="66"/>
        <v>1.0033197947573287</v>
      </c>
      <c r="P173" s="368">
        <f t="shared" si="67"/>
        <v>0.11013161509591418</v>
      </c>
      <c r="Q173" s="369">
        <f t="shared" si="68"/>
        <v>-7.4813392591458481</v>
      </c>
      <c r="R173" s="370">
        <f t="shared" si="69"/>
        <v>-98.621940020976695</v>
      </c>
      <c r="S173" s="372">
        <f t="shared" si="70"/>
        <v>81.378059979023305</v>
      </c>
      <c r="U173" s="345">
        <f t="shared" si="76"/>
        <v>9716.7749999999996</v>
      </c>
      <c r="V173" s="345">
        <f t="shared" si="77"/>
        <v>94415716.40062499</v>
      </c>
      <c r="X173" s="371">
        <f t="shared" si="71"/>
        <v>15.625421154130365</v>
      </c>
      <c r="Y173" s="372">
        <f t="shared" si="72"/>
        <v>-21.206203716066653</v>
      </c>
      <c r="AA173" s="371">
        <f t="shared" si="73"/>
        <v>22.913839500003409</v>
      </c>
      <c r="AB173" s="372">
        <f t="shared" si="74"/>
        <v>-77.415736304910041</v>
      </c>
      <c r="AD173">
        <f t="shared" si="78"/>
        <v>0</v>
      </c>
      <c r="AE173">
        <f t="shared" si="81"/>
        <v>0</v>
      </c>
    </row>
    <row r="174" spans="1:31" x14ac:dyDescent="0.2">
      <c r="A174" s="373">
        <v>9772.4</v>
      </c>
      <c r="B174" s="390">
        <f t="shared" si="75"/>
        <v>9.7723999999999993</v>
      </c>
      <c r="C174" s="363">
        <f t="shared" si="54"/>
        <v>12.879256826620427</v>
      </c>
      <c r="D174" s="364">
        <f t="shared" si="55"/>
        <v>1.4930738680971738</v>
      </c>
      <c r="E174" s="364">
        <f t="shared" si="56"/>
        <v>1.0644367336618492</v>
      </c>
      <c r="F174" s="365">
        <f t="shared" si="57"/>
        <v>0.34973365706534465</v>
      </c>
      <c r="G174" s="364">
        <f t="shared" si="58"/>
        <v>1.0047078833344956</v>
      </c>
      <c r="H174" s="365">
        <f t="shared" si="59"/>
        <v>-9.6845104115366246E-2</v>
      </c>
      <c r="I174" s="363">
        <f t="shared" si="60"/>
        <v>33165.045751650294</v>
      </c>
      <c r="J174" s="366">
        <f t="shared" si="61"/>
        <v>1.5707661745675292</v>
      </c>
      <c r="K174" s="374">
        <f t="shared" si="82"/>
        <v>8.1354162770229941</v>
      </c>
      <c r="L174" s="375">
        <f t="shared" si="83"/>
        <v>1.4475653282833207</v>
      </c>
      <c r="M174" s="363">
        <f t="shared" si="64"/>
        <v>1.0314485726782237</v>
      </c>
      <c r="N174" s="366">
        <f t="shared" si="65"/>
        <v>0.24757190470086321</v>
      </c>
      <c r="O174" s="367">
        <f t="shared" si="66"/>
        <v>1.0033578930453484</v>
      </c>
      <c r="P174" s="368">
        <f t="shared" si="67"/>
        <v>0.11076043898429623</v>
      </c>
      <c r="Q174" s="369">
        <f t="shared" si="68"/>
        <v>-7.528412070845909</v>
      </c>
      <c r="R174" s="370">
        <f t="shared" si="69"/>
        <v>-98.647203965473167</v>
      </c>
      <c r="S174" s="372">
        <f t="shared" si="70"/>
        <v>81.352796034526833</v>
      </c>
      <c r="U174" s="345">
        <f t="shared" si="76"/>
        <v>9772.4</v>
      </c>
      <c r="V174" s="345">
        <f t="shared" si="77"/>
        <v>95499801.75999999</v>
      </c>
      <c r="X174" s="371">
        <f t="shared" si="71"/>
        <v>15.621706333690071</v>
      </c>
      <c r="Y174" s="372">
        <f t="shared" si="72"/>
        <v>-21.243713814174129</v>
      </c>
      <c r="AA174" s="371">
        <f t="shared" si="73"/>
        <v>22.870481508743644</v>
      </c>
      <c r="AB174" s="372">
        <f t="shared" si="74"/>
        <v>-77.403490151299039</v>
      </c>
      <c r="AD174">
        <f t="shared" si="78"/>
        <v>0</v>
      </c>
      <c r="AE174">
        <f t="shared" si="81"/>
        <v>0</v>
      </c>
    </row>
    <row r="175" spans="1:31" x14ac:dyDescent="0.2">
      <c r="A175" s="373">
        <v>9829.2999999999993</v>
      </c>
      <c r="B175" s="390">
        <f t="shared" si="75"/>
        <v>9.8292999999999999</v>
      </c>
      <c r="C175" s="363">
        <f t="shared" si="54"/>
        <v>12.953795779935501</v>
      </c>
      <c r="D175" s="364">
        <f t="shared" si="55"/>
        <v>1.4935219949186518</v>
      </c>
      <c r="E175" s="364">
        <f t="shared" si="56"/>
        <v>1.0651662583303279</v>
      </c>
      <c r="F175" s="365">
        <f t="shared" si="57"/>
        <v>0.35160667346029528</v>
      </c>
      <c r="G175" s="364">
        <f t="shared" si="58"/>
        <v>1.0047627361171507</v>
      </c>
      <c r="H175" s="365">
        <f t="shared" si="59"/>
        <v>-9.7405437010925189E-2</v>
      </c>
      <c r="I175" s="363">
        <f t="shared" si="60"/>
        <v>33358.149912507222</v>
      </c>
      <c r="J175" s="366">
        <f t="shared" si="61"/>
        <v>1.5707663491131976</v>
      </c>
      <c r="K175" s="374">
        <f t="shared" si="82"/>
        <v>8.1820712456481957</v>
      </c>
      <c r="L175" s="375">
        <f t="shared" si="83"/>
        <v>1.4482715512857411</v>
      </c>
      <c r="M175" s="363">
        <f t="shared" si="64"/>
        <v>1.0318101961461288</v>
      </c>
      <c r="N175" s="366">
        <f t="shared" si="65"/>
        <v>0.24895472950579323</v>
      </c>
      <c r="O175" s="367">
        <f t="shared" si="66"/>
        <v>1.0033970891421096</v>
      </c>
      <c r="P175" s="368">
        <f t="shared" si="67"/>
        <v>0.11140364742396439</v>
      </c>
      <c r="Q175" s="369">
        <f t="shared" si="68"/>
        <v>-7.5762533751898529</v>
      </c>
      <c r="R175" s="370">
        <f t="shared" si="69"/>
        <v>-98.673298074073728</v>
      </c>
      <c r="S175" s="372">
        <f t="shared" si="70"/>
        <v>81.326701925926272</v>
      </c>
      <c r="U175" s="345">
        <f t="shared" si="76"/>
        <v>9829.2999999999993</v>
      </c>
      <c r="V175" s="345">
        <f t="shared" si="77"/>
        <v>96615138.48999998</v>
      </c>
      <c r="X175" s="371">
        <f t="shared" si="71"/>
        <v>15.617904043563042</v>
      </c>
      <c r="Y175" s="372">
        <f t="shared" si="72"/>
        <v>-21.282490242643306</v>
      </c>
      <c r="AA175" s="371">
        <f t="shared" si="73"/>
        <v>22.826442494526727</v>
      </c>
      <c r="AB175" s="372">
        <f t="shared" si="74"/>
        <v>-77.390807831430436</v>
      </c>
      <c r="AD175">
        <f t="shared" si="78"/>
        <v>0</v>
      </c>
      <c r="AE175">
        <f t="shared" si="81"/>
        <v>0</v>
      </c>
    </row>
    <row r="176" spans="1:31" x14ac:dyDescent="0.2">
      <c r="A176" s="373">
        <v>9886.2000000000007</v>
      </c>
      <c r="B176" s="390">
        <f t="shared" si="75"/>
        <v>9.8862000000000005</v>
      </c>
      <c r="C176" s="363">
        <f t="shared" si="54"/>
        <v>13.028337304834888</v>
      </c>
      <c r="D176" s="364">
        <f t="shared" si="55"/>
        <v>1.4939649939203876</v>
      </c>
      <c r="E176" s="364">
        <f t="shared" si="56"/>
        <v>1.0658995146821224</v>
      </c>
      <c r="F176" s="365">
        <f t="shared" si="57"/>
        <v>0.35347711942905397</v>
      </c>
      <c r="G176" s="364">
        <f t="shared" si="58"/>
        <v>1.0048179043336294</v>
      </c>
      <c r="H176" s="365">
        <f t="shared" si="59"/>
        <v>-9.7965708553684597E-2</v>
      </c>
      <c r="I176" s="363">
        <f t="shared" si="60"/>
        <v>33551.254073365155</v>
      </c>
      <c r="J176" s="366">
        <f t="shared" si="61"/>
        <v>1.5707665216496713</v>
      </c>
      <c r="K176" s="374">
        <f t="shared" si="82"/>
        <v>8.2287302488133225</v>
      </c>
      <c r="L176" s="375">
        <f t="shared" si="83"/>
        <v>1.4489697657033493</v>
      </c>
      <c r="M176" s="363">
        <f t="shared" si="64"/>
        <v>1.0321737912613644</v>
      </c>
      <c r="N176" s="366">
        <f t="shared" si="65"/>
        <v>0.25033658271960868</v>
      </c>
      <c r="O176" s="367">
        <f t="shared" si="66"/>
        <v>1.0034365123196383</v>
      </c>
      <c r="P176" s="368">
        <f t="shared" si="67"/>
        <v>0.11204682642971098</v>
      </c>
      <c r="Q176" s="369">
        <f t="shared" si="68"/>
        <v>-7.6237843181185525</v>
      </c>
      <c r="R176" s="370">
        <f t="shared" si="69"/>
        <v>-98.699643528042571</v>
      </c>
      <c r="S176" s="372">
        <f t="shared" si="70"/>
        <v>81.300356471957429</v>
      </c>
      <c r="U176" s="345">
        <f t="shared" si="76"/>
        <v>9886.2000000000007</v>
      </c>
      <c r="V176" s="345">
        <f t="shared" si="77"/>
        <v>97736950.440000013</v>
      </c>
      <c r="X176" s="371">
        <f t="shared" si="71"/>
        <v>15.614099142777018</v>
      </c>
      <c r="Y176" s="372">
        <f t="shared" si="72"/>
        <v>-21.321669746033916</v>
      </c>
      <c r="AA176" s="371">
        <f t="shared" si="73"/>
        <v>22.782716452384051</v>
      </c>
      <c r="AB176" s="372">
        <f t="shared" si="74"/>
        <v>-77.377973782008695</v>
      </c>
      <c r="AD176">
        <f t="shared" si="78"/>
        <v>0</v>
      </c>
      <c r="AE176">
        <f t="shared" si="81"/>
        <v>0</v>
      </c>
    </row>
    <row r="177" spans="1:31" x14ac:dyDescent="0.2">
      <c r="A177" s="373">
        <v>9943.1</v>
      </c>
      <c r="B177" s="390">
        <f t="shared" si="75"/>
        <v>9.9431000000000012</v>
      </c>
      <c r="C177" s="363">
        <f t="shared" si="54"/>
        <v>13.102881357429808</v>
      </c>
      <c r="D177" s="364">
        <f t="shared" si="55"/>
        <v>1.4944029524455711</v>
      </c>
      <c r="E177" s="364">
        <f t="shared" si="56"/>
        <v>1.0666364950212261</v>
      </c>
      <c r="F177" s="365">
        <f t="shared" si="57"/>
        <v>0.35534498719848717</v>
      </c>
      <c r="G177" s="364">
        <f t="shared" si="58"/>
        <v>1.0048733879319793</v>
      </c>
      <c r="H177" s="365">
        <f t="shared" si="59"/>
        <v>-9.8525918402035284E-2</v>
      </c>
      <c r="I177" s="363">
        <f t="shared" si="60"/>
        <v>33744.35823422407</v>
      </c>
      <c r="J177" s="366">
        <f t="shared" si="61"/>
        <v>1.570766692211444</v>
      </c>
      <c r="K177" s="374">
        <f t="shared" si="82"/>
        <v>8.2753932182747469</v>
      </c>
      <c r="L177" s="375">
        <f t="shared" si="83"/>
        <v>1.4496601063250592</v>
      </c>
      <c r="M177" s="363">
        <f t="shared" si="64"/>
        <v>1.0325393559410623</v>
      </c>
      <c r="N177" s="366">
        <f t="shared" si="65"/>
        <v>0.25171746009415863</v>
      </c>
      <c r="O177" s="367">
        <f t="shared" si="66"/>
        <v>1.0034761625697104</v>
      </c>
      <c r="P177" s="368">
        <f t="shared" si="67"/>
        <v>0.1126899758344241</v>
      </c>
      <c r="Q177" s="369">
        <f t="shared" si="68"/>
        <v>-7.6710085001069857</v>
      </c>
      <c r="R177" s="370">
        <f t="shared" si="69"/>
        <v>-98.726237783735428</v>
      </c>
      <c r="S177" s="372">
        <f t="shared" si="70"/>
        <v>81.273762216264572</v>
      </c>
      <c r="U177" s="345">
        <f t="shared" si="76"/>
        <v>9943.1</v>
      </c>
      <c r="V177" s="345">
        <f t="shared" si="77"/>
        <v>98865237.610000014</v>
      </c>
      <c r="X177" s="371">
        <f t="shared" si="71"/>
        <v>15.610291374473297</v>
      </c>
      <c r="Y177" s="372">
        <f t="shared" si="72"/>
        <v>-21.361244360085259</v>
      </c>
      <c r="AA177" s="371">
        <f t="shared" si="73"/>
        <v>22.739300038699341</v>
      </c>
      <c r="AB177" s="372">
        <f t="shared" si="74"/>
        <v>-77.364993423650205</v>
      </c>
      <c r="AD177">
        <f t="shared" si="78"/>
        <v>0</v>
      </c>
      <c r="AE177">
        <f t="shared" si="81"/>
        <v>0</v>
      </c>
    </row>
    <row r="178" spans="1:31" x14ac:dyDescent="0.2">
      <c r="A178" s="373">
        <v>10000</v>
      </c>
      <c r="B178" s="390">
        <f t="shared" si="75"/>
        <v>10</v>
      </c>
      <c r="C178" s="363">
        <f t="shared" si="54"/>
        <v>13.17742789482312</v>
      </c>
      <c r="D178" s="364">
        <f t="shared" si="55"/>
        <v>1.4948359558687774</v>
      </c>
      <c r="E178" s="364">
        <f t="shared" si="56"/>
        <v>1.0673771916338559</v>
      </c>
      <c r="F178" s="365">
        <f t="shared" si="57"/>
        <v>0.35721026908883591</v>
      </c>
      <c r="G178" s="364">
        <f t="shared" si="58"/>
        <v>1.0049291868599621</v>
      </c>
      <c r="H178" s="365">
        <f t="shared" si="59"/>
        <v>-9.9086066214598256E-2</v>
      </c>
      <c r="I178" s="363">
        <f t="shared" si="60"/>
        <v>33937.462395083952</v>
      </c>
      <c r="J178" s="366">
        <f t="shared" si="61"/>
        <v>1.5707668608322238</v>
      </c>
      <c r="K178" s="374">
        <f t="shared" si="82"/>
        <v>8.322060087313714</v>
      </c>
      <c r="L178" s="375">
        <f t="shared" si="83"/>
        <v>1.4503427049468169</v>
      </c>
      <c r="M178" s="363">
        <f t="shared" si="64"/>
        <v>1.0329068880940269</v>
      </c>
      <c r="N178" s="366">
        <f t="shared" si="65"/>
        <v>0.25309735740217593</v>
      </c>
      <c r="O178" s="367">
        <f t="shared" si="66"/>
        <v>1.0035160398840564</v>
      </c>
      <c r="P178" s="368">
        <f t="shared" si="67"/>
        <v>0.11333309547104796</v>
      </c>
      <c r="Q178" s="369">
        <f t="shared" si="68"/>
        <v>-7.7179294596327299</v>
      </c>
      <c r="R178" s="370">
        <f t="shared" si="69"/>
        <v>-98.753078352016956</v>
      </c>
      <c r="S178" s="372">
        <f t="shared" si="70"/>
        <v>81.246921647983044</v>
      </c>
      <c r="U178" s="345">
        <f t="shared" si="76"/>
        <v>10000</v>
      </c>
      <c r="V178" s="345">
        <f t="shared" si="77"/>
        <v>100000000</v>
      </c>
      <c r="X178" s="371">
        <f t="shared" si="71"/>
        <v>15.606480490049321</v>
      </c>
      <c r="Y178" s="372">
        <f t="shared" si="72"/>
        <v>-21.401206293172638</v>
      </c>
      <c r="AA178" s="371">
        <f t="shared" si="73"/>
        <v>22.696189963597572</v>
      </c>
      <c r="AB178" s="372">
        <f t="shared" si="74"/>
        <v>-77.351872058844336</v>
      </c>
      <c r="AD178">
        <f t="shared" si="78"/>
        <v>0</v>
      </c>
      <c r="AE178">
        <f t="shared" si="81"/>
        <v>0</v>
      </c>
    </row>
    <row r="179" spans="1:31" x14ac:dyDescent="0.2">
      <c r="A179" s="373">
        <v>10058.25</v>
      </c>
      <c r="B179" s="390">
        <f t="shared" si="75"/>
        <v>10.058249999999999</v>
      </c>
      <c r="C179" s="363">
        <f t="shared" si="54"/>
        <v>13.253745641200844</v>
      </c>
      <c r="D179" s="364">
        <f t="shared" si="55"/>
        <v>1.4952741869440682</v>
      </c>
      <c r="E179" s="364">
        <f t="shared" si="56"/>
        <v>1.0681393033969959</v>
      </c>
      <c r="F179" s="365">
        <f t="shared" si="57"/>
        <v>0.35911711979381694</v>
      </c>
      <c r="G179" s="364">
        <f t="shared" si="58"/>
        <v>1.0049866362498261</v>
      </c>
      <c r="H179" s="365">
        <f t="shared" si="59"/>
        <v>-9.9659439384421941E-2</v>
      </c>
      <c r="I179" s="363">
        <f t="shared" si="60"/>
        <v>34135.148113364179</v>
      </c>
      <c r="J179" s="366">
        <f t="shared" si="61"/>
        <v>1.5707670314774478</v>
      </c>
      <c r="K179" s="374">
        <f t="shared" si="82"/>
        <v>8.3698381381326712</v>
      </c>
      <c r="L179" s="375">
        <f t="shared" si="83"/>
        <v>1.4510336136301474</v>
      </c>
      <c r="M179" s="363">
        <f t="shared" si="64"/>
        <v>1.0332851761090567</v>
      </c>
      <c r="N179" s="366">
        <f t="shared" si="65"/>
        <v>0.25450897431248498</v>
      </c>
      <c r="O179" s="367">
        <f t="shared" si="66"/>
        <v>1.0035570985214088</v>
      </c>
      <c r="P179" s="368">
        <f t="shared" si="67"/>
        <v>0.1139914426476914</v>
      </c>
      <c r="Q179" s="369">
        <f t="shared" si="68"/>
        <v>-7.7656531897874492</v>
      </c>
      <c r="R179" s="370">
        <f t="shared" si="69"/>
        <v>-98.780808339867633</v>
      </c>
      <c r="S179" s="372">
        <f t="shared" si="70"/>
        <v>81.219191660132367</v>
      </c>
      <c r="U179" s="345">
        <f t="shared" si="76"/>
        <v>10058.25</v>
      </c>
      <c r="V179" s="345">
        <f t="shared" si="77"/>
        <v>101168393.0625</v>
      </c>
      <c r="X179" s="371">
        <f t="shared" si="71"/>
        <v>15.602575710142297</v>
      </c>
      <c r="Y179" s="372">
        <f t="shared" si="72"/>
        <v>-21.442509610137183</v>
      </c>
      <c r="AA179" s="371">
        <f t="shared" si="73"/>
        <v>22.652371013349878</v>
      </c>
      <c r="AB179" s="372">
        <f t="shared" si="74"/>
        <v>-77.338298729730468</v>
      </c>
      <c r="AD179">
        <f t="shared" si="78"/>
        <v>0</v>
      </c>
      <c r="AE179">
        <f t="shared" si="81"/>
        <v>0</v>
      </c>
    </row>
    <row r="180" spans="1:31" x14ac:dyDescent="0.2">
      <c r="A180" s="373">
        <v>10116.5</v>
      </c>
      <c r="B180" s="390">
        <f t="shared" si="75"/>
        <v>10.1165</v>
      </c>
      <c r="C180" s="363">
        <f t="shared" si="54"/>
        <v>13.330065903768141</v>
      </c>
      <c r="D180" s="364">
        <f t="shared" si="55"/>
        <v>1.4957073999854285</v>
      </c>
      <c r="E180" s="364">
        <f t="shared" si="56"/>
        <v>1.0689052934532213</v>
      </c>
      <c r="F180" s="365">
        <f t="shared" si="57"/>
        <v>0.36102124447098843</v>
      </c>
      <c r="G180" s="364">
        <f t="shared" si="58"/>
        <v>1.0050444159980376</v>
      </c>
      <c r="H180" s="365">
        <f t="shared" si="59"/>
        <v>-0.10023274681655052</v>
      </c>
      <c r="I180" s="363">
        <f t="shared" si="60"/>
        <v>34332.833831645381</v>
      </c>
      <c r="J180" s="366">
        <f t="shared" si="61"/>
        <v>1.5707672001575488</v>
      </c>
      <c r="K180" s="374">
        <f t="shared" si="82"/>
        <v>8.4176201389777692</v>
      </c>
      <c r="L180" s="375">
        <f t="shared" si="83"/>
        <v>1.45171667885194</v>
      </c>
      <c r="M180" s="363">
        <f t="shared" si="64"/>
        <v>1.0336655216030652</v>
      </c>
      <c r="N180" s="366">
        <f t="shared" si="65"/>
        <v>0.25591955520042681</v>
      </c>
      <c r="O180" s="367">
        <f t="shared" si="66"/>
        <v>1.0035983951077452</v>
      </c>
      <c r="P180" s="368">
        <f t="shared" si="67"/>
        <v>0.11464975827281715</v>
      </c>
      <c r="Q180" s="369">
        <f t="shared" si="68"/>
        <v>-7.813066450276466</v>
      </c>
      <c r="R180" s="370">
        <f t="shared" si="69"/>
        <v>-98.808791356120537</v>
      </c>
      <c r="S180" s="372">
        <f t="shared" si="70"/>
        <v>81.191208643879463</v>
      </c>
      <c r="U180" s="345">
        <f t="shared" si="76"/>
        <v>10116.5</v>
      </c>
      <c r="V180" s="345">
        <f t="shared" si="77"/>
        <v>102343572.25</v>
      </c>
      <c r="X180" s="371">
        <f t="shared" si="71"/>
        <v>15.598667162582021</v>
      </c>
      <c r="Y180" s="372">
        <f t="shared" si="72"/>
        <v>-21.484202852042703</v>
      </c>
      <c r="AA180" s="371">
        <f t="shared" si="73"/>
        <v>22.608866300421138</v>
      </c>
      <c r="AB180" s="372">
        <f t="shared" si="74"/>
        <v>-77.324588504077823</v>
      </c>
      <c r="AD180">
        <f t="shared" si="78"/>
        <v>0</v>
      </c>
      <c r="AE180">
        <f t="shared" si="81"/>
        <v>0</v>
      </c>
    </row>
    <row r="181" spans="1:31" x14ac:dyDescent="0.2">
      <c r="A181" s="373">
        <v>10174.75</v>
      </c>
      <c r="B181" s="390">
        <f t="shared" si="75"/>
        <v>10.17475</v>
      </c>
      <c r="C181" s="363">
        <f t="shared" si="54"/>
        <v>13.40638863955231</v>
      </c>
      <c r="D181" s="364">
        <f t="shared" si="55"/>
        <v>1.4961356805320356</v>
      </c>
      <c r="E181" s="364">
        <f t="shared" si="56"/>
        <v>1.069675153470842</v>
      </c>
      <c r="F181" s="365">
        <f t="shared" si="57"/>
        <v>0.36292263518398094</v>
      </c>
      <c r="G181" s="364">
        <f t="shared" si="58"/>
        <v>1.005102526047623</v>
      </c>
      <c r="H181" s="365">
        <f t="shared" si="59"/>
        <v>-0.10080598814548271</v>
      </c>
      <c r="I181" s="363">
        <f t="shared" si="60"/>
        <v>34530.519549927551</v>
      </c>
      <c r="J181" s="366">
        <f t="shared" si="61"/>
        <v>1.5707673669062772</v>
      </c>
      <c r="K181" s="374">
        <f t="shared" si="82"/>
        <v>8.4654060229626129</v>
      </c>
      <c r="L181" s="375">
        <f t="shared" si="83"/>
        <v>1.4523920327946453</v>
      </c>
      <c r="M181" s="363">
        <f t="shared" si="64"/>
        <v>1.0340479223056953</v>
      </c>
      <c r="N181" s="366">
        <f t="shared" si="65"/>
        <v>0.25732909559895129</v>
      </c>
      <c r="O181" s="367">
        <f t="shared" si="66"/>
        <v>1.0036399296340437</v>
      </c>
      <c r="P181" s="368">
        <f t="shared" si="67"/>
        <v>0.11530804216737923</v>
      </c>
      <c r="Q181" s="369">
        <f t="shared" si="68"/>
        <v>-7.8601728449082211</v>
      </c>
      <c r="R181" s="370">
        <f t="shared" si="69"/>
        <v>-98.837024897823696</v>
      </c>
      <c r="S181" s="372">
        <f t="shared" si="70"/>
        <v>81.162975102176304</v>
      </c>
      <c r="U181" s="345">
        <f t="shared" si="76"/>
        <v>10174.75</v>
      </c>
      <c r="V181" s="345">
        <f t="shared" si="77"/>
        <v>103525537.5625</v>
      </c>
      <c r="X181" s="371">
        <f t="shared" si="71"/>
        <v>15.594754605793053</v>
      </c>
      <c r="Y181" s="372">
        <f t="shared" si="72"/>
        <v>-21.526278191383266</v>
      </c>
      <c r="AA181" s="371">
        <f t="shared" si="73"/>
        <v>22.565672462578348</v>
      </c>
      <c r="AB181" s="372">
        <f t="shared" si="74"/>
        <v>-77.31074670644044</v>
      </c>
      <c r="AD181">
        <f t="shared" si="78"/>
        <v>0</v>
      </c>
      <c r="AE181">
        <f t="shared" si="81"/>
        <v>0</v>
      </c>
    </row>
    <row r="182" spans="1:31" x14ac:dyDescent="0.2">
      <c r="A182" s="373">
        <v>10233</v>
      </c>
      <c r="B182" s="390">
        <f t="shared" si="75"/>
        <v>10.233000000000001</v>
      </c>
      <c r="C182" s="363">
        <f t="shared" si="54"/>
        <v>13.482713806552306</v>
      </c>
      <c r="D182" s="364">
        <f t="shared" si="55"/>
        <v>1.496559112193462</v>
      </c>
      <c r="E182" s="364">
        <f t="shared" si="56"/>
        <v>1.0704488751001033</v>
      </c>
      <c r="F182" s="365">
        <f t="shared" si="57"/>
        <v>0.36482128409827042</v>
      </c>
      <c r="G182" s="364">
        <f t="shared" si="58"/>
        <v>1.0051609663412968</v>
      </c>
      <c r="H182" s="365">
        <f t="shared" si="59"/>
        <v>-0.10137916300597531</v>
      </c>
      <c r="I182" s="363">
        <f t="shared" si="60"/>
        <v>34728.205268210673</v>
      </c>
      <c r="J182" s="366">
        <f t="shared" si="61"/>
        <v>1.5707675317566154</v>
      </c>
      <c r="K182" s="374">
        <f t="shared" si="82"/>
        <v>8.5131957246972156</v>
      </c>
      <c r="L182" s="375">
        <f t="shared" si="83"/>
        <v>1.4530598047011356</v>
      </c>
      <c r="M182" s="363">
        <f t="shared" si="64"/>
        <v>1.0344323759376874</v>
      </c>
      <c r="N182" s="366">
        <f t="shared" si="65"/>
        <v>0.25873759106413402</v>
      </c>
      <c r="O182" s="367">
        <f t="shared" si="66"/>
        <v>1.0036817020912328</v>
      </c>
      <c r="P182" s="368">
        <f t="shared" si="67"/>
        <v>0.11596629415239486</v>
      </c>
      <c r="Q182" s="369">
        <f t="shared" si="68"/>
        <v>-7.9069759155698724</v>
      </c>
      <c r="R182" s="370">
        <f t="shared" si="69"/>
        <v>-98.865506515356671</v>
      </c>
      <c r="S182" s="372">
        <f t="shared" si="70"/>
        <v>81.134493484643329</v>
      </c>
      <c r="U182" s="345">
        <f t="shared" si="76"/>
        <v>10233</v>
      </c>
      <c r="V182" s="345">
        <f t="shared" si="77"/>
        <v>104714289</v>
      </c>
      <c r="X182" s="371">
        <f t="shared" si="71"/>
        <v>15.590837806127102</v>
      </c>
      <c r="Y182" s="372">
        <f t="shared" si="72"/>
        <v>-21.568727970359394</v>
      </c>
      <c r="AA182" s="371">
        <f t="shared" si="73"/>
        <v>22.52278619158265</v>
      </c>
      <c r="AB182" s="372">
        <f t="shared" si="74"/>
        <v>-77.296778544997267</v>
      </c>
      <c r="AD182">
        <f t="shared" si="78"/>
        <v>0</v>
      </c>
      <c r="AE182">
        <f t="shared" si="81"/>
        <v>0</v>
      </c>
    </row>
    <row r="183" spans="1:31" x14ac:dyDescent="0.2">
      <c r="A183" s="373">
        <v>10292.5</v>
      </c>
      <c r="B183" s="390">
        <f t="shared" si="75"/>
        <v>10.2925</v>
      </c>
      <c r="C183" s="363">
        <f t="shared" si="54"/>
        <v>13.560679320020387</v>
      </c>
      <c r="D183" s="364">
        <f t="shared" si="55"/>
        <v>1.4969867092666904</v>
      </c>
      <c r="E183" s="364">
        <f t="shared" si="56"/>
        <v>1.0712431782987721</v>
      </c>
      <c r="F183" s="365">
        <f t="shared" si="57"/>
        <v>0.36675783782606053</v>
      </c>
      <c r="G183" s="364">
        <f t="shared" si="58"/>
        <v>1.0052210016089347</v>
      </c>
      <c r="H183" s="365">
        <f t="shared" si="59"/>
        <v>-0.10196456875338189</v>
      </c>
      <c r="I183" s="363">
        <f t="shared" si="60"/>
        <v>34930.13316929053</v>
      </c>
      <c r="J183" s="366">
        <f t="shared" si="61"/>
        <v>1.5707676982180947</v>
      </c>
      <c r="K183" s="374">
        <f t="shared" si="82"/>
        <v>8.5620148315576898</v>
      </c>
      <c r="L183" s="375">
        <f t="shared" si="83"/>
        <v>1.4537342100371098</v>
      </c>
      <c r="M183" s="363">
        <f t="shared" si="64"/>
        <v>1.0348271967518596</v>
      </c>
      <c r="N183" s="366">
        <f t="shared" si="65"/>
        <v>0.26017522834817225</v>
      </c>
      <c r="O183" s="367">
        <f t="shared" si="66"/>
        <v>1.0037246165879901</v>
      </c>
      <c r="P183" s="368">
        <f t="shared" si="67"/>
        <v>0.11663863858642216</v>
      </c>
      <c r="Q183" s="369">
        <f t="shared" si="68"/>
        <v>-7.9544738061711939</v>
      </c>
      <c r="R183" s="370">
        <f t="shared" si="69"/>
        <v>-98.894852951647422</v>
      </c>
      <c r="S183" s="372">
        <f t="shared" si="70"/>
        <v>81.105147048352578</v>
      </c>
      <c r="U183" s="345">
        <f t="shared" si="76"/>
        <v>10292.5</v>
      </c>
      <c r="V183" s="345">
        <f t="shared" si="77"/>
        <v>105935556.25</v>
      </c>
      <c r="X183" s="371">
        <f t="shared" si="71"/>
        <v>15.586832339603049</v>
      </c>
      <c r="Y183" s="372">
        <f t="shared" si="72"/>
        <v>-21.6124674773632</v>
      </c>
      <c r="AA183" s="371">
        <f t="shared" si="73"/>
        <v>22.479293767505379</v>
      </c>
      <c r="AB183" s="372">
        <f t="shared" si="74"/>
        <v>-77.282385474284226</v>
      </c>
      <c r="AD183">
        <f t="shared" si="78"/>
        <v>0</v>
      </c>
      <c r="AE183">
        <f t="shared" si="81"/>
        <v>0</v>
      </c>
    </row>
    <row r="184" spans="1:31" x14ac:dyDescent="0.2">
      <c r="A184" s="373">
        <v>10352</v>
      </c>
      <c r="B184" s="390">
        <f t="shared" si="75"/>
        <v>10.352</v>
      </c>
      <c r="C184" s="363">
        <f t="shared" si="54"/>
        <v>13.638647284565407</v>
      </c>
      <c r="D184" s="364">
        <f t="shared" si="55"/>
        <v>1.4974094175337622</v>
      </c>
      <c r="E184" s="364">
        <f t="shared" si="56"/>
        <v>1.0720414929548223</v>
      </c>
      <c r="F184" s="365">
        <f t="shared" si="57"/>
        <v>0.36869151461866617</v>
      </c>
      <c r="G184" s="364">
        <f t="shared" si="58"/>
        <v>1.0052813813244836</v>
      </c>
      <c r="H184" s="365">
        <f t="shared" si="59"/>
        <v>-0.10254990437949447</v>
      </c>
      <c r="I184" s="363">
        <f t="shared" si="60"/>
        <v>35132.061070371339</v>
      </c>
      <c r="J184" s="366">
        <f t="shared" si="61"/>
        <v>1.5707678627660391</v>
      </c>
      <c r="K184" s="374">
        <f t="shared" si="82"/>
        <v>8.6108377884583476</v>
      </c>
      <c r="L184" s="375">
        <f t="shared" si="83"/>
        <v>1.4544009679942518</v>
      </c>
      <c r="M184" s="363">
        <f t="shared" si="64"/>
        <v>1.0352241547138925</v>
      </c>
      <c r="N184" s="366">
        <f t="shared" si="65"/>
        <v>0.26161176607182313</v>
      </c>
      <c r="O184" s="367">
        <f t="shared" si="66"/>
        <v>1.0037677793175368</v>
      </c>
      <c r="P184" s="368">
        <f t="shared" si="67"/>
        <v>0.11731094934940133</v>
      </c>
      <c r="Q184" s="369">
        <f t="shared" si="68"/>
        <v>-8.0016624939088423</v>
      </c>
      <c r="R184" s="370">
        <f t="shared" si="69"/>
        <v>-98.924453222084139</v>
      </c>
      <c r="S184" s="372">
        <f t="shared" si="70"/>
        <v>81.075546777915861</v>
      </c>
      <c r="U184" s="345">
        <f t="shared" si="76"/>
        <v>10352</v>
      </c>
      <c r="V184" s="345">
        <f t="shared" si="77"/>
        <v>107163904</v>
      </c>
      <c r="X184" s="371">
        <f t="shared" si="71"/>
        <v>15.582821977531831</v>
      </c>
      <c r="Y184" s="372">
        <f t="shared" si="72"/>
        <v>-21.656582037091876</v>
      </c>
      <c r="AA184" s="371">
        <f t="shared" si="73"/>
        <v>22.43611544183895</v>
      </c>
      <c r="AB184" s="372">
        <f t="shared" si="74"/>
        <v>-77.267871184992259</v>
      </c>
      <c r="AD184">
        <f t="shared" si="78"/>
        <v>0</v>
      </c>
      <c r="AE184">
        <f t="shared" si="81"/>
        <v>0</v>
      </c>
    </row>
    <row r="185" spans="1:31" x14ac:dyDescent="0.2">
      <c r="A185" s="373">
        <v>10411.5</v>
      </c>
      <c r="B185" s="390">
        <f t="shared" si="75"/>
        <v>10.4115</v>
      </c>
      <c r="C185" s="363">
        <f t="shared" si="54"/>
        <v>13.716617658390151</v>
      </c>
      <c r="D185" s="364">
        <f t="shared" si="55"/>
        <v>1.4978273202117096</v>
      </c>
      <c r="E185" s="364">
        <f t="shared" si="56"/>
        <v>1.0728438101133477</v>
      </c>
      <c r="F185" s="365">
        <f t="shared" si="57"/>
        <v>0.37062230645410166</v>
      </c>
      <c r="G185" s="364">
        <f t="shared" si="58"/>
        <v>1.0053421054258824</v>
      </c>
      <c r="H185" s="365">
        <f t="shared" si="59"/>
        <v>-0.10313516949589079</v>
      </c>
      <c r="I185" s="363">
        <f t="shared" si="60"/>
        <v>35333.988971453102</v>
      </c>
      <c r="J185" s="366">
        <f t="shared" si="61"/>
        <v>1.5707680254332548</v>
      </c>
      <c r="K185" s="374">
        <f t="shared" si="82"/>
        <v>8.6596645302799189</v>
      </c>
      <c r="L185" s="375">
        <f t="shared" si="83"/>
        <v>1.4550602073318337</v>
      </c>
      <c r="M185" s="363">
        <f t="shared" si="64"/>
        <v>1.0356232473662572</v>
      </c>
      <c r="N185" s="366">
        <f t="shared" si="65"/>
        <v>0.2630471995739086</v>
      </c>
      <c r="O185" s="367">
        <f t="shared" si="66"/>
        <v>1.003811190270042</v>
      </c>
      <c r="P185" s="368">
        <f t="shared" si="67"/>
        <v>0.11798322625078378</v>
      </c>
      <c r="Q185" s="369">
        <f t="shared" si="68"/>
        <v>-8.0485455627676217</v>
      </c>
      <c r="R185" s="370">
        <f t="shared" si="69"/>
        <v>-98.954304878555845</v>
      </c>
      <c r="S185" s="372">
        <f t="shared" si="70"/>
        <v>81.045695121444155</v>
      </c>
      <c r="U185" s="345">
        <f t="shared" si="76"/>
        <v>10411.5</v>
      </c>
      <c r="V185" s="345">
        <f t="shared" si="77"/>
        <v>108399332.25</v>
      </c>
      <c r="X185" s="371">
        <f t="shared" si="71"/>
        <v>15.578806494855254</v>
      </c>
      <c r="Y185" s="372">
        <f t="shared" si="72"/>
        <v>-21.701064006996361</v>
      </c>
      <c r="AA185" s="371">
        <f t="shared" si="73"/>
        <v>22.39324785565675</v>
      </c>
      <c r="AB185" s="372">
        <f t="shared" si="74"/>
        <v>-77.25324087155947</v>
      </c>
      <c r="AD185">
        <f t="shared" si="78"/>
        <v>0</v>
      </c>
      <c r="AE185">
        <f t="shared" si="81"/>
        <v>0</v>
      </c>
    </row>
    <row r="186" spans="1:31" x14ac:dyDescent="0.2">
      <c r="A186" s="373">
        <v>10471</v>
      </c>
      <c r="B186" s="390">
        <f t="shared" si="75"/>
        <v>10.471</v>
      </c>
      <c r="C186" s="363">
        <f t="shared" si="54"/>
        <v>13.794590400641116</v>
      </c>
      <c r="D186" s="364">
        <f t="shared" si="55"/>
        <v>1.4982404986428579</v>
      </c>
      <c r="E186" s="364">
        <f t="shared" si="56"/>
        <v>1.0736501208013793</v>
      </c>
      <c r="F186" s="365">
        <f t="shared" si="57"/>
        <v>0.37255020542033973</v>
      </c>
      <c r="G186" s="364">
        <f t="shared" si="58"/>
        <v>1.0054031738507305</v>
      </c>
      <c r="H186" s="365">
        <f t="shared" si="59"/>
        <v>-0.10372036371443534</v>
      </c>
      <c r="I186" s="363">
        <f t="shared" si="60"/>
        <v>35535.916872535774</v>
      </c>
      <c r="J186" s="366">
        <f t="shared" si="61"/>
        <v>1.5707681862518028</v>
      </c>
      <c r="K186" s="374">
        <f t="shared" si="82"/>
        <v>8.7084949933585811</v>
      </c>
      <c r="L186" s="375">
        <f t="shared" si="83"/>
        <v>1.455712053947678</v>
      </c>
      <c r="M186" s="363">
        <f t="shared" si="64"/>
        <v>1.0360244722420067</v>
      </c>
      <c r="N186" s="366">
        <f t="shared" si="65"/>
        <v>0.26448152421861576</v>
      </c>
      <c r="O186" s="367">
        <f t="shared" si="66"/>
        <v>1.0038548494356205</v>
      </c>
      <c r="P186" s="368">
        <f t="shared" si="67"/>
        <v>0.11865546910009109</v>
      </c>
      <c r="Q186" s="369">
        <f t="shared" si="68"/>
        <v>-8.0951265354176609</v>
      </c>
      <c r="R186" s="370">
        <f t="shared" si="69"/>
        <v>-98.984405524618623</v>
      </c>
      <c r="S186" s="372">
        <f t="shared" si="70"/>
        <v>81.015594475381377</v>
      </c>
      <c r="U186" s="345">
        <f t="shared" si="76"/>
        <v>10471</v>
      </c>
      <c r="V186" s="345">
        <f t="shared" si="77"/>
        <v>109641841</v>
      </c>
      <c r="X186" s="371">
        <f t="shared" si="71"/>
        <v>15.574785674059783</v>
      </c>
      <c r="Y186" s="372">
        <f t="shared" si="72"/>
        <v>-21.745905909887238</v>
      </c>
      <c r="AA186" s="371">
        <f t="shared" si="73"/>
        <v>22.35068770380218</v>
      </c>
      <c r="AB186" s="372">
        <f t="shared" si="74"/>
        <v>-77.238499614731396</v>
      </c>
      <c r="AD186">
        <f t="shared" si="78"/>
        <v>0</v>
      </c>
      <c r="AE186">
        <f t="shared" si="81"/>
        <v>0</v>
      </c>
    </row>
    <row r="187" spans="1:31" x14ac:dyDescent="0.2">
      <c r="A187" s="373">
        <v>10532</v>
      </c>
      <c r="B187" s="390">
        <f t="shared" si="75"/>
        <v>10.532</v>
      </c>
      <c r="C187" s="363">
        <f t="shared" si="54"/>
        <v>13.874531259216141</v>
      </c>
      <c r="D187" s="364">
        <f t="shared" si="55"/>
        <v>1.4986592721752607</v>
      </c>
      <c r="E187" s="364">
        <f t="shared" si="56"/>
        <v>1.074480895051966</v>
      </c>
      <c r="F187" s="365">
        <f t="shared" si="57"/>
        <v>0.37452369553164711</v>
      </c>
      <c r="G187" s="364">
        <f t="shared" si="58"/>
        <v>1.0054661392035209</v>
      </c>
      <c r="H187" s="365">
        <f t="shared" si="59"/>
        <v>-0.10432023672099434</v>
      </c>
      <c r="I187" s="363">
        <f t="shared" si="60"/>
        <v>35742.935392974425</v>
      </c>
      <c r="J187" s="366">
        <f t="shared" si="61"/>
        <v>1.5707683492382372</v>
      </c>
      <c r="K187" s="374">
        <f t="shared" si="82"/>
        <v>8.7585602745179596</v>
      </c>
      <c r="L187" s="375">
        <f t="shared" si="83"/>
        <v>1.4563727879097019</v>
      </c>
      <c r="M187" s="363">
        <f t="shared" si="64"/>
        <v>1.036438022969447</v>
      </c>
      <c r="N187" s="366">
        <f t="shared" si="65"/>
        <v>0.26595085234055682</v>
      </c>
      <c r="O187" s="367">
        <f t="shared" si="66"/>
        <v>1.003899866920184</v>
      </c>
      <c r="P187" s="368">
        <f t="shared" si="67"/>
        <v>0.11934462369821146</v>
      </c>
      <c r="Q187" s="369">
        <f t="shared" si="68"/>
        <v>-8.1425718269403085</v>
      </c>
      <c r="R187" s="370">
        <f t="shared" si="69"/>
        <v>-99.015521038904907</v>
      </c>
      <c r="S187" s="372">
        <f t="shared" si="70"/>
        <v>80.984478961095093</v>
      </c>
      <c r="U187" s="345">
        <f t="shared" si="76"/>
        <v>10532</v>
      </c>
      <c r="V187" s="345">
        <f t="shared" si="77"/>
        <v>110923024</v>
      </c>
      <c r="X187" s="371">
        <f t="shared" si="71"/>
        <v>15.570657726336863</v>
      </c>
      <c r="Y187" s="372">
        <f t="shared" si="72"/>
        <v>-21.792244281077174</v>
      </c>
      <c r="AA187" s="371">
        <f t="shared" si="73"/>
        <v>22.307370360002452</v>
      </c>
      <c r="AB187" s="372">
        <f t="shared" si="74"/>
        <v>-77.223276757827733</v>
      </c>
      <c r="AD187">
        <f t="shared" si="78"/>
        <v>0</v>
      </c>
      <c r="AE187">
        <f t="shared" si="81"/>
        <v>0</v>
      </c>
    </row>
    <row r="188" spans="1:31" x14ac:dyDescent="0.2">
      <c r="A188" s="373">
        <v>10593</v>
      </c>
      <c r="B188" s="390">
        <f t="shared" si="75"/>
        <v>10.593</v>
      </c>
      <c r="C188" s="363">
        <f t="shared" si="54"/>
        <v>13.954474523107077</v>
      </c>
      <c r="D188" s="364">
        <f t="shared" si="55"/>
        <v>1.4990732475877144</v>
      </c>
      <c r="E188" s="364">
        <f t="shared" si="56"/>
        <v>1.0753158475681284</v>
      </c>
      <c r="F188" s="365">
        <f t="shared" si="57"/>
        <v>0.3764941285880738</v>
      </c>
      <c r="G188" s="364">
        <f t="shared" si="58"/>
        <v>1.0055294663255236</v>
      </c>
      <c r="H188" s="365">
        <f t="shared" si="59"/>
        <v>-0.10492003438470345</v>
      </c>
      <c r="I188" s="363">
        <f t="shared" si="60"/>
        <v>35949.953913414014</v>
      </c>
      <c r="J188" s="366">
        <f t="shared" si="61"/>
        <v>1.5707685103475504</v>
      </c>
      <c r="K188" s="374">
        <f t="shared" si="82"/>
        <v>8.8086293359300392</v>
      </c>
      <c r="L188" s="375">
        <f t="shared" si="83"/>
        <v>1.457026010808671</v>
      </c>
      <c r="M188" s="363">
        <f t="shared" si="64"/>
        <v>1.0368538095012303</v>
      </c>
      <c r="N188" s="366">
        <f t="shared" si="65"/>
        <v>0.26741900520575274</v>
      </c>
      <c r="O188" s="367">
        <f t="shared" si="66"/>
        <v>1.0039451452693</v>
      </c>
      <c r="P188" s="368">
        <f t="shared" si="67"/>
        <v>0.12003374210047717</v>
      </c>
      <c r="Q188" s="369">
        <f t="shared" si="68"/>
        <v>-8.1897069053544431</v>
      </c>
      <c r="R188" s="370">
        <f t="shared" si="69"/>
        <v>-99.04689331422442</v>
      </c>
      <c r="S188" s="372">
        <f t="shared" si="70"/>
        <v>80.95310668577558</v>
      </c>
      <c r="U188" s="345">
        <f t="shared" si="76"/>
        <v>10593</v>
      </c>
      <c r="V188" s="345">
        <f t="shared" si="77"/>
        <v>112211649</v>
      </c>
      <c r="X188" s="371">
        <f t="shared" si="71"/>
        <v>15.566523728212353</v>
      </c>
      <c r="Y188" s="372">
        <f t="shared" si="72"/>
        <v>-21.838945559677757</v>
      </c>
      <c r="AA188" s="371">
        <f t="shared" si="73"/>
        <v>22.264369279712831</v>
      </c>
      <c r="AB188" s="372">
        <f t="shared" si="74"/>
        <v>-77.207947754546652</v>
      </c>
      <c r="AD188">
        <f t="shared" si="78"/>
        <v>0</v>
      </c>
      <c r="AE188">
        <f t="shared" si="81"/>
        <v>0</v>
      </c>
    </row>
    <row r="189" spans="1:31" x14ac:dyDescent="0.2">
      <c r="A189" s="373">
        <v>10654</v>
      </c>
      <c r="B189" s="390">
        <f t="shared" si="75"/>
        <v>10.654</v>
      </c>
      <c r="C189" s="363">
        <f t="shared" si="54"/>
        <v>14.034420151210238</v>
      </c>
      <c r="D189" s="364">
        <f t="shared" si="55"/>
        <v>1.4994825067330895</v>
      </c>
      <c r="E189" s="364">
        <f t="shared" si="56"/>
        <v>1.0761549686245389</v>
      </c>
      <c r="F189" s="365">
        <f t="shared" si="57"/>
        <v>0.37846149642224008</v>
      </c>
      <c r="G189" s="364">
        <f t="shared" si="58"/>
        <v>1.0055931551483914</v>
      </c>
      <c r="H189" s="365">
        <f t="shared" si="59"/>
        <v>-0.10551975628827465</v>
      </c>
      <c r="I189" s="363">
        <f t="shared" si="60"/>
        <v>36156.97243385452</v>
      </c>
      <c r="J189" s="366">
        <f t="shared" si="61"/>
        <v>1.5707686696119851</v>
      </c>
      <c r="K189" s="374">
        <f t="shared" si="82"/>
        <v>8.8587021134972677</v>
      </c>
      <c r="L189" s="375">
        <f t="shared" si="83"/>
        <v>1.457671849448561</v>
      </c>
      <c r="M189" s="363">
        <f t="shared" si="64"/>
        <v>1.0372718291487146</v>
      </c>
      <c r="N189" s="366">
        <f t="shared" si="65"/>
        <v>0.26888597790218743</v>
      </c>
      <c r="O189" s="367">
        <f t="shared" si="66"/>
        <v>1.003990684472138</v>
      </c>
      <c r="P189" s="368">
        <f t="shared" si="67"/>
        <v>0.12072282410186957</v>
      </c>
      <c r="Q189" s="369">
        <f t="shared" si="68"/>
        <v>-8.2365353750799564</v>
      </c>
      <c r="R189" s="370">
        <f t="shared" si="69"/>
        <v>-99.078519927778927</v>
      </c>
      <c r="S189" s="372">
        <f t="shared" si="70"/>
        <v>80.921480072221073</v>
      </c>
      <c r="U189" s="345">
        <f t="shared" si="76"/>
        <v>10654</v>
      </c>
      <c r="V189" s="345">
        <f t="shared" si="77"/>
        <v>113507716</v>
      </c>
      <c r="X189" s="371">
        <f t="shared" si="71"/>
        <v>15.562383468400009</v>
      </c>
      <c r="Y189" s="372">
        <f t="shared" si="72"/>
        <v>-21.886002200765937</v>
      </c>
      <c r="AA189" s="371">
        <f t="shared" si="73"/>
        <v>22.221681069799651</v>
      </c>
      <c r="AB189" s="372">
        <f t="shared" si="74"/>
        <v>-77.192517727013026</v>
      </c>
      <c r="AD189">
        <f t="shared" si="78"/>
        <v>0</v>
      </c>
      <c r="AE189">
        <f t="shared" si="81"/>
        <v>0</v>
      </c>
    </row>
    <row r="190" spans="1:31" x14ac:dyDescent="0.2">
      <c r="A190" s="373">
        <v>10715</v>
      </c>
      <c r="B190" s="390">
        <f t="shared" si="75"/>
        <v>10.715</v>
      </c>
      <c r="C190" s="363">
        <f t="shared" si="54"/>
        <v>14.114368103351996</v>
      </c>
      <c r="D190" s="364">
        <f t="shared" si="55"/>
        <v>1.4998871296161032</v>
      </c>
      <c r="E190" s="364">
        <f t="shared" si="56"/>
        <v>1.0769982484776999</v>
      </c>
      <c r="F190" s="365">
        <f t="shared" si="57"/>
        <v>0.38042579098706847</v>
      </c>
      <c r="G190" s="364">
        <f t="shared" si="58"/>
        <v>1.0056572056034043</v>
      </c>
      <c r="H190" s="365">
        <f t="shared" si="59"/>
        <v>-0.10611940201474328</v>
      </c>
      <c r="I190" s="363">
        <f t="shared" si="60"/>
        <v>36363.990954295936</v>
      </c>
      <c r="J190" s="366">
        <f t="shared" si="61"/>
        <v>1.5707688270630498</v>
      </c>
      <c r="K190" s="374">
        <f t="shared" si="82"/>
        <v>8.9087785445584569</v>
      </c>
      <c r="L190" s="375">
        <f t="shared" si="83"/>
        <v>1.4583104278072343</v>
      </c>
      <c r="M190" s="363">
        <f t="shared" si="64"/>
        <v>1.0376920792131625</v>
      </c>
      <c r="N190" s="366">
        <f t="shared" si="65"/>
        <v>0.27035176554605661</v>
      </c>
      <c r="O190" s="367">
        <f t="shared" si="66"/>
        <v>1.0040364845178082</v>
      </c>
      <c r="P190" s="368">
        <f t="shared" si="67"/>
        <v>0.12141186949744916</v>
      </c>
      <c r="Q190" s="369">
        <f t="shared" si="68"/>
        <v>-8.2830607789146935</v>
      </c>
      <c r="R190" s="370">
        <f t="shared" si="69"/>
        <v>-99.110398507507924</v>
      </c>
      <c r="S190" s="372">
        <f t="shared" si="70"/>
        <v>80.889601492492076</v>
      </c>
      <c r="U190" s="345">
        <f t="shared" si="76"/>
        <v>10715</v>
      </c>
      <c r="V190" s="345">
        <f t="shared" si="77"/>
        <v>114811225</v>
      </c>
      <c r="X190" s="371">
        <f t="shared" si="71"/>
        <v>15.558236742900091</v>
      </c>
      <c r="Y190" s="372">
        <f t="shared" si="72"/>
        <v>-21.933406822917338</v>
      </c>
      <c r="AA190" s="371">
        <f t="shared" si="73"/>
        <v>22.179302391464837</v>
      </c>
      <c r="AB190" s="372">
        <f t="shared" si="74"/>
        <v>-77.176991684590561</v>
      </c>
      <c r="AD190">
        <f t="shared" si="78"/>
        <v>0</v>
      </c>
      <c r="AE190">
        <f t="shared" si="81"/>
        <v>0</v>
      </c>
    </row>
    <row r="191" spans="1:31" x14ac:dyDescent="0.2">
      <c r="A191" s="373">
        <v>10777.5</v>
      </c>
      <c r="B191" s="390">
        <f t="shared" si="75"/>
        <v>10.7775</v>
      </c>
      <c r="C191" s="363">
        <f t="shared" si="54"/>
        <v>14.196284358148924</v>
      </c>
      <c r="D191" s="364">
        <f t="shared" si="55"/>
        <v>1.500296975338713</v>
      </c>
      <c r="E191" s="364">
        <f t="shared" si="56"/>
        <v>1.077866567965734</v>
      </c>
      <c r="F191" s="365">
        <f t="shared" si="57"/>
        <v>0.38243519203195719</v>
      </c>
      <c r="G191" s="364">
        <f t="shared" si="58"/>
        <v>1.0057232060777246</v>
      </c>
      <c r="H191" s="365">
        <f t="shared" si="59"/>
        <v>-0.10673371368231006</v>
      </c>
      <c r="I191" s="363">
        <f t="shared" si="60"/>
        <v>36576.100094093388</v>
      </c>
      <c r="J191" s="366">
        <f t="shared" si="61"/>
        <v>1.5707689865372543</v>
      </c>
      <c r="K191" s="374">
        <f t="shared" si="82"/>
        <v>8.9600900885722083</v>
      </c>
      <c r="L191" s="375">
        <f t="shared" si="83"/>
        <v>1.4589573053902107</v>
      </c>
      <c r="M191" s="363">
        <f t="shared" si="64"/>
        <v>1.0381249738237901</v>
      </c>
      <c r="N191" s="366">
        <f t="shared" si="65"/>
        <v>0.27185236294936216</v>
      </c>
      <c r="O191" s="367">
        <f t="shared" si="66"/>
        <v>1.0040836813256055</v>
      </c>
      <c r="P191" s="368">
        <f t="shared" si="67"/>
        <v>0.12211782045095053</v>
      </c>
      <c r="Q191" s="369">
        <f t="shared" si="68"/>
        <v>-8.3304195552268538</v>
      </c>
      <c r="R191" s="370">
        <f t="shared" si="69"/>
        <v>-99.143319894307737</v>
      </c>
      <c r="S191" s="372">
        <f t="shared" si="70"/>
        <v>80.856680105692263</v>
      </c>
      <c r="U191" s="345">
        <f t="shared" si="76"/>
        <v>10777.5</v>
      </c>
      <c r="V191" s="345">
        <f t="shared" si="77"/>
        <v>116154506.25</v>
      </c>
      <c r="X191" s="371">
        <f t="shared" si="71"/>
        <v>15.553981136701353</v>
      </c>
      <c r="Y191" s="372">
        <f t="shared" si="72"/>
        <v>-21.982330502763624</v>
      </c>
      <c r="AA191" s="371">
        <f t="shared" si="73"/>
        <v>22.136199221351415</v>
      </c>
      <c r="AB191" s="372">
        <f t="shared" si="74"/>
        <v>-77.160989391544092</v>
      </c>
      <c r="AD191">
        <f t="shared" si="78"/>
        <v>0</v>
      </c>
      <c r="AE191">
        <f t="shared" si="81"/>
        <v>0</v>
      </c>
    </row>
    <row r="192" spans="1:31" x14ac:dyDescent="0.2">
      <c r="A192" s="373">
        <v>10840</v>
      </c>
      <c r="B192" s="390">
        <f t="shared" si="75"/>
        <v>10.84</v>
      </c>
      <c r="C192" s="363">
        <f t="shared" si="54"/>
        <v>14.278202970183788</v>
      </c>
      <c r="D192" s="364">
        <f t="shared" si="55"/>
        <v>1.5007021182970308</v>
      </c>
      <c r="E192" s="364">
        <f t="shared" si="56"/>
        <v>1.0787392325310063</v>
      </c>
      <c r="F192" s="365">
        <f t="shared" si="57"/>
        <v>0.38444135008746777</v>
      </c>
      <c r="G192" s="364">
        <f t="shared" si="58"/>
        <v>1.0057895860407922</v>
      </c>
      <c r="H192" s="365">
        <f t="shared" si="59"/>
        <v>-0.10734794449513485</v>
      </c>
      <c r="I192" s="363">
        <f t="shared" si="60"/>
        <v>36788.209233891765</v>
      </c>
      <c r="J192" s="366">
        <f t="shared" si="61"/>
        <v>1.5707691441725036</v>
      </c>
      <c r="K192" s="374">
        <f t="shared" si="82"/>
        <v>9.0114053392420335</v>
      </c>
      <c r="L192" s="375">
        <f t="shared" si="83"/>
        <v>1.4595968159777521</v>
      </c>
      <c r="M192" s="363">
        <f t="shared" si="64"/>
        <v>1.0385602041246873</v>
      </c>
      <c r="N192" s="366">
        <f t="shared" si="65"/>
        <v>0.27335170601328573</v>
      </c>
      <c r="O192" s="367">
        <f t="shared" si="66"/>
        <v>1.0041311519389573</v>
      </c>
      <c r="P192" s="368">
        <f t="shared" si="67"/>
        <v>0.1228237325408999</v>
      </c>
      <c r="Q192" s="369">
        <f t="shared" si="68"/>
        <v>-8.3774675151460904</v>
      </c>
      <c r="R192" s="370">
        <f t="shared" si="69"/>
        <v>-99.176500906842364</v>
      </c>
      <c r="S192" s="372">
        <f t="shared" si="70"/>
        <v>80.823499093157636</v>
      </c>
      <c r="U192" s="345">
        <f t="shared" si="76"/>
        <v>10840</v>
      </c>
      <c r="V192" s="345">
        <f t="shared" si="77"/>
        <v>117505600</v>
      </c>
      <c r="X192" s="371">
        <f t="shared" si="71"/>
        <v>15.549718331765801</v>
      </c>
      <c r="Y192" s="372">
        <f t="shared" si="72"/>
        <v>-22.031604306639398</v>
      </c>
      <c r="AA192" s="371">
        <f t="shared" si="73"/>
        <v>22.093414066367739</v>
      </c>
      <c r="AB192" s="372">
        <f t="shared" si="74"/>
        <v>-77.144896600202955</v>
      </c>
      <c r="AD192">
        <f t="shared" si="78"/>
        <v>0</v>
      </c>
      <c r="AE192">
        <f t="shared" si="81"/>
        <v>0</v>
      </c>
    </row>
    <row r="193" spans="1:31" x14ac:dyDescent="0.2">
      <c r="A193" s="373">
        <v>10902.5</v>
      </c>
      <c r="B193" s="390">
        <f t="shared" si="75"/>
        <v>10.9025</v>
      </c>
      <c r="C193" s="363">
        <f t="shared" si="54"/>
        <v>14.360123899115363</v>
      </c>
      <c r="D193" s="364">
        <f t="shared" si="55"/>
        <v>1.5011026388412003</v>
      </c>
      <c r="E193" s="364">
        <f t="shared" si="56"/>
        <v>1.0796162316370095</v>
      </c>
      <c r="F193" s="365">
        <f t="shared" si="57"/>
        <v>0.38644425688900197</v>
      </c>
      <c r="G193" s="364">
        <f t="shared" si="58"/>
        <v>1.0058563454174754</v>
      </c>
      <c r="H193" s="365">
        <f t="shared" si="59"/>
        <v>-0.10796209400579801</v>
      </c>
      <c r="I193" s="363">
        <f t="shared" si="60"/>
        <v>37000.318373691043</v>
      </c>
      <c r="J193" s="366">
        <f t="shared" si="61"/>
        <v>1.5707693000004237</v>
      </c>
      <c r="K193" s="374">
        <f t="shared" si="82"/>
        <v>9.0627242336040883</v>
      </c>
      <c r="L193" s="375">
        <f t="shared" si="83"/>
        <v>1.4602290841920851</v>
      </c>
      <c r="M193" s="363">
        <f t="shared" si="64"/>
        <v>1.0389977671806319</v>
      </c>
      <c r="N193" s="366">
        <f t="shared" si="65"/>
        <v>0.27484978957725037</v>
      </c>
      <c r="O193" s="367">
        <f t="shared" si="66"/>
        <v>1.0041788963459544</v>
      </c>
      <c r="P193" s="368">
        <f t="shared" si="67"/>
        <v>0.12352960554712587</v>
      </c>
      <c r="Q193" s="369">
        <f t="shared" si="68"/>
        <v>-8.4242082773035847</v>
      </c>
      <c r="R193" s="370">
        <f t="shared" si="69"/>
        <v>-99.20993914991746</v>
      </c>
      <c r="S193" s="372">
        <f t="shared" si="70"/>
        <v>80.79006085008254</v>
      </c>
      <c r="U193" s="345">
        <f t="shared" si="76"/>
        <v>10902.5</v>
      </c>
      <c r="V193" s="345">
        <f t="shared" si="77"/>
        <v>118864506.25</v>
      </c>
      <c r="X193" s="371">
        <f t="shared" si="71"/>
        <v>15.545448130927397</v>
      </c>
      <c r="Y193" s="372">
        <f t="shared" si="72"/>
        <v>-22.081220800349787</v>
      </c>
      <c r="AA193" s="371">
        <f t="shared" si="73"/>
        <v>22.050943505048643</v>
      </c>
      <c r="AB193" s="372">
        <f t="shared" si="74"/>
        <v>-77.128718349567677</v>
      </c>
      <c r="AD193">
        <f t="shared" si="78"/>
        <v>0</v>
      </c>
      <c r="AE193">
        <f t="shared" si="81"/>
        <v>0</v>
      </c>
    </row>
    <row r="194" spans="1:31" x14ac:dyDescent="0.2">
      <c r="A194" s="373">
        <v>10965</v>
      </c>
      <c r="B194" s="390">
        <f t="shared" si="75"/>
        <v>10.965</v>
      </c>
      <c r="C194" s="363">
        <f t="shared" si="54"/>
        <v>14.442047105516624</v>
      </c>
      <c r="D194" s="364">
        <f t="shared" si="55"/>
        <v>1.501498615504214</v>
      </c>
      <c r="E194" s="364">
        <f t="shared" si="56"/>
        <v>1.0804975547291937</v>
      </c>
      <c r="F194" s="365">
        <f t="shared" si="57"/>
        <v>0.38844390430306924</v>
      </c>
      <c r="G194" s="364">
        <f t="shared" si="58"/>
        <v>1.0059234841322333</v>
      </c>
      <c r="H194" s="365">
        <f t="shared" si="59"/>
        <v>-0.10857616176724372</v>
      </c>
      <c r="I194" s="363">
        <f t="shared" si="60"/>
        <v>37212.427513491217</v>
      </c>
      <c r="J194" s="366">
        <f t="shared" si="61"/>
        <v>1.5707694540519197</v>
      </c>
      <c r="K194" s="374">
        <f t="shared" si="82"/>
        <v>9.1140467101082425</v>
      </c>
      <c r="L194" s="375">
        <f t="shared" si="83"/>
        <v>1.4608542318718363</v>
      </c>
      <c r="M194" s="363">
        <f t="shared" si="64"/>
        <v>1.0394376600456245</v>
      </c>
      <c r="N194" s="366">
        <f t="shared" si="65"/>
        <v>0.27634660851195825</v>
      </c>
      <c r="O194" s="367">
        <f t="shared" si="66"/>
        <v>1.0042269145346212</v>
      </c>
      <c r="P194" s="368">
        <f t="shared" si="67"/>
        <v>0.12423543924954608</v>
      </c>
      <c r="Q194" s="369">
        <f t="shared" si="68"/>
        <v>-8.470645398546047</v>
      </c>
      <c r="R194" s="370">
        <f t="shared" si="69"/>
        <v>-99.243632277977113</v>
      </c>
      <c r="S194" s="372">
        <f t="shared" si="70"/>
        <v>80.756367722022887</v>
      </c>
      <c r="U194" s="345">
        <f t="shared" si="76"/>
        <v>10965</v>
      </c>
      <c r="V194" s="345">
        <f t="shared" si="77"/>
        <v>120231225</v>
      </c>
      <c r="X194" s="371">
        <f t="shared" si="71"/>
        <v>15.541170344038688</v>
      </c>
      <c r="Y194" s="372">
        <f t="shared" si="72"/>
        <v>-22.131172710939296</v>
      </c>
      <c r="AA194" s="371">
        <f t="shared" si="73"/>
        <v>22.008784170694891</v>
      </c>
      <c r="AB194" s="372">
        <f t="shared" si="74"/>
        <v>-77.112459567037817</v>
      </c>
      <c r="AD194">
        <f t="shared" si="78"/>
        <v>0</v>
      </c>
      <c r="AE194">
        <f t="shared" si="81"/>
        <v>0</v>
      </c>
    </row>
    <row r="195" spans="1:31" x14ac:dyDescent="0.2">
      <c r="A195" s="373">
        <v>11028.75</v>
      </c>
      <c r="B195" s="390">
        <f t="shared" si="75"/>
        <v>11.02875</v>
      </c>
      <c r="C195" s="363">
        <f t="shared" si="54"/>
        <v>14.525611082332581</v>
      </c>
      <c r="D195" s="364">
        <f t="shared" si="55"/>
        <v>1.5018979101976042</v>
      </c>
      <c r="E195" s="364">
        <f t="shared" si="56"/>
        <v>1.0814009478897146</v>
      </c>
      <c r="F195" s="365">
        <f t="shared" si="57"/>
        <v>0.39048017854570094</v>
      </c>
      <c r="G195" s="364">
        <f t="shared" si="58"/>
        <v>1.0059923563366042</v>
      </c>
      <c r="H195" s="365">
        <f t="shared" si="59"/>
        <v>-0.1092024262026282</v>
      </c>
      <c r="I195" s="363">
        <f t="shared" si="60"/>
        <v>37428.778836088284</v>
      </c>
      <c r="J195" s="366">
        <f t="shared" si="61"/>
        <v>1.570769609385694</v>
      </c>
      <c r="K195" s="374">
        <f t="shared" si="82"/>
        <v>9.1663992640658876</v>
      </c>
      <c r="L195" s="375">
        <f t="shared" si="83"/>
        <v>1.4614846704647149</v>
      </c>
      <c r="M195" s="363">
        <f t="shared" si="64"/>
        <v>1.0398887478708583</v>
      </c>
      <c r="N195" s="366">
        <f t="shared" si="65"/>
        <v>0.27787205571751633</v>
      </c>
      <c r="O195" s="367">
        <f t="shared" si="66"/>
        <v>1.0042761751244491</v>
      </c>
      <c r="P195" s="368">
        <f t="shared" si="67"/>
        <v>0.12495534890708704</v>
      </c>
      <c r="Q195" s="369">
        <f t="shared" si="68"/>
        <v>-8.5177020771441079</v>
      </c>
      <c r="R195" s="370">
        <f t="shared" si="69"/>
        <v>-99.278259468814468</v>
      </c>
      <c r="S195" s="372">
        <f t="shared" si="70"/>
        <v>80.721740531185532</v>
      </c>
      <c r="U195" s="345">
        <f t="shared" si="76"/>
        <v>11028.75</v>
      </c>
      <c r="V195" s="345">
        <f t="shared" si="77"/>
        <v>121633326.5625</v>
      </c>
      <c r="X195" s="371">
        <f t="shared" si="71"/>
        <v>15.536798996139893</v>
      </c>
      <c r="Y195" s="372">
        <f t="shared" si="72"/>
        <v>-22.182461827101985</v>
      </c>
      <c r="AA195" s="371">
        <f t="shared" si="73"/>
        <v>21.96609883999562</v>
      </c>
      <c r="AB195" s="372">
        <f t="shared" si="74"/>
        <v>-77.095797641712494</v>
      </c>
      <c r="AD195">
        <f t="shared" si="78"/>
        <v>0</v>
      </c>
      <c r="AE195">
        <f t="shared" si="81"/>
        <v>0</v>
      </c>
    </row>
    <row r="196" spans="1:31" x14ac:dyDescent="0.2">
      <c r="A196" s="373">
        <v>11092.5</v>
      </c>
      <c r="B196" s="390">
        <f t="shared" si="75"/>
        <v>11.092499999999999</v>
      </c>
      <c r="C196" s="363">
        <f t="shared" si="54"/>
        <v>14.609177348563481</v>
      </c>
      <c r="D196" s="364">
        <f t="shared" si="55"/>
        <v>1.5022926369251846</v>
      </c>
      <c r="E196" s="364">
        <f t="shared" si="56"/>
        <v>1.0823088174887252</v>
      </c>
      <c r="F196" s="365">
        <f t="shared" si="57"/>
        <v>0.39251304504303003</v>
      </c>
      <c r="G196" s="364">
        <f t="shared" si="58"/>
        <v>1.0060616230442523</v>
      </c>
      <c r="H196" s="365">
        <f t="shared" si="59"/>
        <v>-0.10982860464775418</v>
      </c>
      <c r="I196" s="363">
        <f t="shared" si="60"/>
        <v>37645.130158686254</v>
      </c>
      <c r="J196" s="366">
        <f t="shared" si="61"/>
        <v>1.5707697629340227</v>
      </c>
      <c r="K196" s="374">
        <f t="shared" si="82"/>
        <v>9.2187554198549311</v>
      </c>
      <c r="L196" s="375">
        <f t="shared" si="83"/>
        <v>1.4621079483924897</v>
      </c>
      <c r="M196" s="363">
        <f t="shared" si="64"/>
        <v>1.0403422534042326</v>
      </c>
      <c r="N196" s="366">
        <f t="shared" si="65"/>
        <v>0.27939617652257931</v>
      </c>
      <c r="O196" s="367">
        <f t="shared" si="66"/>
        <v>1.0043257205313494</v>
      </c>
      <c r="P196" s="368">
        <f t="shared" si="67"/>
        <v>0.12567521721070696</v>
      </c>
      <c r="Q196" s="369">
        <f t="shared" si="68"/>
        <v>-8.5644501326307125</v>
      </c>
      <c r="R196" s="370">
        <f t="shared" si="69"/>
        <v>-99.313147064069881</v>
      </c>
      <c r="S196" s="372">
        <f t="shared" si="70"/>
        <v>80.686852935930119</v>
      </c>
      <c r="U196" s="345">
        <f t="shared" si="76"/>
        <v>11092.5</v>
      </c>
      <c r="V196" s="345">
        <f t="shared" si="77"/>
        <v>123043556.25</v>
      </c>
      <c r="X196" s="371">
        <f t="shared" si="71"/>
        <v>15.53241937741789</v>
      </c>
      <c r="Y196" s="372">
        <f t="shared" si="72"/>
        <v>-22.234085119705188</v>
      </c>
      <c r="AA196" s="371">
        <f t="shared" si="73"/>
        <v>21.923730403231026</v>
      </c>
      <c r="AB196" s="372">
        <f t="shared" si="74"/>
        <v>-77.079061944364682</v>
      </c>
      <c r="AD196">
        <f t="shared" si="78"/>
        <v>0</v>
      </c>
      <c r="AE196">
        <f t="shared" si="81"/>
        <v>0</v>
      </c>
    </row>
    <row r="197" spans="1:31" x14ac:dyDescent="0.2">
      <c r="A197" s="373">
        <v>11156.25</v>
      </c>
      <c r="B197" s="390">
        <f t="shared" si="75"/>
        <v>11.15625</v>
      </c>
      <c r="C197" s="363">
        <f t="shared" si="54"/>
        <v>14.692745865145588</v>
      </c>
      <c r="D197" s="364">
        <f t="shared" si="55"/>
        <v>1.5026828735070932</v>
      </c>
      <c r="E197" s="364">
        <f t="shared" si="56"/>
        <v>1.0832211522708446</v>
      </c>
      <c r="F197" s="365">
        <f t="shared" si="57"/>
        <v>0.39454249558270249</v>
      </c>
      <c r="G197" s="364">
        <f t="shared" si="58"/>
        <v>1.0061312841736989</v>
      </c>
      <c r="H197" s="365">
        <f t="shared" si="59"/>
        <v>-0.11045469662938402</v>
      </c>
      <c r="I197" s="363">
        <f t="shared" si="60"/>
        <v>37861.481481285082</v>
      </c>
      <c r="J197" s="366">
        <f t="shared" si="61"/>
        <v>1.5707699147275134</v>
      </c>
      <c r="K197" s="374">
        <f t="shared" si="82"/>
        <v>9.2711151164542187</v>
      </c>
      <c r="L197" s="375">
        <f t="shared" si="83"/>
        <v>1.462724186488813</v>
      </c>
      <c r="M197" s="363">
        <f t="shared" si="64"/>
        <v>1.040798173485354</v>
      </c>
      <c r="N197" s="366">
        <f t="shared" si="65"/>
        <v>0.28091896558474833</v>
      </c>
      <c r="O197" s="367">
        <f t="shared" si="66"/>
        <v>1.0043755507424008</v>
      </c>
      <c r="P197" s="368">
        <f t="shared" si="67"/>
        <v>0.12639504392714232</v>
      </c>
      <c r="Q197" s="369">
        <f t="shared" si="68"/>
        <v>-8.6108931500354888</v>
      </c>
      <c r="R197" s="370">
        <f t="shared" si="69"/>
        <v>-99.34829272496097</v>
      </c>
      <c r="S197" s="372">
        <f t="shared" si="70"/>
        <v>80.65170727503903</v>
      </c>
      <c r="U197" s="345">
        <f t="shared" si="76"/>
        <v>11156.25</v>
      </c>
      <c r="V197" s="345">
        <f t="shared" si="77"/>
        <v>124461914.0625</v>
      </c>
      <c r="X197" s="371">
        <f t="shared" si="71"/>
        <v>15.52803130719003</v>
      </c>
      <c r="Y197" s="372">
        <f t="shared" si="72"/>
        <v>-22.286035361147402</v>
      </c>
      <c r="AA197" s="371">
        <f t="shared" si="73"/>
        <v>21.881675456054101</v>
      </c>
      <c r="AB197" s="372">
        <f t="shared" si="74"/>
        <v>-77.062257363813558</v>
      </c>
      <c r="AD197">
        <f t="shared" si="78"/>
        <v>0</v>
      </c>
      <c r="AE197">
        <f t="shared" si="81"/>
        <v>0</v>
      </c>
    </row>
    <row r="198" spans="1:31" x14ac:dyDescent="0.2">
      <c r="A198" s="373">
        <v>11220</v>
      </c>
      <c r="B198" s="390">
        <f t="shared" si="75"/>
        <v>11.22</v>
      </c>
      <c r="C198" s="363">
        <f t="shared" si="54"/>
        <v>14.77631659389783</v>
      </c>
      <c r="D198" s="364">
        <f t="shared" si="55"/>
        <v>1.5030686960084938</v>
      </c>
      <c r="E198" s="364">
        <f t="shared" si="56"/>
        <v>1.0841379409633138</v>
      </c>
      <c r="F198" s="365">
        <f t="shared" si="57"/>
        <v>0.39656852209249294</v>
      </c>
      <c r="G198" s="364">
        <f t="shared" si="58"/>
        <v>1.0062013396430252</v>
      </c>
      <c r="H198" s="365">
        <f t="shared" si="59"/>
        <v>-0.11108070167468199</v>
      </c>
      <c r="I198" s="363">
        <f t="shared" si="60"/>
        <v>38077.83280388479</v>
      </c>
      <c r="J198" s="366">
        <f t="shared" si="61"/>
        <v>1.5707700647960778</v>
      </c>
      <c r="K198" s="374">
        <f t="shared" si="82"/>
        <v>9.32347829420927</v>
      </c>
      <c r="L198" s="375">
        <f t="shared" si="83"/>
        <v>1.4633335028944612</v>
      </c>
      <c r="M198" s="363">
        <f t="shared" si="64"/>
        <v>1.0412565049425517</v>
      </c>
      <c r="N198" s="366">
        <f t="shared" si="65"/>
        <v>0.2824404175956618</v>
      </c>
      <c r="O198" s="367">
        <f t="shared" si="66"/>
        <v>1.0044256657446122</v>
      </c>
      <c r="P198" s="368">
        <f t="shared" si="67"/>
        <v>0.12711482882322828</v>
      </c>
      <c r="Q198" s="369">
        <f t="shared" si="68"/>
        <v>-8.6570346535251712</v>
      </c>
      <c r="R198" s="370">
        <f t="shared" si="69"/>
        <v>-99.383694160353386</v>
      </c>
      <c r="S198" s="372">
        <f t="shared" si="70"/>
        <v>80.616305839646614</v>
      </c>
      <c r="U198" s="345">
        <f t="shared" si="76"/>
        <v>11220</v>
      </c>
      <c r="V198" s="345">
        <f t="shared" si="77"/>
        <v>125888400</v>
      </c>
      <c r="X198" s="371">
        <f t="shared" si="71"/>
        <v>15.523634611414494</v>
      </c>
      <c r="Y198" s="372">
        <f t="shared" si="72"/>
        <v>-22.33830548002782</v>
      </c>
      <c r="AA198" s="371">
        <f t="shared" si="73"/>
        <v>21.839930648339958</v>
      </c>
      <c r="AB198" s="372">
        <f t="shared" si="74"/>
        <v>-77.045388680325544</v>
      </c>
      <c r="AD198">
        <f t="shared" si="78"/>
        <v>0</v>
      </c>
      <c r="AE198">
        <f t="shared" si="81"/>
        <v>0</v>
      </c>
    </row>
    <row r="199" spans="1:31" x14ac:dyDescent="0.2">
      <c r="A199" s="373">
        <v>11285.5</v>
      </c>
      <c r="B199" s="390">
        <f t="shared" si="75"/>
        <v>11.285500000000001</v>
      </c>
      <c r="C199" s="363">
        <f t="shared" si="54"/>
        <v>14.862183685955685</v>
      </c>
      <c r="D199" s="364">
        <f t="shared" si="55"/>
        <v>1.5034605903617591</v>
      </c>
      <c r="E199" s="364">
        <f t="shared" si="56"/>
        <v>1.0850845235225643</v>
      </c>
      <c r="F199" s="365">
        <f t="shared" si="57"/>
        <v>0.39864659037003708</v>
      </c>
      <c r="G199" s="364">
        <f t="shared" si="58"/>
        <v>1.0062737288430774</v>
      </c>
      <c r="H199" s="365">
        <f t="shared" si="59"/>
        <v>-0.11172380012682227</v>
      </c>
      <c r="I199" s="363">
        <f t="shared" si="60"/>
        <v>38300.123182399875</v>
      </c>
      <c r="J199" s="366">
        <f t="shared" si="61"/>
        <v>1.5707702172182942</v>
      </c>
      <c r="K199" s="374">
        <f t="shared" si="82"/>
        <v>9.3772824570433695</v>
      </c>
      <c r="L199" s="375">
        <f t="shared" si="83"/>
        <v>1.4639524577284577</v>
      </c>
      <c r="M199" s="363">
        <f t="shared" si="64"/>
        <v>1.0417299262786599</v>
      </c>
      <c r="N199" s="366">
        <f t="shared" si="65"/>
        <v>0.28400223680234704</v>
      </c>
      <c r="O199" s="367">
        <f t="shared" si="66"/>
        <v>1.004477453064194</v>
      </c>
      <c r="P199" s="368">
        <f t="shared" si="67"/>
        <v>0.12785432871729163</v>
      </c>
      <c r="Q199" s="369">
        <f t="shared" si="68"/>
        <v>-8.704132385007231</v>
      </c>
      <c r="R199" s="370">
        <f t="shared" si="69"/>
        <v>-99.420331443366322</v>
      </c>
      <c r="S199" s="372">
        <f t="shared" si="70"/>
        <v>80.579668556633678</v>
      </c>
      <c r="U199" s="345">
        <f t="shared" si="76"/>
        <v>11285.5</v>
      </c>
      <c r="V199" s="345">
        <f t="shared" si="77"/>
        <v>127362510.25</v>
      </c>
      <c r="X199" s="371">
        <f t="shared" si="71"/>
        <v>15.51910806192496</v>
      </c>
      <c r="Y199" s="372">
        <f t="shared" si="72"/>
        <v>-22.392336362447566</v>
      </c>
      <c r="AA199" s="371">
        <f t="shared" si="73"/>
        <v>21.797359466347434</v>
      </c>
      <c r="AB199" s="372">
        <f t="shared" si="74"/>
        <v>-77.027995080918743</v>
      </c>
      <c r="AD199">
        <f t="shared" si="78"/>
        <v>0</v>
      </c>
      <c r="AE199">
        <f t="shared" si="81"/>
        <v>0</v>
      </c>
    </row>
    <row r="200" spans="1:31" x14ac:dyDescent="0.2">
      <c r="A200" s="373">
        <v>11351</v>
      </c>
      <c r="B200" s="390">
        <f t="shared" si="75"/>
        <v>11.351000000000001</v>
      </c>
      <c r="C200" s="363">
        <f t="shared" si="54"/>
        <v>14.948053034341479</v>
      </c>
      <c r="D200" s="364">
        <f t="shared" si="55"/>
        <v>1.5038479822862136</v>
      </c>
      <c r="E200" s="364">
        <f t="shared" si="56"/>
        <v>1.0860357836958303</v>
      </c>
      <c r="F200" s="365">
        <f t="shared" si="57"/>
        <v>0.40072102722723624</v>
      </c>
      <c r="G200" s="364">
        <f t="shared" si="58"/>
        <v>1.0063465341534372</v>
      </c>
      <c r="H200" s="365">
        <f t="shared" si="59"/>
        <v>-0.11236680579345118</v>
      </c>
      <c r="I200" s="363">
        <f t="shared" si="60"/>
        <v>38522.413560915847</v>
      </c>
      <c r="J200" s="366">
        <f t="shared" si="61"/>
        <v>1.5707703678814311</v>
      </c>
      <c r="K200" s="374">
        <f t="shared" si="82"/>
        <v>9.4310901713711885</v>
      </c>
      <c r="L200" s="375">
        <f t="shared" si="83"/>
        <v>1.4645643500809473</v>
      </c>
      <c r="M200" s="363">
        <f t="shared" si="64"/>
        <v>1.0422058863727721</v>
      </c>
      <c r="N200" s="366">
        <f t="shared" si="65"/>
        <v>0.28556263329268072</v>
      </c>
      <c r="O200" s="367">
        <f t="shared" si="66"/>
        <v>1.004529540997098</v>
      </c>
      <c r="P200" s="368">
        <f t="shared" si="67"/>
        <v>0.12859378396475421</v>
      </c>
      <c r="Q200" s="369">
        <f t="shared" si="68"/>
        <v>-8.7509191730197013</v>
      </c>
      <c r="R200" s="370">
        <f t="shared" si="69"/>
        <v>-99.457233980943556</v>
      </c>
      <c r="S200" s="372">
        <f t="shared" si="70"/>
        <v>80.542766019056444</v>
      </c>
      <c r="U200" s="345">
        <f t="shared" si="76"/>
        <v>11351</v>
      </c>
      <c r="V200" s="345">
        <f t="shared" si="77"/>
        <v>128845201</v>
      </c>
      <c r="X200" s="371">
        <f t="shared" si="71"/>
        <v>15.514572054930957</v>
      </c>
      <c r="Y200" s="372">
        <f t="shared" si="72"/>
        <v>-22.446690278820707</v>
      </c>
      <c r="AA200" s="371">
        <f t="shared" si="73"/>
        <v>21.755108685328963</v>
      </c>
      <c r="AB200" s="372">
        <f t="shared" si="74"/>
        <v>-77.010543702122831</v>
      </c>
      <c r="AD200">
        <f t="shared" si="78"/>
        <v>0</v>
      </c>
      <c r="AE200">
        <f t="shared" si="81"/>
        <v>0</v>
      </c>
    </row>
    <row r="201" spans="1:31" x14ac:dyDescent="0.2">
      <c r="A201" s="373">
        <v>11416.5</v>
      </c>
      <c r="B201" s="390">
        <f t="shared" si="75"/>
        <v>11.416499999999999</v>
      </c>
      <c r="C201" s="363">
        <f t="shared" si="54"/>
        <v>15.033924600392769</v>
      </c>
      <c r="D201" s="364">
        <f t="shared" si="55"/>
        <v>1.5042309488162093</v>
      </c>
      <c r="E201" s="364">
        <f t="shared" si="56"/>
        <v>1.0869917092025367</v>
      </c>
      <c r="F201" s="365">
        <f t="shared" si="57"/>
        <v>0.40279182436768796</v>
      </c>
      <c r="G201" s="364">
        <f t="shared" si="58"/>
        <v>1.0064197554837992</v>
      </c>
      <c r="H201" s="365">
        <f t="shared" si="59"/>
        <v>-0.11300971816305382</v>
      </c>
      <c r="I201" s="363">
        <f t="shared" si="60"/>
        <v>38744.703939432678</v>
      </c>
      <c r="J201" s="366">
        <f t="shared" si="61"/>
        <v>1.5707705168157657</v>
      </c>
      <c r="K201" s="374">
        <f t="shared" si="82"/>
        <v>9.484901376749999</v>
      </c>
      <c r="L201" s="375">
        <f t="shared" si="83"/>
        <v>1.4651692996936638</v>
      </c>
      <c r="M201" s="363">
        <f t="shared" si="64"/>
        <v>1.0426843817482445</v>
      </c>
      <c r="N201" s="366">
        <f t="shared" si="65"/>
        <v>0.28712160142156773</v>
      </c>
      <c r="O201" s="367">
        <f t="shared" si="66"/>
        <v>1.0045819295289986</v>
      </c>
      <c r="P201" s="368">
        <f t="shared" si="67"/>
        <v>0.1293331943130461</v>
      </c>
      <c r="Q201" s="369">
        <f t="shared" si="68"/>
        <v>-8.7973986484502245</v>
      </c>
      <c r="R201" s="370">
        <f t="shared" si="69"/>
        <v>-99.494399435996996</v>
      </c>
      <c r="S201" s="372">
        <f t="shared" si="70"/>
        <v>80.505600564003004</v>
      </c>
      <c r="U201" s="345">
        <f t="shared" si="76"/>
        <v>11416.5</v>
      </c>
      <c r="V201" s="345">
        <f t="shared" si="77"/>
        <v>130336472.25</v>
      </c>
      <c r="X201" s="371">
        <f t="shared" si="71"/>
        <v>15.510026422144223</v>
      </c>
      <c r="Y201" s="372">
        <f t="shared" si="72"/>
        <v>-22.501360046745877</v>
      </c>
      <c r="AA201" s="371">
        <f t="shared" si="73"/>
        <v>21.713174842685174</v>
      </c>
      <c r="AB201" s="372">
        <f t="shared" si="74"/>
        <v>-76.993039389251109</v>
      </c>
      <c r="AD201">
        <f t="shared" si="78"/>
        <v>0</v>
      </c>
      <c r="AE201">
        <f t="shared" si="81"/>
        <v>0</v>
      </c>
    </row>
    <row r="202" spans="1:31" x14ac:dyDescent="0.2">
      <c r="A202" s="373">
        <v>11482</v>
      </c>
      <c r="B202" s="390">
        <f t="shared" si="75"/>
        <v>11.481999999999999</v>
      </c>
      <c r="C202" s="363">
        <f t="shared" si="54"/>
        <v>15.119798346324449</v>
      </c>
      <c r="D202" s="364">
        <f t="shared" si="55"/>
        <v>1.5046095652412745</v>
      </c>
      <c r="E202" s="364">
        <f t="shared" si="56"/>
        <v>1.0879522877451462</v>
      </c>
      <c r="F202" s="365">
        <f t="shared" si="57"/>
        <v>0.40485897364893897</v>
      </c>
      <c r="G202" s="364">
        <f t="shared" si="58"/>
        <v>1.0064933927433686</v>
      </c>
      <c r="H202" s="365">
        <f t="shared" si="59"/>
        <v>-0.11365253672457211</v>
      </c>
      <c r="I202" s="363">
        <f t="shared" si="60"/>
        <v>38966.994317950361</v>
      </c>
      <c r="J202" s="366">
        <f t="shared" si="61"/>
        <v>1.5707706640508843</v>
      </c>
      <c r="K202" s="374">
        <f t="shared" si="82"/>
        <v>9.5387160140971137</v>
      </c>
      <c r="L202" s="375">
        <f t="shared" si="83"/>
        <v>1.4657674236267411</v>
      </c>
      <c r="M202" s="363">
        <f t="shared" si="64"/>
        <v>1.0431654089163098</v>
      </c>
      <c r="N202" s="366">
        <f t="shared" si="65"/>
        <v>0.28867913558201436</v>
      </c>
      <c r="O202" s="367">
        <f t="shared" si="66"/>
        <v>1.0046346186454904</v>
      </c>
      <c r="P202" s="368">
        <f t="shared" si="67"/>
        <v>0.1300725595097097</v>
      </c>
      <c r="Q202" s="369">
        <f t="shared" si="68"/>
        <v>-8.8435743804496205</v>
      </c>
      <c r="R202" s="370">
        <f t="shared" si="69"/>
        <v>-99.531825518467343</v>
      </c>
      <c r="S202" s="372">
        <f t="shared" si="70"/>
        <v>80.468174481532657</v>
      </c>
      <c r="U202" s="345">
        <f t="shared" si="76"/>
        <v>11482</v>
      </c>
      <c r="V202" s="345">
        <f t="shared" si="77"/>
        <v>131836324</v>
      </c>
      <c r="X202" s="371">
        <f t="shared" si="71"/>
        <v>15.505471001744855</v>
      </c>
      <c r="Y202" s="372">
        <f t="shared" si="72"/>
        <v>-22.55633863960955</v>
      </c>
      <c r="AA202" s="371">
        <f t="shared" si="73"/>
        <v>21.67155453108515</v>
      </c>
      <c r="AB202" s="372">
        <f t="shared" si="74"/>
        <v>-76.975486878857794</v>
      </c>
      <c r="AD202">
        <f t="shared" si="78"/>
        <v>0</v>
      </c>
      <c r="AE202">
        <f t="shared" si="81"/>
        <v>0</v>
      </c>
    </row>
    <row r="203" spans="1:31" x14ac:dyDescent="0.2">
      <c r="A203" s="373">
        <v>11548.75</v>
      </c>
      <c r="B203" s="390">
        <f t="shared" si="75"/>
        <v>11.54875</v>
      </c>
      <c r="C203" s="363">
        <f t="shared" si="54"/>
        <v>15.207313108645851</v>
      </c>
      <c r="D203" s="364">
        <f t="shared" si="55"/>
        <v>1.5049910079349513</v>
      </c>
      <c r="E203" s="364">
        <f t="shared" si="56"/>
        <v>1.0889359722708354</v>
      </c>
      <c r="F203" s="365">
        <f t="shared" si="57"/>
        <v>0.40696181112626018</v>
      </c>
      <c r="G203" s="364">
        <f t="shared" si="58"/>
        <v>1.0065688631109548</v>
      </c>
      <c r="H203" s="365">
        <f t="shared" si="59"/>
        <v>-0.11430752577673026</v>
      </c>
      <c r="I203" s="363">
        <f t="shared" si="60"/>
        <v>39193.526879265039</v>
      </c>
      <c r="J203" s="366">
        <f t="shared" si="61"/>
        <v>1.5707708123776003</v>
      </c>
      <c r="K203" s="374">
        <f t="shared" si="82"/>
        <v>9.5935611193806078</v>
      </c>
      <c r="L203" s="375">
        <f t="shared" si="83"/>
        <v>1.4663700583110337</v>
      </c>
      <c r="M203" s="363">
        <f t="shared" si="64"/>
        <v>1.0436582170961732</v>
      </c>
      <c r="N203" s="366">
        <f t="shared" si="65"/>
        <v>0.29026491263300175</v>
      </c>
      <c r="O203" s="367">
        <f t="shared" si="66"/>
        <v>1.0046886225083245</v>
      </c>
      <c r="P203" s="368">
        <f t="shared" si="67"/>
        <v>0.13082598801558615</v>
      </c>
      <c r="Q203" s="369">
        <f t="shared" si="68"/>
        <v>-8.8903224676207202</v>
      </c>
      <c r="R203" s="370">
        <f t="shared" si="69"/>
        <v>-99.570231651166992</v>
      </c>
      <c r="S203" s="372">
        <f t="shared" si="70"/>
        <v>80.429768348833008</v>
      </c>
      <c r="U203" s="345">
        <f t="shared" si="76"/>
        <v>11548.75</v>
      </c>
      <c r="V203" s="345">
        <f t="shared" si="77"/>
        <v>133373626.5625</v>
      </c>
      <c r="X203" s="371">
        <f t="shared" si="71"/>
        <v>15.500818415231887</v>
      </c>
      <c r="Y203" s="372">
        <f t="shared" si="72"/>
        <v>-22.612677046440847</v>
      </c>
      <c r="AA203" s="371">
        <f t="shared" si="73"/>
        <v>21.629459030427014</v>
      </c>
      <c r="AB203" s="372">
        <f t="shared" si="74"/>
        <v>-76.957554604726155</v>
      </c>
      <c r="AD203">
        <f t="shared" si="78"/>
        <v>0</v>
      </c>
      <c r="AE203">
        <f t="shared" si="81"/>
        <v>0</v>
      </c>
    </row>
    <row r="204" spans="1:31" x14ac:dyDescent="0.2">
      <c r="A204" s="373">
        <v>11615.5</v>
      </c>
      <c r="B204" s="390">
        <f t="shared" si="75"/>
        <v>11.615500000000001</v>
      </c>
      <c r="C204" s="363">
        <f t="shared" si="54"/>
        <v>15.294830058287925</v>
      </c>
      <c r="D204" s="364">
        <f t="shared" si="55"/>
        <v>1.5053680854561733</v>
      </c>
      <c r="E204" s="364">
        <f t="shared" si="56"/>
        <v>1.0899244632861433</v>
      </c>
      <c r="F204" s="365">
        <f t="shared" si="57"/>
        <v>0.40906084359610112</v>
      </c>
      <c r="G204" s="364">
        <f t="shared" si="58"/>
        <v>1.0066447652424537</v>
      </c>
      <c r="H204" s="365">
        <f t="shared" si="59"/>
        <v>-0.1149624163360066</v>
      </c>
      <c r="I204" s="363">
        <f t="shared" si="60"/>
        <v>39420.059440580575</v>
      </c>
      <c r="J204" s="366">
        <f t="shared" si="61"/>
        <v>1.5707709589995584</v>
      </c>
      <c r="K204" s="374">
        <f t="shared" si="82"/>
        <v>9.6484096691335921</v>
      </c>
      <c r="L204" s="375">
        <f t="shared" si="83"/>
        <v>1.4669658415854772</v>
      </c>
      <c r="M204" s="363">
        <f t="shared" si="64"/>
        <v>1.0441536472705335</v>
      </c>
      <c r="N204" s="366">
        <f t="shared" si="65"/>
        <v>0.29184918882535704</v>
      </c>
      <c r="O204" s="367">
        <f t="shared" si="66"/>
        <v>1.0047429385074604</v>
      </c>
      <c r="P204" s="368">
        <f t="shared" si="67"/>
        <v>0.13157936910102941</v>
      </c>
      <c r="Q204" s="369">
        <f t="shared" si="68"/>
        <v>-8.9367624019871368</v>
      </c>
      <c r="R204" s="370">
        <f t="shared" si="69"/>
        <v>-99.608903794888349</v>
      </c>
      <c r="S204" s="372">
        <f t="shared" si="70"/>
        <v>80.391096205111651</v>
      </c>
      <c r="U204" s="345">
        <f t="shared" si="76"/>
        <v>11615.5</v>
      </c>
      <c r="V204" s="345">
        <f t="shared" si="77"/>
        <v>134919840.25</v>
      </c>
      <c r="X204" s="371">
        <f t="shared" si="71"/>
        <v>15.496155344246658</v>
      </c>
      <c r="Y204" s="372">
        <f t="shared" si="72"/>
        <v>-22.669321919599891</v>
      </c>
      <c r="AA204" s="371">
        <f t="shared" si="73"/>
        <v>21.587682167045831</v>
      </c>
      <c r="AB204" s="372">
        <f t="shared" si="74"/>
        <v>-76.939581875288468</v>
      </c>
      <c r="AD204">
        <f t="shared" si="78"/>
        <v>0</v>
      </c>
      <c r="AE204">
        <f t="shared" si="81"/>
        <v>0</v>
      </c>
    </row>
    <row r="205" spans="1:31" x14ac:dyDescent="0.2">
      <c r="A205" s="373">
        <v>11682.25</v>
      </c>
      <c r="B205" s="390">
        <f t="shared" si="75"/>
        <v>11.68225</v>
      </c>
      <c r="C205" s="363">
        <f t="shared" ref="C205:C268" si="84">SQRT(1+(A205/pole1)^2)</f>
        <v>15.382349157916787</v>
      </c>
      <c r="D205" s="364">
        <f t="shared" ref="D205:D268" si="85">ATAN(A205/pole1)</f>
        <v>1.5057408722047714</v>
      </c>
      <c r="E205" s="364">
        <f t="shared" ref="E205:E268" si="86">SQRT(1+(A205/Zero1)^2)</f>
        <v>1.0909177477254512</v>
      </c>
      <c r="F205" s="365">
        <f t="shared" ref="F205:F268" si="87">ATAN(A205/Zero1)</f>
        <v>0.41115606293050766</v>
      </c>
      <c r="G205" s="364">
        <f t="shared" ref="G205:G268" si="88">IF(VIN_nom&gt;Vout, 1, SQRT(1+(A205/z_RHP)^2))</f>
        <v>1.006721099040206</v>
      </c>
      <c r="H205" s="365">
        <f t="shared" ref="H205:H268" si="89">IF(VIN_nom&gt;Vout, 0, -ATAN(A205/z_RHP))</f>
        <v>-0.11561720786300161</v>
      </c>
      <c r="I205" s="363">
        <f t="shared" ref="I205:I268" si="90">SQRT(1+(A205/Pole2)^2)</f>
        <v>39646.592001896941</v>
      </c>
      <c r="J205" s="366">
        <f t="shared" ref="J205:J268" si="91">ATAN(A205/Pole2)</f>
        <v>1.5707711039459804</v>
      </c>
      <c r="K205" s="374">
        <f t="shared" si="82"/>
        <v>9.7032616049455545</v>
      </c>
      <c r="L205" s="375">
        <f t="shared" si="83"/>
        <v>1.4675548892152721</v>
      </c>
      <c r="M205" s="363">
        <f t="shared" ref="M205:M268" si="92">SQRT(1+(A205/pole4)^2)</f>
        <v>1.0446516957089176</v>
      </c>
      <c r="N205" s="366">
        <f t="shared" ref="N205:N268" si="93">ATAN(A205/pole4)</f>
        <v>0.29343195834727354</v>
      </c>
      <c r="O205" s="367">
        <f t="shared" ref="O205:O268" si="94">SQRT((1-(V205/pterm2))^2+(A205/pterm1)^2)</f>
        <v>1.0047975666273994</v>
      </c>
      <c r="P205" s="368">
        <f t="shared" ref="P205:P268" si="95">IF((ATAN((A205/pterm1)/(1-A205^2/pterm2))&gt;0),ATAN((A205/pterm1)/(1-A205^2/pterm2)),PI()+ATAN((A205/pterm1)/(1-A205^2/pterm2)))</f>
        <v>0.13233270249921422</v>
      </c>
      <c r="Q205" s="369">
        <f t="shared" ref="Q205:Q268" si="96">20*LOG10(((E205*K205*G205)/(C205*I205*O205*M205))*Adc)</f>
        <v>-8.982897772145396</v>
      </c>
      <c r="R205" s="370">
        <f t="shared" ref="R205:R268" si="97">((F205+L205+H205)-(D205+J205+P205+N205))*radconv</f>
        <v>-99.647839667756728</v>
      </c>
      <c r="S205" s="372">
        <f t="shared" ref="S205:S268" si="98">IF(R205&gt;0,R205,R205+180)</f>
        <v>80.352160332243272</v>
      </c>
      <c r="U205" s="345">
        <f t="shared" si="76"/>
        <v>11682.25</v>
      </c>
      <c r="V205" s="345">
        <f t="shared" si="77"/>
        <v>136474965.0625</v>
      </c>
      <c r="X205" s="371">
        <f t="shared" ref="X205:X268" si="99">20*LOG10((K205/(I205*M205))*AEA)</f>
        <v>15.491481636913109</v>
      </c>
      <c r="Y205" s="372">
        <f t="shared" ref="Y205:Y268" si="100">(L205-(J205+N205))*radconv</f>
        <v>-22.726266294911508</v>
      </c>
      <c r="AA205" s="371">
        <f t="shared" ref="AA205:AA268" si="101">20*LOG10((E205*G205/(C205*O205))*Acs*Am)</f>
        <v>21.546220504221118</v>
      </c>
      <c r="AB205" s="372">
        <f t="shared" ref="AB205:AB268" si="102">(F205+H205-(D205+P205))*radconv</f>
        <v>-76.921573372845231</v>
      </c>
      <c r="AD205">
        <f t="shared" si="78"/>
        <v>0</v>
      </c>
      <c r="AE205">
        <f t="shared" si="81"/>
        <v>0</v>
      </c>
    </row>
    <row r="206" spans="1:31" x14ac:dyDescent="0.2">
      <c r="A206" s="373">
        <v>11749</v>
      </c>
      <c r="B206" s="390">
        <f t="shared" ref="B206:B269" si="103">A206/1000</f>
        <v>11.749000000000001</v>
      </c>
      <c r="C206" s="363">
        <f t="shared" si="84"/>
        <v>15.469870371042491</v>
      </c>
      <c r="D206" s="364">
        <f t="shared" si="85"/>
        <v>1.5061094409017326</v>
      </c>
      <c r="E206" s="364">
        <f t="shared" si="86"/>
        <v>1.0919158125074393</v>
      </c>
      <c r="F206" s="365">
        <f t="shared" si="87"/>
        <v>0.41324746116494399</v>
      </c>
      <c r="G206" s="364">
        <f t="shared" si="88"/>
        <v>1.0067978644060267</v>
      </c>
      <c r="H206" s="365">
        <f t="shared" si="89"/>
        <v>-0.11627189981881858</v>
      </c>
      <c r="I206" s="363">
        <f t="shared" si="90"/>
        <v>39873.124563214129</v>
      </c>
      <c r="J206" s="366">
        <f t="shared" si="91"/>
        <v>1.5707712472454241</v>
      </c>
      <c r="K206" s="374">
        <f t="shared" si="82"/>
        <v>9.7581168697157619</v>
      </c>
      <c r="L206" s="375">
        <f t="shared" si="83"/>
        <v>1.4681373143814622</v>
      </c>
      <c r="M206" s="363">
        <f t="shared" si="92"/>
        <v>1.0451523586682663</v>
      </c>
      <c r="N206" s="366">
        <f t="shared" si="93"/>
        <v>0.29501321542818898</v>
      </c>
      <c r="O206" s="367">
        <f t="shared" si="94"/>
        <v>1.0048525068525571</v>
      </c>
      <c r="P206" s="368">
        <f t="shared" si="95"/>
        <v>0.1330859879434389</v>
      </c>
      <c r="Q206" s="369">
        <f t="shared" si="96"/>
        <v>-9.0287321060700094</v>
      </c>
      <c r="R206" s="370">
        <f t="shared" si="97"/>
        <v>-99.687037032765986</v>
      </c>
      <c r="S206" s="372">
        <f t="shared" si="98"/>
        <v>80.312962967234014</v>
      </c>
      <c r="U206" s="345">
        <f t="shared" ref="U206:U269" si="104">IF(Q206&lt;0,A206,1000000000)</f>
        <v>11749</v>
      </c>
      <c r="V206" s="345">
        <f t="shared" ref="V206:V269" si="105">A206^2</f>
        <v>138039001</v>
      </c>
      <c r="X206" s="371">
        <f t="shared" si="99"/>
        <v>15.486797147452467</v>
      </c>
      <c r="Y206" s="372">
        <f t="shared" si="100"/>
        <v>-22.783503358586973</v>
      </c>
      <c r="AA206" s="371">
        <f t="shared" si="101"/>
        <v>21.505070659757145</v>
      </c>
      <c r="AB206" s="372">
        <f t="shared" si="102"/>
        <v>-76.903533674179016</v>
      </c>
      <c r="AD206">
        <f t="shared" ref="AD206:AD269" si="106">SUM((Q207&lt;0)*(Q206&gt;0))*A206</f>
        <v>0</v>
      </c>
      <c r="AE206">
        <f t="shared" si="81"/>
        <v>0</v>
      </c>
    </row>
    <row r="207" spans="1:31" x14ac:dyDescent="0.2">
      <c r="A207" s="373">
        <v>11817.5</v>
      </c>
      <c r="B207" s="390">
        <f t="shared" si="103"/>
        <v>11.817500000000001</v>
      </c>
      <c r="C207" s="363">
        <f t="shared" si="84"/>
        <v>15.559688307743167</v>
      </c>
      <c r="D207" s="364">
        <f t="shared" si="85"/>
        <v>1.5064833616129047</v>
      </c>
      <c r="E207" s="364">
        <f t="shared" si="86"/>
        <v>1.092945000023396</v>
      </c>
      <c r="F207" s="365">
        <f t="shared" si="87"/>
        <v>0.41538970920248092</v>
      </c>
      <c r="G207" s="364">
        <f t="shared" si="88"/>
        <v>1.0068770909316196</v>
      </c>
      <c r="H207" s="365">
        <f t="shared" si="89"/>
        <v>-0.11694365189745935</v>
      </c>
      <c r="I207" s="363">
        <f t="shared" si="90"/>
        <v>40105.596180446853</v>
      </c>
      <c r="J207" s="366">
        <f t="shared" si="91"/>
        <v>1.5707713926187381</v>
      </c>
      <c r="K207" s="374">
        <f t="shared" si="82"/>
        <v>9.8144136899706282</v>
      </c>
      <c r="L207" s="375">
        <f t="shared" si="83"/>
        <v>1.4687282399948884</v>
      </c>
      <c r="M207" s="363">
        <f t="shared" si="92"/>
        <v>1.0456688619218379</v>
      </c>
      <c r="N207" s="366">
        <f t="shared" si="93"/>
        <v>0.29663435024011969</v>
      </c>
      <c r="O207" s="367">
        <f t="shared" si="94"/>
        <v>1.0049092119279981</v>
      </c>
      <c r="P207" s="368">
        <f t="shared" si="95"/>
        <v>0.13385897230840993</v>
      </c>
      <c r="Q207" s="369">
        <f t="shared" si="96"/>
        <v>-9.0754587484733378</v>
      </c>
      <c r="R207" s="370">
        <f t="shared" si="97"/>
        <v>-99.727531609308784</v>
      </c>
      <c r="S207" s="372">
        <f t="shared" si="98"/>
        <v>80.272468390691216</v>
      </c>
      <c r="U207" s="345">
        <f t="shared" si="104"/>
        <v>11817.5</v>
      </c>
      <c r="V207" s="345">
        <f t="shared" si="105"/>
        <v>139653306.25</v>
      </c>
      <c r="X207" s="371">
        <f t="shared" si="99"/>
        <v>15.481978487149465</v>
      </c>
      <c r="Y207" s="372">
        <f t="shared" si="100"/>
        <v>-22.842538327021636</v>
      </c>
      <c r="AA207" s="371">
        <f t="shared" si="101"/>
        <v>21.463162677656822</v>
      </c>
      <c r="AB207" s="372">
        <f t="shared" si="102"/>
        <v>-76.884993282287155</v>
      </c>
      <c r="AD207">
        <f t="shared" si="106"/>
        <v>0</v>
      </c>
      <c r="AE207">
        <f t="shared" si="81"/>
        <v>0</v>
      </c>
    </row>
    <row r="208" spans="1:31" x14ac:dyDescent="0.2">
      <c r="A208" s="373">
        <v>11886</v>
      </c>
      <c r="B208" s="390">
        <f t="shared" si="103"/>
        <v>11.885999999999999</v>
      </c>
      <c r="C208" s="363">
        <f t="shared" si="84"/>
        <v>15.649508394975969</v>
      </c>
      <c r="D208" s="364">
        <f t="shared" si="85"/>
        <v>1.5068529901521412</v>
      </c>
      <c r="E208" s="364">
        <f t="shared" si="86"/>
        <v>1.0939791938608463</v>
      </c>
      <c r="F208" s="365">
        <f t="shared" si="87"/>
        <v>0.41752791668657535</v>
      </c>
      <c r="G208" s="364">
        <f t="shared" si="88"/>
        <v>1.0069567717397447</v>
      </c>
      <c r="H208" s="365">
        <f t="shared" si="89"/>
        <v>-0.11761529796723183</v>
      </c>
      <c r="I208" s="363">
        <f t="shared" si="90"/>
        <v>40338.067797680407</v>
      </c>
      <c r="J208" s="366">
        <f t="shared" si="91"/>
        <v>1.5707715363164554</v>
      </c>
      <c r="K208" s="374">
        <f t="shared" si="82"/>
        <v>9.8707138982574829</v>
      </c>
      <c r="L208" s="375">
        <f t="shared" si="83"/>
        <v>1.4693124248116043</v>
      </c>
      <c r="M208" s="363">
        <f t="shared" si="92"/>
        <v>1.046188110557138</v>
      </c>
      <c r="N208" s="366">
        <f t="shared" si="93"/>
        <v>0.29825388008742176</v>
      </c>
      <c r="O208" s="367">
        <f t="shared" si="94"/>
        <v>1.0049662456547201</v>
      </c>
      <c r="P208" s="368">
        <f t="shared" si="95"/>
        <v>0.13463190560332078</v>
      </c>
      <c r="Q208" s="369">
        <f t="shared" si="96"/>
        <v>-9.1218757012475749</v>
      </c>
      <c r="R208" s="370">
        <f t="shared" si="97"/>
        <v>-99.768296934712566</v>
      </c>
      <c r="S208" s="372">
        <f t="shared" si="98"/>
        <v>80.231703065287434</v>
      </c>
      <c r="U208" s="345">
        <f t="shared" si="104"/>
        <v>11886</v>
      </c>
      <c r="V208" s="345">
        <f t="shared" si="105"/>
        <v>141276996</v>
      </c>
      <c r="X208" s="371">
        <f t="shared" si="99"/>
        <v>15.477148179732547</v>
      </c>
      <c r="Y208" s="372">
        <f t="shared" si="100"/>
        <v>-22.901867460954588</v>
      </c>
      <c r="AA208" s="371">
        <f t="shared" si="101"/>
        <v>21.421576032299502</v>
      </c>
      <c r="AB208" s="372">
        <f t="shared" si="102"/>
        <v>-76.866429473757933</v>
      </c>
      <c r="AD208">
        <f t="shared" si="106"/>
        <v>0</v>
      </c>
      <c r="AE208">
        <f t="shared" si="81"/>
        <v>0</v>
      </c>
    </row>
    <row r="209" spans="1:31" x14ac:dyDescent="0.2">
      <c r="A209" s="373">
        <v>11954.5</v>
      </c>
      <c r="B209" s="390">
        <f t="shared" si="103"/>
        <v>11.954499999999999</v>
      </c>
      <c r="C209" s="363">
        <f t="shared" si="84"/>
        <v>15.739330595923388</v>
      </c>
      <c r="D209" s="364">
        <f t="shared" si="85"/>
        <v>1.5072183999020756</v>
      </c>
      <c r="E209" s="364">
        <f t="shared" si="86"/>
        <v>1.0950183798350779</v>
      </c>
      <c r="F209" s="365">
        <f t="shared" si="87"/>
        <v>0.4196620755418527</v>
      </c>
      <c r="G209" s="364">
        <f t="shared" si="88"/>
        <v>1.0070369067225684</v>
      </c>
      <c r="H209" s="365">
        <f t="shared" si="89"/>
        <v>-0.11828683744740139</v>
      </c>
      <c r="I209" s="363">
        <f t="shared" si="90"/>
        <v>40570.539414914783</v>
      </c>
      <c r="J209" s="366">
        <f t="shared" si="91"/>
        <v>1.5707716783673795</v>
      </c>
      <c r="K209" s="374">
        <f t="shared" si="82"/>
        <v>9.9270174369315534</v>
      </c>
      <c r="L209" s="375">
        <f t="shared" si="83"/>
        <v>1.4698899831257424</v>
      </c>
      <c r="M209" s="363">
        <f t="shared" si="92"/>
        <v>1.0467101004884056</v>
      </c>
      <c r="N209" s="366">
        <f t="shared" si="93"/>
        <v>0.29987179886934096</v>
      </c>
      <c r="O209" s="367">
        <f t="shared" si="94"/>
        <v>1.0050236080156025</v>
      </c>
      <c r="P209" s="368">
        <f t="shared" si="95"/>
        <v>0.13540478754034924</v>
      </c>
      <c r="Q209" s="369">
        <f t="shared" si="96"/>
        <v>-9.1679865871551538</v>
      </c>
      <c r="R209" s="370">
        <f t="shared" si="97"/>
        <v>-99.809330729944008</v>
      </c>
      <c r="S209" s="372">
        <f t="shared" si="98"/>
        <v>80.190669270055992</v>
      </c>
      <c r="U209" s="345">
        <f t="shared" si="104"/>
        <v>11954.5</v>
      </c>
      <c r="V209" s="345">
        <f t="shared" si="105"/>
        <v>142910070.25</v>
      </c>
      <c r="X209" s="371">
        <f t="shared" si="99"/>
        <v>15.472306086381035</v>
      </c>
      <c r="Y209" s="372">
        <f t="shared" si="100"/>
        <v>-22.961483863917252</v>
      </c>
      <c r="AA209" s="371">
        <f t="shared" si="101"/>
        <v>21.380307239743438</v>
      </c>
      <c r="AB209" s="372">
        <f t="shared" si="102"/>
        <v>-76.847846866026771</v>
      </c>
      <c r="AD209">
        <f t="shared" si="106"/>
        <v>0</v>
      </c>
      <c r="AE209">
        <f t="shared" si="81"/>
        <v>0</v>
      </c>
    </row>
    <row r="210" spans="1:31" x14ac:dyDescent="0.2">
      <c r="A210" s="373">
        <v>12023</v>
      </c>
      <c r="B210" s="390">
        <f t="shared" si="103"/>
        <v>12.023</v>
      </c>
      <c r="C210" s="363">
        <f t="shared" si="84"/>
        <v>15.829154874602741</v>
      </c>
      <c r="D210" s="364">
        <f t="shared" si="85"/>
        <v>1.5075796625842361</v>
      </c>
      <c r="E210" s="364">
        <f t="shared" si="86"/>
        <v>1.0960625437468323</v>
      </c>
      <c r="F210" s="365">
        <f t="shared" si="87"/>
        <v>0.42179217787100914</v>
      </c>
      <c r="G210" s="364">
        <f t="shared" si="88"/>
        <v>1.007117495771676</v>
      </c>
      <c r="H210" s="365">
        <f t="shared" si="89"/>
        <v>-0.11895826975780226</v>
      </c>
      <c r="I210" s="363">
        <f t="shared" si="90"/>
        <v>40803.011032149974</v>
      </c>
      <c r="J210" s="366">
        <f t="shared" si="91"/>
        <v>1.570771818799658</v>
      </c>
      <c r="K210" s="374">
        <f t="shared" si="82"/>
        <v>9.9833242496450989</v>
      </c>
      <c r="L210" s="375">
        <f t="shared" si="83"/>
        <v>1.4704610266708331</v>
      </c>
      <c r="M210" s="363">
        <f t="shared" si="92"/>
        <v>1.0472348276164776</v>
      </c>
      <c r="N210" s="366">
        <f t="shared" si="93"/>
        <v>0.30148810053099212</v>
      </c>
      <c r="O210" s="367">
        <f t="shared" si="94"/>
        <v>1.0050812989934301</v>
      </c>
      <c r="P210" s="368">
        <f t="shared" si="95"/>
        <v>0.13617761783181317</v>
      </c>
      <c r="Q210" s="369">
        <f t="shared" si="96"/>
        <v>-9.213794967729342</v>
      </c>
      <c r="R210" s="370">
        <f t="shared" si="97"/>
        <v>-99.850630759935925</v>
      </c>
      <c r="S210" s="372">
        <f t="shared" si="98"/>
        <v>80.149369240064075</v>
      </c>
      <c r="U210" s="345">
        <f t="shared" si="104"/>
        <v>12023</v>
      </c>
      <c r="V210" s="345">
        <f t="shared" si="105"/>
        <v>144552529</v>
      </c>
      <c r="X210" s="371">
        <f t="shared" si="99"/>
        <v>15.46745207418423</v>
      </c>
      <c r="Y210" s="372">
        <f t="shared" si="100"/>
        <v>-23.021380788743269</v>
      </c>
      <c r="AA210" s="371">
        <f t="shared" si="101"/>
        <v>21.339352871366049</v>
      </c>
      <c r="AB210" s="372">
        <f t="shared" si="102"/>
        <v>-76.829249971192667</v>
      </c>
      <c r="AD210">
        <f t="shared" si="106"/>
        <v>0</v>
      </c>
      <c r="AE210">
        <f t="shared" si="81"/>
        <v>0</v>
      </c>
    </row>
    <row r="211" spans="1:31" x14ac:dyDescent="0.2">
      <c r="A211" s="373">
        <v>12093</v>
      </c>
      <c r="B211" s="390">
        <f t="shared" si="103"/>
        <v>12.093</v>
      </c>
      <c r="C211" s="363">
        <f t="shared" si="84"/>
        <v>15.920948218170659</v>
      </c>
      <c r="D211" s="364">
        <f t="shared" si="85"/>
        <v>1.5079446247947985</v>
      </c>
      <c r="E211" s="364">
        <f t="shared" si="86"/>
        <v>1.0971347004110736</v>
      </c>
      <c r="F211" s="365">
        <f t="shared" si="87"/>
        <v>0.42396472600175145</v>
      </c>
      <c r="G211" s="364">
        <f t="shared" si="88"/>
        <v>1.0072003185207974</v>
      </c>
      <c r="H211" s="365">
        <f t="shared" si="89"/>
        <v>-0.11964429364673472</v>
      </c>
      <c r="I211" s="363">
        <f t="shared" si="90"/>
        <v>41040.5732687415</v>
      </c>
      <c r="J211" s="366">
        <f t="shared" si="91"/>
        <v>1.5707719606635184</v>
      </c>
      <c r="K211" s="374">
        <f t="shared" si="82"/>
        <v>10.040867383305477</v>
      </c>
      <c r="L211" s="375">
        <f t="shared" si="83"/>
        <v>1.4710379581677375</v>
      </c>
      <c r="M211" s="363">
        <f t="shared" si="92"/>
        <v>1.0477738686010305</v>
      </c>
      <c r="N211" s="366">
        <f t="shared" si="93"/>
        <v>0.30313811878175578</v>
      </c>
      <c r="O211" s="367">
        <f t="shared" si="94"/>
        <v>1.0051405927490491</v>
      </c>
      <c r="P211" s="368">
        <f t="shared" si="95"/>
        <v>0.13696731776077448</v>
      </c>
      <c r="Q211" s="369">
        <f t="shared" si="96"/>
        <v>-9.2602975810059114</v>
      </c>
      <c r="R211" s="370">
        <f t="shared" si="97"/>
        <v>-99.893107932391132</v>
      </c>
      <c r="S211" s="372">
        <f t="shared" si="98"/>
        <v>80.106892067608868</v>
      </c>
      <c r="U211" s="345">
        <f t="shared" si="104"/>
        <v>12093</v>
      </c>
      <c r="V211" s="345">
        <f t="shared" si="105"/>
        <v>146240649</v>
      </c>
      <c r="X211" s="371">
        <f t="shared" si="99"/>
        <v>15.462479324219471</v>
      </c>
      <c r="Y211" s="372">
        <f t="shared" si="100"/>
        <v>-23.082872259061535</v>
      </c>
      <c r="AA211" s="371">
        <f t="shared" si="101"/>
        <v>21.297823008054241</v>
      </c>
      <c r="AB211" s="372">
        <f t="shared" si="102"/>
        <v>-76.810235673329615</v>
      </c>
      <c r="AD211">
        <f t="shared" si="106"/>
        <v>0</v>
      </c>
      <c r="AE211">
        <f t="shared" si="81"/>
        <v>0</v>
      </c>
    </row>
    <row r="212" spans="1:31" x14ac:dyDescent="0.2">
      <c r="A212" s="373">
        <v>12163</v>
      </c>
      <c r="B212" s="390">
        <f t="shared" si="103"/>
        <v>12.163</v>
      </c>
      <c r="C212" s="363">
        <f t="shared" si="84"/>
        <v>16.012743658054475</v>
      </c>
      <c r="D212" s="364">
        <f t="shared" si="85"/>
        <v>1.5083054026524108</v>
      </c>
      <c r="E212" s="364">
        <f t="shared" si="86"/>
        <v>1.0982120253877206</v>
      </c>
      <c r="F212" s="365">
        <f t="shared" si="87"/>
        <v>0.42613302189381974</v>
      </c>
      <c r="G212" s="364">
        <f t="shared" si="88"/>
        <v>1.0072836152092908</v>
      </c>
      <c r="H212" s="365">
        <f t="shared" si="89"/>
        <v>-0.12033020439779939</v>
      </c>
      <c r="I212" s="363">
        <f t="shared" si="90"/>
        <v>41278.135505333841</v>
      </c>
      <c r="J212" s="366">
        <f t="shared" si="91"/>
        <v>1.5707721008944808</v>
      </c>
      <c r="K212" s="374">
        <f t="shared" si="82"/>
        <v>10.098413820979271</v>
      </c>
      <c r="L212" s="375">
        <f t="shared" si="83"/>
        <v>1.4716083144928291</v>
      </c>
      <c r="M212" s="363">
        <f t="shared" si="92"/>
        <v>1.0483157592748924</v>
      </c>
      <c r="N212" s="366">
        <f t="shared" si="93"/>
        <v>0.30478643567625857</v>
      </c>
      <c r="O212" s="367">
        <f t="shared" si="94"/>
        <v>1.0052002296345242</v>
      </c>
      <c r="P212" s="368">
        <f t="shared" si="95"/>
        <v>0.13775696315059055</v>
      </c>
      <c r="Q212" s="369">
        <f t="shared" si="96"/>
        <v>-9.3064916258034422</v>
      </c>
      <c r="R212" s="370">
        <f t="shared" si="97"/>
        <v>-99.935858542730031</v>
      </c>
      <c r="S212" s="372">
        <f t="shared" si="98"/>
        <v>80.064141457269969</v>
      </c>
      <c r="U212" s="345">
        <f t="shared" si="104"/>
        <v>12163</v>
      </c>
      <c r="V212" s="345">
        <f t="shared" si="105"/>
        <v>147938569</v>
      </c>
      <c r="X212" s="371">
        <f t="shared" si="99"/>
        <v>15.457493865117556</v>
      </c>
      <c r="Y212" s="372">
        <f t="shared" si="100"/>
        <v>-23.144642884883197</v>
      </c>
      <c r="AA212" s="371">
        <f t="shared" si="101"/>
        <v>21.256614422358627</v>
      </c>
      <c r="AB212" s="372">
        <f t="shared" si="102"/>
        <v>-76.791215657846848</v>
      </c>
      <c r="AD212">
        <f t="shared" si="106"/>
        <v>0</v>
      </c>
      <c r="AE212">
        <f t="shared" si="81"/>
        <v>0</v>
      </c>
    </row>
    <row r="213" spans="1:31" x14ac:dyDescent="0.2">
      <c r="A213" s="373">
        <v>12233</v>
      </c>
      <c r="B213" s="390">
        <f t="shared" si="103"/>
        <v>12.233000000000001</v>
      </c>
      <c r="C213" s="363">
        <f t="shared" si="84"/>
        <v>16.104541158407354</v>
      </c>
      <c r="D213" s="364">
        <f t="shared" si="85"/>
        <v>1.5086620676160372</v>
      </c>
      <c r="E213" s="364">
        <f t="shared" si="86"/>
        <v>1.0992945034817041</v>
      </c>
      <c r="F213" s="365">
        <f t="shared" si="87"/>
        <v>0.42829705769050097</v>
      </c>
      <c r="G213" s="364">
        <f t="shared" si="88"/>
        <v>1.0073673857195897</v>
      </c>
      <c r="H213" s="365">
        <f t="shared" si="89"/>
        <v>-0.12101600139373619</v>
      </c>
      <c r="I213" s="363">
        <f t="shared" si="90"/>
        <v>41515.697741926982</v>
      </c>
      <c r="J213" s="366">
        <f t="shared" si="91"/>
        <v>1.5707722395205765</v>
      </c>
      <c r="K213" s="374">
        <f t="shared" si="82"/>
        <v>10.155963506502179</v>
      </c>
      <c r="L213" s="375">
        <f t="shared" si="83"/>
        <v>1.4721722070482535</v>
      </c>
      <c r="M213" s="363">
        <f t="shared" si="92"/>
        <v>1.0488604952212124</v>
      </c>
      <c r="N213" s="366">
        <f t="shared" si="93"/>
        <v>0.30643304490168255</v>
      </c>
      <c r="O213" s="367">
        <f t="shared" si="94"/>
        <v>1.0052602096311805</v>
      </c>
      <c r="P213" s="368">
        <f t="shared" si="95"/>
        <v>0.13854655369472202</v>
      </c>
      <c r="Q213" s="369">
        <f t="shared" si="96"/>
        <v>-9.3523807136550943</v>
      </c>
      <c r="R213" s="370">
        <f t="shared" si="97"/>
        <v>-99.978880339511875</v>
      </c>
      <c r="S213" s="372">
        <f t="shared" si="98"/>
        <v>80.021119660488125</v>
      </c>
      <c r="U213" s="345">
        <f t="shared" si="104"/>
        <v>12233</v>
      </c>
      <c r="V213" s="345">
        <f t="shared" si="105"/>
        <v>149646289</v>
      </c>
      <c r="X213" s="371">
        <f t="shared" si="99"/>
        <v>15.452495572926743</v>
      </c>
      <c r="Y213" s="372">
        <f t="shared" si="100"/>
        <v>-23.206685923243743</v>
      </c>
      <c r="AA213" s="371">
        <f t="shared" si="101"/>
        <v>21.215723626697788</v>
      </c>
      <c r="AB213" s="372">
        <f t="shared" si="102"/>
        <v>-76.772194416268135</v>
      </c>
      <c r="AD213">
        <f t="shared" si="106"/>
        <v>0</v>
      </c>
      <c r="AE213">
        <f t="shared" si="81"/>
        <v>0</v>
      </c>
    </row>
    <row r="214" spans="1:31" x14ac:dyDescent="0.2">
      <c r="A214" s="373">
        <v>12303</v>
      </c>
      <c r="B214" s="390">
        <f t="shared" si="103"/>
        <v>12.303000000000001</v>
      </c>
      <c r="C214" s="363">
        <f t="shared" si="84"/>
        <v>16.196340684194368</v>
      </c>
      <c r="D214" s="364">
        <f t="shared" si="85"/>
        <v>1.5090146895287881</v>
      </c>
      <c r="E214" s="364">
        <f t="shared" si="86"/>
        <v>1.1003821194852073</v>
      </c>
      <c r="F214" s="365">
        <f t="shared" si="87"/>
        <v>0.43045682572552457</v>
      </c>
      <c r="G214" s="364">
        <f t="shared" si="88"/>
        <v>1.0074516299334979</v>
      </c>
      <c r="H214" s="365">
        <f t="shared" si="89"/>
        <v>-0.12170168401791781</v>
      </c>
      <c r="I214" s="363">
        <f t="shared" si="90"/>
        <v>41753.259978520917</v>
      </c>
      <c r="J214" s="366">
        <f t="shared" si="91"/>
        <v>1.570772376569199</v>
      </c>
      <c r="K214" s="374">
        <f t="shared" si="82"/>
        <v>10.213516384972634</v>
      </c>
      <c r="L214" s="375">
        <f t="shared" si="83"/>
        <v>1.4727297447418199</v>
      </c>
      <c r="M214" s="363">
        <f t="shared" si="92"/>
        <v>1.0494080720091437</v>
      </c>
      <c r="N214" s="366">
        <f t="shared" si="93"/>
        <v>0.30807794019532331</v>
      </c>
      <c r="O214" s="367">
        <f t="shared" si="94"/>
        <v>1.0053205327202408</v>
      </c>
      <c r="P214" s="368">
        <f t="shared" si="95"/>
        <v>0.13933608908678544</v>
      </c>
      <c r="Q214" s="369">
        <f t="shared" si="96"/>
        <v>-9.3979683952758357</v>
      </c>
      <c r="R214" s="370">
        <f t="shared" si="97"/>
        <v>-100.02217111359758</v>
      </c>
      <c r="S214" s="372">
        <f t="shared" si="98"/>
        <v>79.97782888640242</v>
      </c>
      <c r="U214" s="345">
        <f t="shared" si="104"/>
        <v>12303</v>
      </c>
      <c r="V214" s="345">
        <f t="shared" si="105"/>
        <v>151363809</v>
      </c>
      <c r="X214" s="371">
        <f t="shared" si="99"/>
        <v>15.447484329326539</v>
      </c>
      <c r="Y214" s="372">
        <f t="shared" si="100"/>
        <v>-23.268994776928324</v>
      </c>
      <c r="AA214" s="371">
        <f t="shared" si="101"/>
        <v>21.175147188677244</v>
      </c>
      <c r="AB214" s="372">
        <f t="shared" si="102"/>
        <v>-76.753176336669242</v>
      </c>
      <c r="AD214">
        <f t="shared" si="106"/>
        <v>0</v>
      </c>
      <c r="AE214">
        <f t="shared" si="81"/>
        <v>0</v>
      </c>
    </row>
    <row r="215" spans="1:31" x14ac:dyDescent="0.2">
      <c r="A215" s="373">
        <v>12374.5</v>
      </c>
      <c r="B215" s="390">
        <f t="shared" si="103"/>
        <v>12.374499999999999</v>
      </c>
      <c r="C215" s="363">
        <f t="shared" si="84"/>
        <v>16.290109398076481</v>
      </c>
      <c r="D215" s="364">
        <f t="shared" si="85"/>
        <v>1.5093707646687153</v>
      </c>
      <c r="E215" s="364">
        <f t="shared" si="86"/>
        <v>1.1014983299573728</v>
      </c>
      <c r="F215" s="365">
        <f t="shared" si="87"/>
        <v>0.43265846081167053</v>
      </c>
      <c r="G215" s="364">
        <f t="shared" si="88"/>
        <v>1.0075381682955653</v>
      </c>
      <c r="H215" s="365">
        <f t="shared" si="89"/>
        <v>-0.12240194112646854</v>
      </c>
      <c r="I215" s="363">
        <f t="shared" si="90"/>
        <v>41995.91283447123</v>
      </c>
      <c r="J215" s="366">
        <f t="shared" si="91"/>
        <v>1.570772514953872</v>
      </c>
      <c r="K215" s="374">
        <f t="shared" ref="K215:K278" si="107">SQRT(1+(A215/Zero2)^2)</f>
        <v>10.272305779920671</v>
      </c>
      <c r="L215" s="375">
        <f t="shared" ref="L215:L278" si="108">ATAN(A215/Zero2)</f>
        <v>1.4732927797891582</v>
      </c>
      <c r="M215" s="363">
        <f t="shared" si="92"/>
        <v>1.0499703107705747</v>
      </c>
      <c r="N215" s="366">
        <f t="shared" si="93"/>
        <v>0.30975630737007948</v>
      </c>
      <c r="O215" s="367">
        <f t="shared" si="94"/>
        <v>1.0053825026264396</v>
      </c>
      <c r="P215" s="368">
        <f t="shared" si="95"/>
        <v>0.14014248583852065</v>
      </c>
      <c r="Q215" s="369">
        <f t="shared" si="96"/>
        <v>-9.444225422034588</v>
      </c>
      <c r="R215" s="370">
        <f t="shared" si="97"/>
        <v>-100.06666497778724</v>
      </c>
      <c r="S215" s="372">
        <f t="shared" si="98"/>
        <v>79.933335022212759</v>
      </c>
      <c r="U215" s="345">
        <f t="shared" si="104"/>
        <v>12374.5</v>
      </c>
      <c r="V215" s="345">
        <f t="shared" si="105"/>
        <v>153128250.25</v>
      </c>
      <c r="X215" s="371">
        <f t="shared" si="99"/>
        <v>15.44235221392421</v>
      </c>
      <c r="Y215" s="372">
        <f t="shared" si="100"/>
        <v>-23.332906529515469</v>
      </c>
      <c r="AA215" s="371">
        <f t="shared" si="101"/>
        <v>21.134022277320827</v>
      </c>
      <c r="AB215" s="372">
        <f t="shared" si="102"/>
        <v>-76.733758448271814</v>
      </c>
      <c r="AD215">
        <f t="shared" si="106"/>
        <v>0</v>
      </c>
      <c r="AE215">
        <f t="shared" si="81"/>
        <v>0</v>
      </c>
    </row>
    <row r="216" spans="1:31" x14ac:dyDescent="0.2">
      <c r="A216" s="373">
        <v>12446</v>
      </c>
      <c r="B216" s="390">
        <f t="shared" si="103"/>
        <v>12.446</v>
      </c>
      <c r="C216" s="363">
        <f t="shared" si="84"/>
        <v>16.383880153731667</v>
      </c>
      <c r="D216" s="364">
        <f t="shared" si="85"/>
        <v>1.5097227639642756</v>
      </c>
      <c r="E216" s="364">
        <f t="shared" si="86"/>
        <v>1.1026198687839399</v>
      </c>
      <c r="F216" s="365">
        <f t="shared" si="87"/>
        <v>0.43485562770760366</v>
      </c>
      <c r="G216" s="364">
        <f t="shared" si="88"/>
        <v>1.0076252006290634</v>
      </c>
      <c r="H216" s="365">
        <f t="shared" si="89"/>
        <v>-0.12310207761067088</v>
      </c>
      <c r="I216" s="363">
        <f t="shared" si="90"/>
        <v>42238.565690422343</v>
      </c>
      <c r="J216" s="366">
        <f t="shared" si="91"/>
        <v>1.5707726517485556</v>
      </c>
      <c r="K216" s="374">
        <f t="shared" si="107"/>
        <v>10.33109839421464</v>
      </c>
      <c r="L216" s="375">
        <f t="shared" si="108"/>
        <v>1.4738494067280368</v>
      </c>
      <c r="M216" s="363">
        <f t="shared" si="92"/>
        <v>1.0505355040398536</v>
      </c>
      <c r="N216" s="366">
        <f t="shared" si="93"/>
        <v>0.31143287332376435</v>
      </c>
      <c r="O216" s="367">
        <f t="shared" si="94"/>
        <v>1.0054448304466188</v>
      </c>
      <c r="P216" s="368">
        <f t="shared" si="95"/>
        <v>0.14094882440354509</v>
      </c>
      <c r="Q216" s="369">
        <f t="shared" si="96"/>
        <v>-9.4901752871053304</v>
      </c>
      <c r="R216" s="370">
        <f t="shared" si="97"/>
        <v>-100.11143494072371</v>
      </c>
      <c r="S216" s="372">
        <f t="shared" si="98"/>
        <v>79.888565059276289</v>
      </c>
      <c r="U216" s="345">
        <f t="shared" si="104"/>
        <v>12446</v>
      </c>
      <c r="V216" s="345">
        <f t="shared" si="105"/>
        <v>154902916</v>
      </c>
      <c r="X216" s="371">
        <f t="shared" si="99"/>
        <v>15.437206353741059</v>
      </c>
      <c r="Y216" s="372">
        <f t="shared" si="100"/>
        <v>-23.397082146207264</v>
      </c>
      <c r="AA216" s="371">
        <f t="shared" si="101"/>
        <v>21.093218272433237</v>
      </c>
      <c r="AB216" s="372">
        <f t="shared" si="102"/>
        <v>-76.714352794516429</v>
      </c>
      <c r="AD216">
        <f t="shared" si="106"/>
        <v>0</v>
      </c>
      <c r="AE216">
        <f t="shared" si="81"/>
        <v>0</v>
      </c>
    </row>
    <row r="217" spans="1:31" x14ac:dyDescent="0.2">
      <c r="A217" s="373">
        <v>12517.5</v>
      </c>
      <c r="B217" s="390">
        <f t="shared" si="103"/>
        <v>12.5175</v>
      </c>
      <c r="C217" s="363">
        <f t="shared" si="84"/>
        <v>16.477652916302052</v>
      </c>
      <c r="D217" s="364">
        <f t="shared" si="85"/>
        <v>1.510070756913221</v>
      </c>
      <c r="E217" s="364">
        <f t="shared" si="86"/>
        <v>1.1037467197221709</v>
      </c>
      <c r="F217" s="365">
        <f t="shared" si="87"/>
        <v>0.43704831885253587</v>
      </c>
      <c r="G217" s="364">
        <f t="shared" si="88"/>
        <v>1.0077127268060047</v>
      </c>
      <c r="H217" s="365">
        <f t="shared" si="89"/>
        <v>-0.12380209281546638</v>
      </c>
      <c r="I217" s="363">
        <f t="shared" si="90"/>
        <v>42481.218546374243</v>
      </c>
      <c r="J217" s="366">
        <f t="shared" si="91"/>
        <v>1.5707727869804959</v>
      </c>
      <c r="K217" s="374">
        <f t="shared" si="107"/>
        <v>10.389894173203231</v>
      </c>
      <c r="L217" s="375">
        <f t="shared" si="108"/>
        <v>1.4743997339998587</v>
      </c>
      <c r="M217" s="363">
        <f t="shared" si="92"/>
        <v>1.0511036470509387</v>
      </c>
      <c r="N217" s="366">
        <f t="shared" si="93"/>
        <v>0.31310763154440169</v>
      </c>
      <c r="O217" s="367">
        <f t="shared" si="94"/>
        <v>1.005507516160439</v>
      </c>
      <c r="P217" s="368">
        <f t="shared" si="95"/>
        <v>0.14175510445586409</v>
      </c>
      <c r="Q217" s="369">
        <f t="shared" si="96"/>
        <v>-9.5358215867942651</v>
      </c>
      <c r="R217" s="370">
        <f t="shared" si="97"/>
        <v>-100.15647877654342</v>
      </c>
      <c r="S217" s="372">
        <f t="shared" si="98"/>
        <v>79.843521223456577</v>
      </c>
      <c r="U217" s="345">
        <f t="shared" si="104"/>
        <v>12517.5</v>
      </c>
      <c r="V217" s="345">
        <f t="shared" si="105"/>
        <v>156687806.25</v>
      </c>
      <c r="X217" s="371">
        <f t="shared" si="99"/>
        <v>15.432046639698418</v>
      </c>
      <c r="Y217" s="372">
        <f t="shared" si="100"/>
        <v>-23.46151504222134</v>
      </c>
      <c r="AA217" s="371">
        <f t="shared" si="101"/>
        <v>21.052731686786942</v>
      </c>
      <c r="AB217" s="372">
        <f t="shared" si="102"/>
        <v>-76.694963734322073</v>
      </c>
      <c r="AD217">
        <f t="shared" si="106"/>
        <v>0</v>
      </c>
      <c r="AE217">
        <f t="shared" si="81"/>
        <v>0</v>
      </c>
    </row>
    <row r="218" spans="1:31" x14ac:dyDescent="0.2">
      <c r="A218" s="373">
        <v>12589</v>
      </c>
      <c r="B218" s="390">
        <f t="shared" si="103"/>
        <v>12.589</v>
      </c>
      <c r="C218" s="363">
        <f t="shared" si="84"/>
        <v>16.571427651718043</v>
      </c>
      <c r="D218" s="364">
        <f t="shared" si="85"/>
        <v>1.5104148114441343</v>
      </c>
      <c r="E218" s="364">
        <f t="shared" si="86"/>
        <v>1.1048788665188138</v>
      </c>
      <c r="F218" s="365">
        <f t="shared" si="87"/>
        <v>0.43923652688860088</v>
      </c>
      <c r="G218" s="364">
        <f t="shared" si="88"/>
        <v>1.0078007466977201</v>
      </c>
      <c r="H218" s="365">
        <f t="shared" si="89"/>
        <v>-0.12450198608649901</v>
      </c>
      <c r="I218" s="363">
        <f t="shared" si="90"/>
        <v>42723.871402326899</v>
      </c>
      <c r="J218" s="366">
        <f t="shared" si="91"/>
        <v>1.5707729206763201</v>
      </c>
      <c r="K218" s="374">
        <f t="shared" si="107"/>
        <v>10.448693063462343</v>
      </c>
      <c r="L218" s="375">
        <f t="shared" si="108"/>
        <v>1.4749438676205187</v>
      </c>
      <c r="M218" s="363">
        <f t="shared" si="92"/>
        <v>1.05167473502324</v>
      </c>
      <c r="N218" s="366">
        <f t="shared" si="93"/>
        <v>0.31478057557461298</v>
      </c>
      <c r="O218" s="367">
        <f t="shared" si="94"/>
        <v>1.0055705597474491</v>
      </c>
      <c r="P218" s="368">
        <f t="shared" si="95"/>
        <v>0.14256132566965649</v>
      </c>
      <c r="Q218" s="369">
        <f t="shared" si="96"/>
        <v>-9.5811678570845409</v>
      </c>
      <c r="R218" s="370">
        <f t="shared" si="97"/>
        <v>-100.20179429996392</v>
      </c>
      <c r="S218" s="372">
        <f t="shared" si="98"/>
        <v>79.798205700036078</v>
      </c>
      <c r="U218" s="345">
        <f t="shared" si="104"/>
        <v>12589</v>
      </c>
      <c r="V218" s="345">
        <f t="shared" si="105"/>
        <v>158482921</v>
      </c>
      <c r="X218" s="371">
        <f t="shared" si="99"/>
        <v>15.426872968073518</v>
      </c>
      <c r="Y218" s="372">
        <f t="shared" si="100"/>
        <v>-23.526198774839436</v>
      </c>
      <c r="AA218" s="371">
        <f t="shared" si="101"/>
        <v>21.012559088121563</v>
      </c>
      <c r="AB218" s="372">
        <f t="shared" si="102"/>
        <v>-76.675595525124493</v>
      </c>
      <c r="AD218">
        <f t="shared" si="106"/>
        <v>0</v>
      </c>
      <c r="AE218">
        <f t="shared" ref="AE218:AE281" si="109">IF(AD218&gt;0,S218,0)</f>
        <v>0</v>
      </c>
    </row>
    <row r="219" spans="1:31" x14ac:dyDescent="0.2">
      <c r="A219" s="373">
        <v>12662.25</v>
      </c>
      <c r="B219" s="390">
        <f t="shared" si="103"/>
        <v>12.66225</v>
      </c>
      <c r="C219" s="363">
        <f t="shared" si="84"/>
        <v>16.667499584018959</v>
      </c>
      <c r="D219" s="364">
        <f t="shared" si="85"/>
        <v>1.510763272113623</v>
      </c>
      <c r="E219" s="364">
        <f t="shared" si="86"/>
        <v>1.1060441980725957</v>
      </c>
      <c r="F219" s="365">
        <f t="shared" si="87"/>
        <v>0.44147363594246886</v>
      </c>
      <c r="G219" s="364">
        <f t="shared" si="88"/>
        <v>1.00789143277576</v>
      </c>
      <c r="H219" s="365">
        <f t="shared" si="89"/>
        <v>-0.12521888248217333</v>
      </c>
      <c r="I219" s="363">
        <f t="shared" si="90"/>
        <v>42972.463314195265</v>
      </c>
      <c r="J219" s="366">
        <f t="shared" si="91"/>
        <v>1.5707730560786526</v>
      </c>
      <c r="K219" s="374">
        <f t="shared" si="107"/>
        <v>10.508934259227786</v>
      </c>
      <c r="L219" s="375">
        <f t="shared" si="108"/>
        <v>1.4754950046578363</v>
      </c>
      <c r="M219" s="363">
        <f t="shared" si="92"/>
        <v>1.0522628496225994</v>
      </c>
      <c r="N219" s="366">
        <f t="shared" si="93"/>
        <v>0.31649257775508333</v>
      </c>
      <c r="O219" s="367">
        <f t="shared" si="94"/>
        <v>1.0056355174569027</v>
      </c>
      <c r="P219" s="368">
        <f t="shared" si="95"/>
        <v>0.14338721821374001</v>
      </c>
      <c r="Q219" s="369">
        <f t="shared" si="96"/>
        <v>-9.6273165015736115</v>
      </c>
      <c r="R219" s="370">
        <f t="shared" si="97"/>
        <v>-100.24849844480444</v>
      </c>
      <c r="S219" s="372">
        <f t="shared" si="98"/>
        <v>79.75150155519556</v>
      </c>
      <c r="U219" s="345">
        <f t="shared" si="104"/>
        <v>12662.25</v>
      </c>
      <c r="V219" s="345">
        <f t="shared" si="105"/>
        <v>160332575.0625</v>
      </c>
      <c r="X219" s="371">
        <f t="shared" si="99"/>
        <v>15.42155809093753</v>
      </c>
      <c r="Y219" s="372">
        <f t="shared" si="100"/>
        <v>-23.592719206184135</v>
      </c>
      <c r="AA219" s="371">
        <f t="shared" si="101"/>
        <v>20.971725320768478</v>
      </c>
      <c r="AB219" s="372">
        <f t="shared" si="102"/>
        <v>-76.655779238620312</v>
      </c>
      <c r="AD219">
        <f t="shared" si="106"/>
        <v>0</v>
      </c>
      <c r="AE219">
        <f t="shared" si="109"/>
        <v>0</v>
      </c>
    </row>
    <row r="220" spans="1:31" x14ac:dyDescent="0.2">
      <c r="A220" s="373">
        <v>12735.5</v>
      </c>
      <c r="B220" s="390">
        <f t="shared" si="103"/>
        <v>12.7355</v>
      </c>
      <c r="C220" s="363">
        <f t="shared" si="84"/>
        <v>16.763573516970844</v>
      </c>
      <c r="D220" s="364">
        <f t="shared" si="85"/>
        <v>1.5111077386896423</v>
      </c>
      <c r="E220" s="364">
        <f t="shared" si="86"/>
        <v>1.1072150533301512</v>
      </c>
      <c r="F220" s="365">
        <f t="shared" si="87"/>
        <v>0.44370602476304294</v>
      </c>
      <c r="G220" s="364">
        <f t="shared" si="88"/>
        <v>1.0079826367566074</v>
      </c>
      <c r="H220" s="365">
        <f t="shared" si="89"/>
        <v>-0.125935649514161</v>
      </c>
      <c r="I220" s="363">
        <f t="shared" si="90"/>
        <v>43221.055226064418</v>
      </c>
      <c r="J220" s="366">
        <f t="shared" si="91"/>
        <v>1.5707731899234145</v>
      </c>
      <c r="K220" s="374">
        <f t="shared" si="107"/>
        <v>10.569178610714653</v>
      </c>
      <c r="L220" s="375">
        <f t="shared" si="108"/>
        <v>1.4760398588933765</v>
      </c>
      <c r="M220" s="363">
        <f t="shared" si="92"/>
        <v>1.0528540449024961</v>
      </c>
      <c r="N220" s="366">
        <f t="shared" si="93"/>
        <v>0.31820266230692912</v>
      </c>
      <c r="O220" s="367">
        <f t="shared" si="94"/>
        <v>1.0057008507283896</v>
      </c>
      <c r="P220" s="368">
        <f t="shared" si="95"/>
        <v>0.14421304831210327</v>
      </c>
      <c r="Q220" s="369">
        <f t="shared" si="96"/>
        <v>-9.6731575752187453</v>
      </c>
      <c r="R220" s="370">
        <f t="shared" si="97"/>
        <v>-100.29548322127934</v>
      </c>
      <c r="S220" s="372">
        <f t="shared" si="98"/>
        <v>79.704516778720659</v>
      </c>
      <c r="U220" s="345">
        <f t="shared" si="104"/>
        <v>12735.5</v>
      </c>
      <c r="V220" s="345">
        <f t="shared" si="105"/>
        <v>162192960.25</v>
      </c>
      <c r="X220" s="371">
        <f t="shared" si="99"/>
        <v>15.416228360704746</v>
      </c>
      <c r="Y220" s="372">
        <f t="shared" si="100"/>
        <v>-23.659489654285409</v>
      </c>
      <c r="AA220" s="371">
        <f t="shared" si="101"/>
        <v>20.931213977356133</v>
      </c>
      <c r="AB220" s="372">
        <f t="shared" si="102"/>
        <v>-76.635993566993932</v>
      </c>
      <c r="AD220">
        <f t="shared" si="106"/>
        <v>0</v>
      </c>
      <c r="AE220">
        <f t="shared" si="109"/>
        <v>0</v>
      </c>
    </row>
    <row r="221" spans="1:31" x14ac:dyDescent="0.2">
      <c r="A221" s="373">
        <v>12808.75</v>
      </c>
      <c r="B221" s="390">
        <f t="shared" si="103"/>
        <v>12.80875</v>
      </c>
      <c r="C221" s="363">
        <f t="shared" si="84"/>
        <v>16.859649416371855</v>
      </c>
      <c r="D221" s="364">
        <f t="shared" si="85"/>
        <v>1.5114482793716071</v>
      </c>
      <c r="E221" s="364">
        <f t="shared" si="86"/>
        <v>1.1083914147864975</v>
      </c>
      <c r="F221" s="365">
        <f t="shared" si="87"/>
        <v>0.44593368609388867</v>
      </c>
      <c r="G221" s="364">
        <f t="shared" si="88"/>
        <v>1.0080743584996925</v>
      </c>
      <c r="H221" s="365">
        <f t="shared" si="89"/>
        <v>-0.12665228648118917</v>
      </c>
      <c r="I221" s="363">
        <f t="shared" si="90"/>
        <v>43469.647137934327</v>
      </c>
      <c r="J221" s="366">
        <f t="shared" si="91"/>
        <v>1.5707733222373277</v>
      </c>
      <c r="K221" s="374">
        <f t="shared" si="107"/>
        <v>10.629426064265937</v>
      </c>
      <c r="L221" s="375">
        <f t="shared" si="108"/>
        <v>1.4765785368333846</v>
      </c>
      <c r="M221" s="363">
        <f t="shared" si="92"/>
        <v>1.0534483156762955</v>
      </c>
      <c r="N221" s="366">
        <f t="shared" si="93"/>
        <v>0.31991082246521158</v>
      </c>
      <c r="O221" s="367">
        <f t="shared" si="94"/>
        <v>1.0057665595395593</v>
      </c>
      <c r="P221" s="368">
        <f t="shared" si="95"/>
        <v>0.14503881561498363</v>
      </c>
      <c r="Q221" s="369">
        <f t="shared" si="96"/>
        <v>-9.718694691994914</v>
      </c>
      <c r="R221" s="370">
        <f t="shared" si="97"/>
        <v>-100.34274640404071</v>
      </c>
      <c r="S221" s="372">
        <f t="shared" si="98"/>
        <v>79.65725359595929</v>
      </c>
      <c r="U221" s="345">
        <f t="shared" si="104"/>
        <v>12808.75</v>
      </c>
      <c r="V221" s="345">
        <f t="shared" si="105"/>
        <v>164064076.5625</v>
      </c>
      <c r="X221" s="371">
        <f t="shared" si="99"/>
        <v>15.410883682197337</v>
      </c>
      <c r="Y221" s="372">
        <f t="shared" si="100"/>
        <v>-23.726503630713498</v>
      </c>
      <c r="AA221" s="371">
        <f t="shared" si="101"/>
        <v>20.891021539087372</v>
      </c>
      <c r="AB221" s="372">
        <f t="shared" si="102"/>
        <v>-76.616242773327201</v>
      </c>
      <c r="AD221">
        <f t="shared" si="106"/>
        <v>0</v>
      </c>
      <c r="AE221">
        <f t="shared" si="109"/>
        <v>0</v>
      </c>
    </row>
    <row r="222" spans="1:31" x14ac:dyDescent="0.2">
      <c r="A222" s="373">
        <v>12882</v>
      </c>
      <c r="B222" s="390">
        <f t="shared" si="103"/>
        <v>12.882</v>
      </c>
      <c r="C222" s="363">
        <f t="shared" si="84"/>
        <v>16.955727248794627</v>
      </c>
      <c r="D222" s="364">
        <f t="shared" si="85"/>
        <v>1.511784960816843</v>
      </c>
      <c r="E222" s="364">
        <f t="shared" si="86"/>
        <v>1.1095732649287395</v>
      </c>
      <c r="F222" s="365">
        <f t="shared" si="87"/>
        <v>0.44815661289695119</v>
      </c>
      <c r="G222" s="364">
        <f t="shared" si="88"/>
        <v>1.0081665978636993</v>
      </c>
      <c r="H222" s="365">
        <f t="shared" si="89"/>
        <v>-0.12736879268277368</v>
      </c>
      <c r="I222" s="363">
        <f t="shared" si="90"/>
        <v>43718.239049805001</v>
      </c>
      <c r="J222" s="366">
        <f t="shared" si="91"/>
        <v>1.5707734530465065</v>
      </c>
      <c r="K222" s="374">
        <f t="shared" si="107"/>
        <v>10.689676567431555</v>
      </c>
      <c r="L222" s="375">
        <f t="shared" si="108"/>
        <v>1.4771111425974139</v>
      </c>
      <c r="M222" s="363">
        <f t="shared" si="92"/>
        <v>1.0540456567421086</v>
      </c>
      <c r="N222" s="366">
        <f t="shared" si="93"/>
        <v>0.32161705152512859</v>
      </c>
      <c r="O222" s="367">
        <f t="shared" si="94"/>
        <v>1.0058326438679399</v>
      </c>
      <c r="P222" s="368">
        <f t="shared" si="95"/>
        <v>0.14586451977281348</v>
      </c>
      <c r="Q222" s="369">
        <f t="shared" si="96"/>
        <v>-9.7639314053106556</v>
      </c>
      <c r="R222" s="370">
        <f t="shared" si="97"/>
        <v>-100.39028580708769</v>
      </c>
      <c r="S222" s="372">
        <f t="shared" si="98"/>
        <v>79.609714192912307</v>
      </c>
      <c r="U222" s="345">
        <f t="shared" si="104"/>
        <v>12882</v>
      </c>
      <c r="V222" s="345">
        <f t="shared" si="105"/>
        <v>165945924</v>
      </c>
      <c r="X222" s="371">
        <f t="shared" si="99"/>
        <v>15.40552396539136</v>
      </c>
      <c r="Y222" s="372">
        <f t="shared" si="100"/>
        <v>-23.793754787196811</v>
      </c>
      <c r="AA222" s="371">
        <f t="shared" si="101"/>
        <v>20.851144542577607</v>
      </c>
      <c r="AB222" s="372">
        <f t="shared" si="102"/>
        <v>-76.596531019890875</v>
      </c>
      <c r="AD222">
        <f t="shared" si="106"/>
        <v>0</v>
      </c>
      <c r="AE222">
        <f t="shared" si="109"/>
        <v>0</v>
      </c>
    </row>
    <row r="223" spans="1:31" x14ac:dyDescent="0.2">
      <c r="A223" s="373">
        <v>12957.25</v>
      </c>
      <c r="B223" s="390">
        <f t="shared" si="103"/>
        <v>12.95725</v>
      </c>
      <c r="C223" s="363">
        <f t="shared" si="84"/>
        <v>17.054430345325308</v>
      </c>
      <c r="D223" s="364">
        <f t="shared" si="85"/>
        <v>1.512126884655248</v>
      </c>
      <c r="E223" s="364">
        <f t="shared" si="86"/>
        <v>1.1107930811311759</v>
      </c>
      <c r="F223" s="365">
        <f t="shared" si="87"/>
        <v>0.45043529658304726</v>
      </c>
      <c r="G223" s="364">
        <f t="shared" si="88"/>
        <v>1.0082618945727055</v>
      </c>
      <c r="H223" s="365">
        <f t="shared" si="89"/>
        <v>-0.12810472528861505</v>
      </c>
      <c r="I223" s="363">
        <f t="shared" si="90"/>
        <v>43973.618454150717</v>
      </c>
      <c r="J223" s="366">
        <f t="shared" si="91"/>
        <v>1.5707735858871605</v>
      </c>
      <c r="K223" s="374">
        <f t="shared" si="107"/>
        <v>10.751575257306204</v>
      </c>
      <c r="L223" s="375">
        <f t="shared" si="108"/>
        <v>1.4776520743240351</v>
      </c>
      <c r="M223" s="363">
        <f t="shared" si="92"/>
        <v>1.0546624991616944</v>
      </c>
      <c r="N223" s="366">
        <f t="shared" si="93"/>
        <v>0.32336784915465561</v>
      </c>
      <c r="O223" s="367">
        <f t="shared" si="94"/>
        <v>1.0059009235595697</v>
      </c>
      <c r="P223" s="368">
        <f t="shared" si="95"/>
        <v>0.14671270263221239</v>
      </c>
      <c r="Q223" s="369">
        <f t="shared" si="96"/>
        <v>-9.8100941034161391</v>
      </c>
      <c r="R223" s="370">
        <f t="shared" si="97"/>
        <v>-100.43940859358248</v>
      </c>
      <c r="S223" s="372">
        <f t="shared" si="98"/>
        <v>79.560591406417515</v>
      </c>
      <c r="U223" s="345">
        <f t="shared" si="104"/>
        <v>12957.25</v>
      </c>
      <c r="V223" s="345">
        <f t="shared" si="105"/>
        <v>167890327.5625</v>
      </c>
      <c r="X223" s="371">
        <f t="shared" si="99"/>
        <v>15.400002159060778</v>
      </c>
      <c r="Y223" s="372">
        <f t="shared" si="100"/>
        <v>-23.863082608498139</v>
      </c>
      <c r="AA223" s="371">
        <f t="shared" si="101"/>
        <v>20.810503650802708</v>
      </c>
      <c r="AB223" s="372">
        <f t="shared" si="102"/>
        <v>-76.576325985084367</v>
      </c>
      <c r="AD223">
        <f t="shared" si="106"/>
        <v>0</v>
      </c>
      <c r="AE223">
        <f t="shared" si="109"/>
        <v>0</v>
      </c>
    </row>
    <row r="224" spans="1:31" x14ac:dyDescent="0.2">
      <c r="A224" s="373">
        <v>13032.5</v>
      </c>
      <c r="B224" s="390">
        <f t="shared" si="103"/>
        <v>13.032500000000001</v>
      </c>
      <c r="C224" s="363">
        <f t="shared" si="84"/>
        <v>17.153135412775569</v>
      </c>
      <c r="D224" s="364">
        <f t="shared" si="85"/>
        <v>1.512464873436993</v>
      </c>
      <c r="E224" s="364">
        <f t="shared" si="86"/>
        <v>1.1120186523438427</v>
      </c>
      <c r="F224" s="365">
        <f t="shared" si="87"/>
        <v>0.45270896931540627</v>
      </c>
      <c r="G224" s="364">
        <f t="shared" si="88"/>
        <v>1.0083577372497401</v>
      </c>
      <c r="H224" s="365">
        <f t="shared" si="89"/>
        <v>-0.12884051839462748</v>
      </c>
      <c r="I224" s="363">
        <f t="shared" si="90"/>
        <v>44228.997858497205</v>
      </c>
      <c r="J224" s="366">
        <f t="shared" si="91"/>
        <v>1.5707737171937637</v>
      </c>
      <c r="K224" s="374">
        <f t="shared" si="107"/>
        <v>10.813477057151299</v>
      </c>
      <c r="L224" s="375">
        <f t="shared" si="108"/>
        <v>1.4781868130732514</v>
      </c>
      <c r="M224" s="363">
        <f t="shared" si="92"/>
        <v>1.0552825706450004</v>
      </c>
      <c r="N224" s="366">
        <f t="shared" si="93"/>
        <v>0.32511659464364867</v>
      </c>
      <c r="O224" s="367">
        <f t="shared" si="94"/>
        <v>1.005969599505943</v>
      </c>
      <c r="P224" s="368">
        <f t="shared" si="95"/>
        <v>0.14756081810402336</v>
      </c>
      <c r="Q224" s="369">
        <f t="shared" si="96"/>
        <v>-9.8559471819640301</v>
      </c>
      <c r="R224" s="370">
        <f t="shared" si="97"/>
        <v>-100.48881833524523</v>
      </c>
      <c r="S224" s="372">
        <f t="shared" si="98"/>
        <v>79.511181664754773</v>
      </c>
      <c r="U224" s="345">
        <f t="shared" si="104"/>
        <v>13032.5</v>
      </c>
      <c r="V224" s="345">
        <f t="shared" si="105"/>
        <v>169846056.25</v>
      </c>
      <c r="X224" s="371">
        <f t="shared" si="99"/>
        <v>15.39446430538538</v>
      </c>
      <c r="Y224" s="372">
        <f t="shared" si="100"/>
        <v>-23.932647594381461</v>
      </c>
      <c r="AA224" s="371">
        <f t="shared" si="101"/>
        <v>20.770188425930215</v>
      </c>
      <c r="AB224" s="372">
        <f t="shared" si="102"/>
        <v>-76.556170740863791</v>
      </c>
      <c r="AD224">
        <f t="shared" si="106"/>
        <v>0</v>
      </c>
      <c r="AE224">
        <f t="shared" si="109"/>
        <v>0</v>
      </c>
    </row>
    <row r="225" spans="1:31" x14ac:dyDescent="0.2">
      <c r="A225" s="373">
        <v>13107.75</v>
      </c>
      <c r="B225" s="390">
        <f t="shared" si="103"/>
        <v>13.107749999999999</v>
      </c>
      <c r="C225" s="363">
        <f t="shared" si="84"/>
        <v>17.251842417316023</v>
      </c>
      <c r="D225" s="364">
        <f t="shared" si="85"/>
        <v>1.5127989946278686</v>
      </c>
      <c r="E225" s="364">
        <f t="shared" si="86"/>
        <v>1.1132499595597558</v>
      </c>
      <c r="F225" s="365">
        <f t="shared" si="87"/>
        <v>0.45497762417461285</v>
      </c>
      <c r="G225" s="364">
        <f t="shared" si="88"/>
        <v>1.0084541257391382</v>
      </c>
      <c r="H225" s="365">
        <f t="shared" si="89"/>
        <v>-0.1295761712439947</v>
      </c>
      <c r="I225" s="363">
        <f t="shared" si="90"/>
        <v>44484.377262844449</v>
      </c>
      <c r="J225" s="366">
        <f t="shared" si="91"/>
        <v>1.5707738469927366</v>
      </c>
      <c r="K225" s="374">
        <f t="shared" si="107"/>
        <v>10.875381913861734</v>
      </c>
      <c r="L225" s="375">
        <f t="shared" si="108"/>
        <v>1.4787154642916207</v>
      </c>
      <c r="M225" s="363">
        <f t="shared" si="92"/>
        <v>1.055905865503308</v>
      </c>
      <c r="N225" s="366">
        <f t="shared" si="93"/>
        <v>0.32686328092114891</v>
      </c>
      <c r="O225" s="367">
        <f t="shared" si="94"/>
        <v>1.0060386716822958</v>
      </c>
      <c r="P225" s="368">
        <f t="shared" si="95"/>
        <v>0.14840886580990692</v>
      </c>
      <c r="Q225" s="369">
        <f t="shared" si="96"/>
        <v>-9.9014943027991418</v>
      </c>
      <c r="R225" s="370">
        <f t="shared" si="97"/>
        <v>-100.5385127837296</v>
      </c>
      <c r="S225" s="372">
        <f t="shared" si="98"/>
        <v>79.461487216270399</v>
      </c>
      <c r="U225" s="345">
        <f t="shared" si="104"/>
        <v>13107.75</v>
      </c>
      <c r="V225" s="345">
        <f t="shared" si="105"/>
        <v>171813110.0625</v>
      </c>
      <c r="X225" s="371">
        <f t="shared" si="99"/>
        <v>15.388910322644096</v>
      </c>
      <c r="Y225" s="372">
        <f t="shared" si="100"/>
        <v>-24.00244329958171</v>
      </c>
      <c r="AA225" s="371">
        <f t="shared" si="101"/>
        <v>20.730195287836388</v>
      </c>
      <c r="AB225" s="372">
        <f t="shared" si="102"/>
        <v>-76.536069484147887</v>
      </c>
      <c r="AD225">
        <f t="shared" si="106"/>
        <v>0</v>
      </c>
      <c r="AE225">
        <f t="shared" si="109"/>
        <v>0</v>
      </c>
    </row>
    <row r="226" spans="1:31" x14ac:dyDescent="0.2">
      <c r="A226" s="373">
        <v>13183</v>
      </c>
      <c r="B226" s="390">
        <f t="shared" si="103"/>
        <v>13.183</v>
      </c>
      <c r="C226" s="363">
        <f t="shared" si="84"/>
        <v>17.35055132588645</v>
      </c>
      <c r="D226" s="364">
        <f t="shared" si="85"/>
        <v>1.5131293141618887</v>
      </c>
      <c r="E226" s="364">
        <f t="shared" si="86"/>
        <v>1.1144869837671667</v>
      </c>
      <c r="F226" s="365">
        <f t="shared" si="87"/>
        <v>0.45724125447836533</v>
      </c>
      <c r="G226" s="364">
        <f t="shared" si="88"/>
        <v>1.0085510598844079</v>
      </c>
      <c r="H226" s="365">
        <f t="shared" si="89"/>
        <v>-0.13031168308079613</v>
      </c>
      <c r="I226" s="363">
        <f t="shared" si="90"/>
        <v>44739.756667192429</v>
      </c>
      <c r="J226" s="366">
        <f t="shared" si="91"/>
        <v>1.5707739753098959</v>
      </c>
      <c r="K226" s="374">
        <f t="shared" si="107"/>
        <v>10.937289775532104</v>
      </c>
      <c r="L226" s="375">
        <f t="shared" si="108"/>
        <v>1.4792381310520706</v>
      </c>
      <c r="M226" s="363">
        <f t="shared" si="92"/>
        <v>1.0565323780317861</v>
      </c>
      <c r="N226" s="366">
        <f t="shared" si="93"/>
        <v>0.32860790098309955</v>
      </c>
      <c r="O226" s="367">
        <f t="shared" si="94"/>
        <v>1.0061081400637299</v>
      </c>
      <c r="P226" s="368">
        <f t="shared" si="95"/>
        <v>0.14925684537174577</v>
      </c>
      <c r="Q226" s="369">
        <f t="shared" si="96"/>
        <v>-9.9467390662791573</v>
      </c>
      <c r="R226" s="370">
        <f t="shared" si="97"/>
        <v>-100.58848972920096</v>
      </c>
      <c r="S226" s="372">
        <f t="shared" si="98"/>
        <v>79.411510270799042</v>
      </c>
      <c r="U226" s="345">
        <f t="shared" si="104"/>
        <v>13183</v>
      </c>
      <c r="V226" s="345">
        <f t="shared" si="105"/>
        <v>173791489</v>
      </c>
      <c r="X226" s="371">
        <f t="shared" si="99"/>
        <v>15.383340134126879</v>
      </c>
      <c r="Y226" s="372">
        <f t="shared" si="100"/>
        <v>-24.072463418631461</v>
      </c>
      <c r="AA226" s="371">
        <f t="shared" si="101"/>
        <v>20.690520712873589</v>
      </c>
      <c r="AB226" s="372">
        <f t="shared" si="102"/>
        <v>-76.516026310569487</v>
      </c>
      <c r="AD226">
        <f t="shared" si="106"/>
        <v>0</v>
      </c>
      <c r="AE226">
        <f t="shared" si="109"/>
        <v>0</v>
      </c>
    </row>
    <row r="227" spans="1:31" x14ac:dyDescent="0.2">
      <c r="A227" s="373">
        <v>13259.75</v>
      </c>
      <c r="B227" s="390">
        <f t="shared" si="103"/>
        <v>13.25975</v>
      </c>
      <c r="C227" s="363">
        <f t="shared" si="84"/>
        <v>17.451229781733449</v>
      </c>
      <c r="D227" s="364">
        <f t="shared" si="85"/>
        <v>1.5134623688742388</v>
      </c>
      <c r="E227" s="364">
        <f t="shared" si="86"/>
        <v>1.1157545356136562</v>
      </c>
      <c r="F227" s="365">
        <f t="shared" si="87"/>
        <v>0.45954482450756212</v>
      </c>
      <c r="G227" s="364">
        <f t="shared" si="88"/>
        <v>1.0086504881882128</v>
      </c>
      <c r="H227" s="365">
        <f t="shared" si="89"/>
        <v>-0.13106171024330243</v>
      </c>
      <c r="I227" s="363">
        <f t="shared" si="90"/>
        <v>45000.22669089694</v>
      </c>
      <c r="J227" s="366">
        <f t="shared" si="91"/>
        <v>1.5707741046846182</v>
      </c>
      <c r="K227" s="374">
        <f t="shared" si="107"/>
        <v>11.000434723755026</v>
      </c>
      <c r="L227" s="375">
        <f t="shared" si="108"/>
        <v>1.4797651563113901</v>
      </c>
      <c r="M227" s="363">
        <f t="shared" si="92"/>
        <v>1.0571746877687889</v>
      </c>
      <c r="N227" s="366">
        <f t="shared" si="93"/>
        <v>0.33038516192498418</v>
      </c>
      <c r="O227" s="367">
        <f t="shared" si="94"/>
        <v>1.0061794013014553</v>
      </c>
      <c r="P227" s="368">
        <f t="shared" si="95"/>
        <v>0.15012165759369808</v>
      </c>
      <c r="Q227" s="369">
        <f t="shared" si="96"/>
        <v>-9.9925779314814438</v>
      </c>
      <c r="R227" s="370">
        <f t="shared" si="97"/>
        <v>-100.6397516400925</v>
      </c>
      <c r="S227" s="372">
        <f t="shared" si="98"/>
        <v>79.360248359907501</v>
      </c>
      <c r="U227" s="345">
        <f t="shared" si="104"/>
        <v>13259.75</v>
      </c>
      <c r="V227" s="345">
        <f t="shared" si="105"/>
        <v>175820970.0625</v>
      </c>
      <c r="X227" s="371">
        <f t="shared" si="99"/>
        <v>15.377642143900644</v>
      </c>
      <c r="Y227" s="372">
        <f t="shared" si="100"/>
        <v>-24.144104059346528</v>
      </c>
      <c r="AA227" s="371">
        <f t="shared" si="101"/>
        <v>20.650379837897532</v>
      </c>
      <c r="AB227" s="372">
        <f t="shared" si="102"/>
        <v>-76.495647580745981</v>
      </c>
      <c r="AD227">
        <f t="shared" si="106"/>
        <v>0</v>
      </c>
      <c r="AE227">
        <f t="shared" si="109"/>
        <v>0</v>
      </c>
    </row>
    <row r="228" spans="1:31" x14ac:dyDescent="0.2">
      <c r="A228" s="373">
        <v>13336.5</v>
      </c>
      <c r="B228" s="390">
        <f t="shared" si="103"/>
        <v>13.336499999999999</v>
      </c>
      <c r="C228" s="363">
        <f t="shared" si="84"/>
        <v>17.551910151158204</v>
      </c>
      <c r="D228" s="364">
        <f t="shared" si="85"/>
        <v>1.5137916027199432</v>
      </c>
      <c r="E228" s="364">
        <f t="shared" si="86"/>
        <v>1.1170279946836013</v>
      </c>
      <c r="F228" s="365">
        <f t="shared" si="87"/>
        <v>0.46184315437542262</v>
      </c>
      <c r="G228" s="364">
        <f t="shared" si="88"/>
        <v>1.0087504837869743</v>
      </c>
      <c r="H228" s="365">
        <f t="shared" si="89"/>
        <v>-0.13181158912992263</v>
      </c>
      <c r="I228" s="363">
        <f t="shared" si="90"/>
        <v>45260.696714602185</v>
      </c>
      <c r="J228" s="366">
        <f t="shared" si="91"/>
        <v>1.5707742325702676</v>
      </c>
      <c r="K228" s="374">
        <f t="shared" si="107"/>
        <v>11.063582692532552</v>
      </c>
      <c r="L228" s="375">
        <f t="shared" si="108"/>
        <v>1.4802861654758117</v>
      </c>
      <c r="M228" s="363">
        <f t="shared" si="92"/>
        <v>1.0578203326961002</v>
      </c>
      <c r="N228" s="366">
        <f t="shared" si="93"/>
        <v>0.3321602589512635</v>
      </c>
      <c r="O228" s="367">
        <f t="shared" si="94"/>
        <v>1.0062510746444986</v>
      </c>
      <c r="P228" s="368">
        <f t="shared" si="95"/>
        <v>0.15098639813400841</v>
      </c>
      <c r="Q228" s="369">
        <f t="shared" si="96"/>
        <v>-10.038109641016186</v>
      </c>
      <c r="R228" s="370">
        <f t="shared" si="97"/>
        <v>-100.69130289623982</v>
      </c>
      <c r="S228" s="372">
        <f t="shared" si="98"/>
        <v>79.308697103760181</v>
      </c>
      <c r="U228" s="345">
        <f t="shared" si="104"/>
        <v>13336.5</v>
      </c>
      <c r="V228" s="345">
        <f t="shared" si="105"/>
        <v>177862232.25</v>
      </c>
      <c r="X228" s="371">
        <f t="shared" si="99"/>
        <v>15.371927149403232</v>
      </c>
      <c r="Y228" s="372">
        <f t="shared" si="100"/>
        <v>-24.215965328359644</v>
      </c>
      <c r="AA228" s="371">
        <f t="shared" si="101"/>
        <v>20.610563122860203</v>
      </c>
      <c r="AB228" s="372">
        <f t="shared" si="102"/>
        <v>-76.475337567880189</v>
      </c>
      <c r="AD228">
        <f t="shared" si="106"/>
        <v>0</v>
      </c>
      <c r="AE228">
        <f t="shared" si="109"/>
        <v>0</v>
      </c>
    </row>
    <row r="229" spans="1:31" x14ac:dyDescent="0.2">
      <c r="A229" s="373">
        <v>13413.25</v>
      </c>
      <c r="B229" s="390">
        <f t="shared" si="103"/>
        <v>13.41325</v>
      </c>
      <c r="C229" s="363">
        <f t="shared" si="84"/>
        <v>17.652592401418833</v>
      </c>
      <c r="D229" s="364">
        <f t="shared" si="85"/>
        <v>1.5141170810043958</v>
      </c>
      <c r="E229" s="364">
        <f t="shared" si="86"/>
        <v>1.1183073407966619</v>
      </c>
      <c r="F229" s="365">
        <f t="shared" si="87"/>
        <v>0.46413623774397084</v>
      </c>
      <c r="G229" s="364">
        <f t="shared" si="88"/>
        <v>1.0088510465120044</v>
      </c>
      <c r="H229" s="365">
        <f t="shared" si="89"/>
        <v>-0.132561318941532</v>
      </c>
      <c r="I229" s="363">
        <f t="shared" si="90"/>
        <v>45521.166738308173</v>
      </c>
      <c r="J229" s="366">
        <f t="shared" si="91"/>
        <v>1.5707743589924053</v>
      </c>
      <c r="K229" s="374">
        <f t="shared" si="107"/>
        <v>11.126733630436682</v>
      </c>
      <c r="L229" s="375">
        <f t="shared" si="108"/>
        <v>1.4808012606949663</v>
      </c>
      <c r="M229" s="363">
        <f t="shared" si="92"/>
        <v>1.0584693067105237</v>
      </c>
      <c r="N229" s="366">
        <f t="shared" si="93"/>
        <v>0.33393318484548601</v>
      </c>
      <c r="O229" s="367">
        <f t="shared" si="94"/>
        <v>1.0063231600660101</v>
      </c>
      <c r="P229" s="368">
        <f t="shared" si="95"/>
        <v>0.15185106659221539</v>
      </c>
      <c r="Q229" s="369">
        <f t="shared" si="96"/>
        <v>-10.083337826125319</v>
      </c>
      <c r="R229" s="370">
        <f t="shared" si="97"/>
        <v>-100.74314126902401</v>
      </c>
      <c r="S229" s="372">
        <f t="shared" si="98"/>
        <v>79.256858730975992</v>
      </c>
      <c r="U229" s="345">
        <f t="shared" si="104"/>
        <v>13413.25</v>
      </c>
      <c r="V229" s="345">
        <f t="shared" si="105"/>
        <v>179915275.5625</v>
      </c>
      <c r="X229" s="371">
        <f t="shared" si="99"/>
        <v>15.366195084295969</v>
      </c>
      <c r="Y229" s="372">
        <f t="shared" si="100"/>
        <v>-24.288040960920409</v>
      </c>
      <c r="AA229" s="371">
        <f t="shared" si="101"/>
        <v>20.571067002858335</v>
      </c>
      <c r="AB229" s="372">
        <f t="shared" si="102"/>
        <v>-76.455100308103596</v>
      </c>
      <c r="AD229">
        <f t="shared" si="106"/>
        <v>0</v>
      </c>
      <c r="AE229">
        <f t="shared" si="109"/>
        <v>0</v>
      </c>
    </row>
    <row r="230" spans="1:31" x14ac:dyDescent="0.2">
      <c r="A230" s="373">
        <v>13490</v>
      </c>
      <c r="B230" s="390">
        <f t="shared" si="103"/>
        <v>13.49</v>
      </c>
      <c r="C230" s="363">
        <f t="shared" si="84"/>
        <v>17.753276500515589</v>
      </c>
      <c r="D230" s="364">
        <f t="shared" si="85"/>
        <v>1.5144388675547504</v>
      </c>
      <c r="E230" s="364">
        <f t="shared" si="86"/>
        <v>1.1195925537716602</v>
      </c>
      <c r="F230" s="365">
        <f t="shared" si="87"/>
        <v>0.4664240685248302</v>
      </c>
      <c r="G230" s="364">
        <f t="shared" si="88"/>
        <v>1.0089521761937259</v>
      </c>
      <c r="H230" s="365">
        <f t="shared" si="89"/>
        <v>-0.1333108988799937</v>
      </c>
      <c r="I230" s="363">
        <f t="shared" si="90"/>
        <v>45781.636762014874</v>
      </c>
      <c r="J230" s="366">
        <f t="shared" si="91"/>
        <v>1.5707744839760109</v>
      </c>
      <c r="K230" s="374">
        <f t="shared" si="107"/>
        <v>11.189887487197975</v>
      </c>
      <c r="L230" s="375">
        <f t="shared" si="108"/>
        <v>1.4813105418251393</v>
      </c>
      <c r="M230" s="363">
        <f t="shared" si="92"/>
        <v>1.0591216036923914</v>
      </c>
      <c r="N230" s="366">
        <f t="shared" si="93"/>
        <v>0.33570393246343744</v>
      </c>
      <c r="O230" s="367">
        <f t="shared" si="94"/>
        <v>1.0063956575389945</v>
      </c>
      <c r="P230" s="368">
        <f t="shared" si="95"/>
        <v>0.15271566256810323</v>
      </c>
      <c r="Q230" s="369">
        <f t="shared" si="96"/>
        <v>-10.12826605738546</v>
      </c>
      <c r="R230" s="370">
        <f t="shared" si="97"/>
        <v>-100.7952645664035</v>
      </c>
      <c r="S230" s="372">
        <f t="shared" si="98"/>
        <v>79.204735433596497</v>
      </c>
      <c r="U230" s="345">
        <f t="shared" si="104"/>
        <v>13490</v>
      </c>
      <c r="V230" s="345">
        <f t="shared" si="105"/>
        <v>181980100</v>
      </c>
      <c r="X230" s="371">
        <f t="shared" si="99"/>
        <v>15.360445886971609</v>
      </c>
      <c r="Y230" s="372">
        <f t="shared" si="100"/>
        <v>-24.36032482778301</v>
      </c>
      <c r="AA230" s="371">
        <f t="shared" si="101"/>
        <v>20.531887968922558</v>
      </c>
      <c r="AB230" s="372">
        <f t="shared" si="102"/>
        <v>-76.4349397386205</v>
      </c>
      <c r="AD230">
        <f t="shared" si="106"/>
        <v>0</v>
      </c>
      <c r="AE230">
        <f t="shared" si="109"/>
        <v>0</v>
      </c>
    </row>
    <row r="231" spans="1:31" x14ac:dyDescent="0.2">
      <c r="A231" s="373">
        <v>13568.5</v>
      </c>
      <c r="B231" s="390">
        <f t="shared" si="103"/>
        <v>13.5685</v>
      </c>
      <c r="C231" s="363">
        <f t="shared" si="84"/>
        <v>17.856258208208629</v>
      </c>
      <c r="D231" s="364">
        <f t="shared" si="85"/>
        <v>1.5147642373221815</v>
      </c>
      <c r="E231" s="364">
        <f t="shared" si="86"/>
        <v>1.120913119287112</v>
      </c>
      <c r="F231" s="365">
        <f t="shared" si="87"/>
        <v>0.46875862514020877</v>
      </c>
      <c r="G231" s="364">
        <f t="shared" si="88"/>
        <v>1.009056198081369</v>
      </c>
      <c r="H231" s="365">
        <f t="shared" si="89"/>
        <v>-0.13407741434876547</v>
      </c>
      <c r="I231" s="363">
        <f t="shared" si="90"/>
        <v>46048.045841637446</v>
      </c>
      <c r="J231" s="366">
        <f t="shared" si="91"/>
        <v>1.5707746103467433</v>
      </c>
      <c r="K231" s="374">
        <f t="shared" si="107"/>
        <v>11.25448430240845</v>
      </c>
      <c r="L231" s="375">
        <f t="shared" si="108"/>
        <v>1.4818255225208774</v>
      </c>
      <c r="M231" s="363">
        <f t="shared" si="92"/>
        <v>1.0597922049828823</v>
      </c>
      <c r="N231" s="366">
        <f t="shared" si="93"/>
        <v>0.33751279471950274</v>
      </c>
      <c r="O231" s="367">
        <f t="shared" si="94"/>
        <v>1.0064702342720839</v>
      </c>
      <c r="P231" s="368">
        <f t="shared" si="95"/>
        <v>0.15359989706165675</v>
      </c>
      <c r="Q231" s="369">
        <f t="shared" si="96"/>
        <v>-10.173912079581662</v>
      </c>
      <c r="R231" s="370">
        <f t="shared" si="97"/>
        <v>-100.84886883880299</v>
      </c>
      <c r="S231" s="372">
        <f t="shared" si="98"/>
        <v>79.151131161197014</v>
      </c>
      <c r="U231" s="345">
        <f t="shared" si="104"/>
        <v>13568.5</v>
      </c>
      <c r="V231" s="345">
        <f t="shared" si="105"/>
        <v>184104192.25</v>
      </c>
      <c r="X231" s="371">
        <f t="shared" si="99"/>
        <v>15.354547818409941</v>
      </c>
      <c r="Y231" s="372">
        <f t="shared" si="100"/>
        <v>-24.434466020973893</v>
      </c>
      <c r="AA231" s="371">
        <f t="shared" si="101"/>
        <v>20.492140015288022</v>
      </c>
      <c r="AB231" s="372">
        <f t="shared" si="102"/>
        <v>-76.414402817829071</v>
      </c>
      <c r="AD231">
        <f t="shared" si="106"/>
        <v>0</v>
      </c>
      <c r="AE231">
        <f t="shared" si="109"/>
        <v>0</v>
      </c>
    </row>
    <row r="232" spans="1:31" x14ac:dyDescent="0.2">
      <c r="A232" s="373">
        <v>13647</v>
      </c>
      <c r="B232" s="390">
        <f t="shared" si="103"/>
        <v>13.647</v>
      </c>
      <c r="C232" s="363">
        <f t="shared" si="84"/>
        <v>17.959241784583615</v>
      </c>
      <c r="D232" s="364">
        <f t="shared" si="85"/>
        <v>1.5150858755913843</v>
      </c>
      <c r="E232" s="364">
        <f t="shared" si="86"/>
        <v>1.1222397795553942</v>
      </c>
      <c r="F232" s="365">
        <f t="shared" si="87"/>
        <v>0.47108767481334018</v>
      </c>
      <c r="G232" s="364">
        <f t="shared" si="88"/>
        <v>1.009160812713483</v>
      </c>
      <c r="H232" s="365">
        <f t="shared" si="89"/>
        <v>-0.13484377134611322</v>
      </c>
      <c r="I232" s="363">
        <f t="shared" si="90"/>
        <v>46314.454921260738</v>
      </c>
      <c r="J232" s="366">
        <f t="shared" si="91"/>
        <v>1.5707747352636614</v>
      </c>
      <c r="K232" s="374">
        <f t="shared" si="107"/>
        <v>11.319084068298022</v>
      </c>
      <c r="L232" s="375">
        <f t="shared" si="108"/>
        <v>1.4823346252011682</v>
      </c>
      <c r="M232" s="363">
        <f t="shared" si="92"/>
        <v>1.060466269502877</v>
      </c>
      <c r="N232" s="366">
        <f t="shared" si="93"/>
        <v>0.33931936334497426</v>
      </c>
      <c r="O232" s="367">
        <f t="shared" si="94"/>
        <v>1.0065452420039036</v>
      </c>
      <c r="P232" s="368">
        <f t="shared" si="95"/>
        <v>0.15448405488372033</v>
      </c>
      <c r="Q232" s="369">
        <f t="shared" si="96"/>
        <v>-10.219251680603922</v>
      </c>
      <c r="R232" s="370">
        <f t="shared" si="97"/>
        <v>-100.90276665078208</v>
      </c>
      <c r="S232" s="372">
        <f t="shared" si="98"/>
        <v>79.097233349217916</v>
      </c>
      <c r="U232" s="345">
        <f t="shared" si="104"/>
        <v>13647</v>
      </c>
      <c r="V232" s="345">
        <f t="shared" si="105"/>
        <v>186240609</v>
      </c>
      <c r="X232" s="371">
        <f t="shared" si="99"/>
        <v>15.348631711560728</v>
      </c>
      <c r="Y232" s="372">
        <f t="shared" si="100"/>
        <v>-24.508812500991855</v>
      </c>
      <c r="AA232" s="371">
        <f t="shared" si="101"/>
        <v>20.452716521114972</v>
      </c>
      <c r="AB232" s="372">
        <f t="shared" si="102"/>
        <v>-76.393954149790218</v>
      </c>
      <c r="AD232">
        <f t="shared" si="106"/>
        <v>0</v>
      </c>
      <c r="AE232">
        <f t="shared" si="109"/>
        <v>0</v>
      </c>
    </row>
    <row r="233" spans="1:31" x14ac:dyDescent="0.2">
      <c r="A233" s="373">
        <v>13725.5</v>
      </c>
      <c r="B233" s="390">
        <f t="shared" si="103"/>
        <v>13.7255</v>
      </c>
      <c r="C233" s="363">
        <f t="shared" si="84"/>
        <v>18.062227197677124</v>
      </c>
      <c r="D233" s="364">
        <f t="shared" si="85"/>
        <v>1.5154038461228934</v>
      </c>
      <c r="E233" s="364">
        <f t="shared" si="86"/>
        <v>1.123572512987336</v>
      </c>
      <c r="F233" s="365">
        <f t="shared" si="87"/>
        <v>0.47341121182830626</v>
      </c>
      <c r="G233" s="364">
        <f t="shared" si="88"/>
        <v>1.0092660199057464</v>
      </c>
      <c r="H233" s="365">
        <f t="shared" si="89"/>
        <v>-0.13560996902128863</v>
      </c>
      <c r="I233" s="363">
        <f t="shared" si="90"/>
        <v>46580.864000884751</v>
      </c>
      <c r="J233" s="366">
        <f t="shared" si="91"/>
        <v>1.5707748587517092</v>
      </c>
      <c r="K233" s="374">
        <f t="shared" si="107"/>
        <v>11.383686734633448</v>
      </c>
      <c r="L233" s="375">
        <f t="shared" si="108"/>
        <v>1.4828379496734263</v>
      </c>
      <c r="M233" s="363">
        <f t="shared" si="92"/>
        <v>1.0611437906525907</v>
      </c>
      <c r="N233" s="366">
        <f t="shared" si="93"/>
        <v>0.34112363092987202</v>
      </c>
      <c r="O233" s="367">
        <f t="shared" si="94"/>
        <v>1.0066206807050995</v>
      </c>
      <c r="P233" s="368">
        <f t="shared" si="95"/>
        <v>0.1553681356068779</v>
      </c>
      <c r="Q233" s="369">
        <f t="shared" si="96"/>
        <v>-10.264288492777231</v>
      </c>
      <c r="R233" s="370">
        <f t="shared" si="97"/>
        <v>-100.95695576813992</v>
      </c>
      <c r="S233" s="372">
        <f t="shared" si="98"/>
        <v>79.04304423186008</v>
      </c>
      <c r="U233" s="345">
        <f t="shared" si="104"/>
        <v>13725.5</v>
      </c>
      <c r="V233" s="345">
        <f t="shared" si="105"/>
        <v>188389350.25</v>
      </c>
      <c r="X233" s="371">
        <f t="shared" si="99"/>
        <v>15.342697514855272</v>
      </c>
      <c r="Y233" s="372">
        <f t="shared" si="100"/>
        <v>-24.583358126161858</v>
      </c>
      <c r="AA233" s="371">
        <f t="shared" si="101"/>
        <v>20.413613905647118</v>
      </c>
      <c r="AB233" s="372">
        <f t="shared" si="102"/>
        <v>-76.373597641978066</v>
      </c>
      <c r="AD233">
        <f t="shared" si="106"/>
        <v>0</v>
      </c>
      <c r="AE233">
        <f t="shared" si="109"/>
        <v>0</v>
      </c>
    </row>
    <row r="234" spans="1:31" x14ac:dyDescent="0.2">
      <c r="A234" s="373">
        <v>13804</v>
      </c>
      <c r="B234" s="390">
        <f t="shared" si="103"/>
        <v>13.804</v>
      </c>
      <c r="C234" s="363">
        <f t="shared" si="84"/>
        <v>18.165214416250016</v>
      </c>
      <c r="D234" s="364">
        <f t="shared" si="85"/>
        <v>1.5157182112342935</v>
      </c>
      <c r="E234" s="364">
        <f t="shared" si="86"/>
        <v>1.1249112979974802</v>
      </c>
      <c r="F234" s="365">
        <f t="shared" si="87"/>
        <v>0.47572923073430801</v>
      </c>
      <c r="G234" s="364">
        <f t="shared" si="88"/>
        <v>1.0093718194728707</v>
      </c>
      <c r="H234" s="365">
        <f t="shared" si="89"/>
        <v>-0.13637600652464524</v>
      </c>
      <c r="I234" s="363">
        <f t="shared" si="90"/>
        <v>46847.273080509462</v>
      </c>
      <c r="J234" s="366">
        <f t="shared" si="91"/>
        <v>1.570774980835264</v>
      </c>
      <c r="K234" s="374">
        <f t="shared" si="107"/>
        <v>11.448292252313113</v>
      </c>
      <c r="L234" s="375">
        <f t="shared" si="108"/>
        <v>1.4833355935039785</v>
      </c>
      <c r="M234" s="363">
        <f t="shared" si="92"/>
        <v>1.0618247618152825</v>
      </c>
      <c r="N234" s="366">
        <f t="shared" si="93"/>
        <v>0.34292559014300611</v>
      </c>
      <c r="O234" s="367">
        <f t="shared" si="94"/>
        <v>1.0066965503461578</v>
      </c>
      <c r="P234" s="368">
        <f t="shared" si="95"/>
        <v>0.15625213880398764</v>
      </c>
      <c r="Q234" s="369">
        <f t="shared" si="96"/>
        <v>-10.309026087867942</v>
      </c>
      <c r="R234" s="370">
        <f t="shared" si="97"/>
        <v>-101.01143399177606</v>
      </c>
      <c r="S234" s="372">
        <f t="shared" si="98"/>
        <v>78.988566008223941</v>
      </c>
      <c r="U234" s="345">
        <f t="shared" si="104"/>
        <v>13804</v>
      </c>
      <c r="V234" s="345">
        <f t="shared" si="105"/>
        <v>190550416</v>
      </c>
      <c r="X234" s="371">
        <f t="shared" si="99"/>
        <v>15.336745181241225</v>
      </c>
      <c r="Y234" s="372">
        <f t="shared" si="100"/>
        <v>-24.658096887695638</v>
      </c>
      <c r="AA234" s="371">
        <f t="shared" si="101"/>
        <v>20.374828644170456</v>
      </c>
      <c r="AB234" s="372">
        <f t="shared" si="102"/>
        <v>-76.35333710408041</v>
      </c>
      <c r="AD234">
        <f t="shared" si="106"/>
        <v>0</v>
      </c>
      <c r="AE234">
        <f t="shared" si="109"/>
        <v>0</v>
      </c>
    </row>
    <row r="235" spans="1:31" x14ac:dyDescent="0.2">
      <c r="A235" s="373">
        <v>13884.25</v>
      </c>
      <c r="B235" s="390">
        <f t="shared" si="103"/>
        <v>13.88425</v>
      </c>
      <c r="C235" s="363">
        <f t="shared" si="84"/>
        <v>18.270499362738448</v>
      </c>
      <c r="D235" s="364">
        <f t="shared" si="85"/>
        <v>1.516035921032941</v>
      </c>
      <c r="E235" s="364">
        <f t="shared" si="86"/>
        <v>1.126286161503627</v>
      </c>
      <c r="F235" s="365">
        <f t="shared" si="87"/>
        <v>0.47809321581727421</v>
      </c>
      <c r="G235" s="364">
        <f t="shared" si="88"/>
        <v>1.0094805897658801</v>
      </c>
      <c r="H235" s="365">
        <f t="shared" si="89"/>
        <v>-0.13715895484586507</v>
      </c>
      <c r="I235" s="363">
        <f t="shared" si="90"/>
        <v>47119.621216050087</v>
      </c>
      <c r="J235" s="366">
        <f t="shared" si="91"/>
        <v>1.570775104213427</v>
      </c>
      <c r="K235" s="374">
        <f t="shared" si="107"/>
        <v>11.51434091780602</v>
      </c>
      <c r="L235" s="375">
        <f t="shared" si="108"/>
        <v>1.4838385586156171</v>
      </c>
      <c r="M235" s="363">
        <f t="shared" si="92"/>
        <v>1.0625244731927668</v>
      </c>
      <c r="N235" s="366">
        <f t="shared" si="93"/>
        <v>0.34476532673320326</v>
      </c>
      <c r="O235" s="367">
        <f t="shared" si="94"/>
        <v>1.0067745567750976</v>
      </c>
      <c r="P235" s="368">
        <f t="shared" si="95"/>
        <v>0.15715576849647239</v>
      </c>
      <c r="Q235" s="369">
        <f t="shared" si="96"/>
        <v>-10.354455378332057</v>
      </c>
      <c r="R235" s="370">
        <f t="shared" si="97"/>
        <v>-101.06742328927437</v>
      </c>
      <c r="S235" s="372">
        <f t="shared" si="98"/>
        <v>78.932576710725627</v>
      </c>
      <c r="U235" s="345">
        <f t="shared" si="104"/>
        <v>13884.25</v>
      </c>
      <c r="V235" s="345">
        <f t="shared" si="105"/>
        <v>192772398.0625</v>
      </c>
      <c r="X235" s="371">
        <f t="shared" si="99"/>
        <v>15.330641359958339</v>
      </c>
      <c r="Y235" s="372">
        <f t="shared" si="100"/>
        <v>-24.734695320726061</v>
      </c>
      <c r="AA235" s="371">
        <f t="shared" si="101"/>
        <v>20.335503174989221</v>
      </c>
      <c r="AB235" s="372">
        <f t="shared" si="102"/>
        <v>-76.332727968548298</v>
      </c>
      <c r="AD235">
        <f t="shared" si="106"/>
        <v>0</v>
      </c>
      <c r="AE235">
        <f t="shared" si="109"/>
        <v>0</v>
      </c>
    </row>
    <row r="236" spans="1:31" x14ac:dyDescent="0.2">
      <c r="A236" s="373">
        <v>13964.5</v>
      </c>
      <c r="B236" s="390">
        <f t="shared" si="103"/>
        <v>13.964499999999999</v>
      </c>
      <c r="C236" s="363">
        <f t="shared" si="84"/>
        <v>18.375786132309099</v>
      </c>
      <c r="D236" s="364">
        <f t="shared" si="85"/>
        <v>1.5163499901329409</v>
      </c>
      <c r="E236" s="364">
        <f t="shared" si="86"/>
        <v>1.1276673038077349</v>
      </c>
      <c r="F236" s="365">
        <f t="shared" si="87"/>
        <v>0.48045142333739527</v>
      </c>
      <c r="G236" s="364">
        <f t="shared" si="88"/>
        <v>1.0095899787450799</v>
      </c>
      <c r="H236" s="365">
        <f t="shared" si="89"/>
        <v>-0.1379417339820945</v>
      </c>
      <c r="I236" s="363">
        <f t="shared" si="90"/>
        <v>47391.969351591433</v>
      </c>
      <c r="J236" s="366">
        <f t="shared" si="91"/>
        <v>1.5707752261735517</v>
      </c>
      <c r="K236" s="374">
        <f t="shared" si="107"/>
        <v>11.580392462899693</v>
      </c>
      <c r="L236" s="375">
        <f t="shared" si="108"/>
        <v>1.4843357862876236</v>
      </c>
      <c r="M236" s="363">
        <f t="shared" si="92"/>
        <v>1.063227776082734</v>
      </c>
      <c r="N236" s="366">
        <f t="shared" si="93"/>
        <v>0.34660263564078264</v>
      </c>
      <c r="O236" s="367">
        <f t="shared" si="94"/>
        <v>1.0068530135090672</v>
      </c>
      <c r="P236" s="368">
        <f t="shared" si="95"/>
        <v>0.15805931626593914</v>
      </c>
      <c r="Q236" s="369">
        <f t="shared" si="96"/>
        <v>-10.399579323107947</v>
      </c>
      <c r="R236" s="370">
        <f t="shared" si="97"/>
        <v>-101.12371018650433</v>
      </c>
      <c r="S236" s="372">
        <f t="shared" si="98"/>
        <v>78.876289813495674</v>
      </c>
      <c r="U236" s="345">
        <f t="shared" si="104"/>
        <v>13964.5</v>
      </c>
      <c r="V236" s="345">
        <f t="shared" si="105"/>
        <v>195007260.25</v>
      </c>
      <c r="X236" s="371">
        <f t="shared" si="99"/>
        <v>15.324518498454246</v>
      </c>
      <c r="Y236" s="372">
        <f t="shared" si="100"/>
        <v>-24.811483307617205</v>
      </c>
      <c r="AA236" s="371">
        <f t="shared" si="101"/>
        <v>20.296502091717429</v>
      </c>
      <c r="AB236" s="372">
        <f t="shared" si="102"/>
        <v>-76.312226878887131</v>
      </c>
      <c r="AD236">
        <f t="shared" si="106"/>
        <v>0</v>
      </c>
      <c r="AE236">
        <f t="shared" si="109"/>
        <v>0</v>
      </c>
    </row>
    <row r="237" spans="1:31" x14ac:dyDescent="0.2">
      <c r="A237" s="373">
        <v>14044.75</v>
      </c>
      <c r="B237" s="390">
        <f t="shared" si="103"/>
        <v>14.044750000000001</v>
      </c>
      <c r="C237" s="363">
        <f t="shared" si="84"/>
        <v>18.481074693803645</v>
      </c>
      <c r="D237" s="364">
        <f t="shared" si="85"/>
        <v>1.5166604806960893</v>
      </c>
      <c r="E237" s="364">
        <f t="shared" si="86"/>
        <v>1.1290547018677488</v>
      </c>
      <c r="F237" s="365">
        <f t="shared" si="87"/>
        <v>0.48280384831681766</v>
      </c>
      <c r="G237" s="364">
        <f t="shared" si="88"/>
        <v>1.0096999862093889</v>
      </c>
      <c r="H237" s="365">
        <f t="shared" si="89"/>
        <v>-0.13872434302919254</v>
      </c>
      <c r="I237" s="363">
        <f t="shared" si="90"/>
        <v>47664.317487133456</v>
      </c>
      <c r="J237" s="366">
        <f t="shared" si="91"/>
        <v>1.5707753467399459</v>
      </c>
      <c r="K237" s="374">
        <f t="shared" si="107"/>
        <v>11.646446838600115</v>
      </c>
      <c r="L237" s="375">
        <f t="shared" si="108"/>
        <v>1.4848273738939786</v>
      </c>
      <c r="M237" s="363">
        <f t="shared" si="92"/>
        <v>1.0639346633627891</v>
      </c>
      <c r="N237" s="366">
        <f t="shared" si="93"/>
        <v>0.34843750928804046</v>
      </c>
      <c r="O237" s="367">
        <f t="shared" si="94"/>
        <v>1.006931920516023</v>
      </c>
      <c r="P237" s="368">
        <f t="shared" si="95"/>
        <v>0.15896278165693567</v>
      </c>
      <c r="Q237" s="369">
        <f t="shared" si="96"/>
        <v>-10.444401550722644</v>
      </c>
      <c r="R237" s="370">
        <f t="shared" si="97"/>
        <v>-101.18029244048978</v>
      </c>
      <c r="S237" s="372">
        <f t="shared" si="98"/>
        <v>78.819707559510221</v>
      </c>
      <c r="U237" s="345">
        <f t="shared" si="104"/>
        <v>14044.75</v>
      </c>
      <c r="V237" s="345">
        <f t="shared" si="105"/>
        <v>197255002.5625</v>
      </c>
      <c r="X237" s="371">
        <f t="shared" si="99"/>
        <v>15.31837656012825</v>
      </c>
      <c r="Y237" s="372">
        <f t="shared" si="100"/>
        <v>-24.888454836473279</v>
      </c>
      <c r="AA237" s="371">
        <f t="shared" si="101"/>
        <v>20.25782180242873</v>
      </c>
      <c r="AB237" s="372">
        <f t="shared" si="102"/>
        <v>-76.291837604016536</v>
      </c>
      <c r="AD237">
        <f t="shared" si="106"/>
        <v>0</v>
      </c>
      <c r="AE237">
        <f t="shared" si="109"/>
        <v>0</v>
      </c>
    </row>
    <row r="238" spans="1:31" x14ac:dyDescent="0.2">
      <c r="A238" s="373">
        <v>14125</v>
      </c>
      <c r="B238" s="390">
        <f t="shared" si="103"/>
        <v>14.125</v>
      </c>
      <c r="C238" s="363">
        <f t="shared" si="84"/>
        <v>18.58636501676926</v>
      </c>
      <c r="D238" s="364">
        <f t="shared" si="85"/>
        <v>1.516967453478411</v>
      </c>
      <c r="E238" s="364">
        <f t="shared" si="86"/>
        <v>1.1304483326506209</v>
      </c>
      <c r="F238" s="365">
        <f t="shared" si="87"/>
        <v>0.48515048605806838</v>
      </c>
      <c r="G238" s="364">
        <f t="shared" si="88"/>
        <v>1.0098106119566759</v>
      </c>
      <c r="H238" s="365">
        <f t="shared" si="89"/>
        <v>-0.1395067810842445</v>
      </c>
      <c r="I238" s="363">
        <f t="shared" si="90"/>
        <v>47936.665622676177</v>
      </c>
      <c r="J238" s="366">
        <f t="shared" si="91"/>
        <v>1.5707754659363642</v>
      </c>
      <c r="K238" s="374">
        <f t="shared" si="107"/>
        <v>11.712503997016425</v>
      </c>
      <c r="L238" s="375">
        <f t="shared" si="108"/>
        <v>1.4853134166229967</v>
      </c>
      <c r="M238" s="363">
        <f t="shared" si="92"/>
        <v>1.0646451278932012</v>
      </c>
      <c r="N238" s="366">
        <f t="shared" si="93"/>
        <v>0.35026994018293828</v>
      </c>
      <c r="O238" s="367">
        <f t="shared" si="94"/>
        <v>1.0070112777637505</v>
      </c>
      <c r="P238" s="368">
        <f t="shared" si="95"/>
        <v>0.15986616421431543</v>
      </c>
      <c r="Q238" s="369">
        <f t="shared" si="96"/>
        <v>-10.488925629349108</v>
      </c>
      <c r="R238" s="370">
        <f t="shared" si="97"/>
        <v>-101.23716784183888</v>
      </c>
      <c r="S238" s="372">
        <f t="shared" si="98"/>
        <v>78.762832158161117</v>
      </c>
      <c r="U238" s="345">
        <f t="shared" si="104"/>
        <v>14125</v>
      </c>
      <c r="V238" s="345">
        <f t="shared" si="105"/>
        <v>199515625</v>
      </c>
      <c r="X238" s="371">
        <f t="shared" si="99"/>
        <v>15.312215512679275</v>
      </c>
      <c r="Y238" s="372">
        <f t="shared" si="100"/>
        <v>-24.965604025504405</v>
      </c>
      <c r="AA238" s="371">
        <f t="shared" si="101"/>
        <v>20.219458771251237</v>
      </c>
      <c r="AB238" s="372">
        <f t="shared" si="102"/>
        <v>-76.271563816334506</v>
      </c>
      <c r="AD238">
        <f t="shared" si="106"/>
        <v>0</v>
      </c>
      <c r="AE238">
        <f t="shared" si="109"/>
        <v>0</v>
      </c>
    </row>
    <row r="239" spans="1:31" x14ac:dyDescent="0.2">
      <c r="A239" s="373">
        <v>14207.25</v>
      </c>
      <c r="B239" s="390">
        <f t="shared" si="103"/>
        <v>14.20725</v>
      </c>
      <c r="C239" s="363">
        <f t="shared" si="84"/>
        <v>18.694281194354158</v>
      </c>
      <c r="D239" s="364">
        <f t="shared" si="85"/>
        <v>1.5172784884252499</v>
      </c>
      <c r="E239" s="364">
        <f t="shared" si="86"/>
        <v>1.131883139233258</v>
      </c>
      <c r="F239" s="365">
        <f t="shared" si="87"/>
        <v>0.48754959697979122</v>
      </c>
      <c r="G239" s="364">
        <f t="shared" si="88"/>
        <v>1.0099246361077097</v>
      </c>
      <c r="H239" s="365">
        <f t="shared" si="89"/>
        <v>-0.1403085407723193</v>
      </c>
      <c r="I239" s="363">
        <f t="shared" si="90"/>
        <v>48215.801250694181</v>
      </c>
      <c r="J239" s="366">
        <f t="shared" si="91"/>
        <v>1.5707755867060849</v>
      </c>
      <c r="K239" s="374">
        <f t="shared" si="107"/>
        <v>11.780210278381425</v>
      </c>
      <c r="L239" s="375">
        <f t="shared" si="108"/>
        <v>1.4858059160420827</v>
      </c>
      <c r="M239" s="363">
        <f t="shared" si="92"/>
        <v>1.0653770033066863</v>
      </c>
      <c r="N239" s="366">
        <f t="shared" si="93"/>
        <v>0.35214549655975091</v>
      </c>
      <c r="O239" s="367">
        <f t="shared" si="94"/>
        <v>1.0070930799403397</v>
      </c>
      <c r="P239" s="368">
        <f t="shared" si="95"/>
        <v>0.1607919745469048</v>
      </c>
      <c r="Q239" s="369">
        <f t="shared" si="96"/>
        <v>-10.534253626321952</v>
      </c>
      <c r="R239" s="370">
        <f t="shared" si="97"/>
        <v>-101.29576261833893</v>
      </c>
      <c r="S239" s="372">
        <f t="shared" si="98"/>
        <v>78.704237381661073</v>
      </c>
      <c r="U239" s="345">
        <f t="shared" si="104"/>
        <v>14207.25</v>
      </c>
      <c r="V239" s="345">
        <f t="shared" si="105"/>
        <v>201845952.5625</v>
      </c>
      <c r="X239" s="371">
        <f t="shared" si="99"/>
        <v>15.305881060035325</v>
      </c>
      <c r="Y239" s="372">
        <f t="shared" si="100"/>
        <v>-25.044854271694177</v>
      </c>
      <c r="AA239" s="371">
        <f t="shared" si="101"/>
        <v>20.180465226922347</v>
      </c>
      <c r="AB239" s="372">
        <f t="shared" si="102"/>
        <v>-76.250908346644778</v>
      </c>
      <c r="AD239">
        <f t="shared" si="106"/>
        <v>0</v>
      </c>
      <c r="AE239">
        <f t="shared" si="109"/>
        <v>0</v>
      </c>
    </row>
    <row r="240" spans="1:31" x14ac:dyDescent="0.2">
      <c r="A240" s="373">
        <v>14289.5</v>
      </c>
      <c r="B240" s="390">
        <f t="shared" si="103"/>
        <v>14.2895</v>
      </c>
      <c r="C240" s="363">
        <f t="shared" si="84"/>
        <v>18.802199159714533</v>
      </c>
      <c r="D240" s="364">
        <f t="shared" si="85"/>
        <v>1.5175859529406339</v>
      </c>
      <c r="E240" s="364">
        <f t="shared" si="86"/>
        <v>1.1333244441157102</v>
      </c>
      <c r="F240" s="365">
        <f t="shared" si="87"/>
        <v>0.48994261950939311</v>
      </c>
      <c r="G240" s="364">
        <f t="shared" si="88"/>
        <v>1.0100393093102609</v>
      </c>
      <c r="H240" s="365">
        <f t="shared" si="89"/>
        <v>-0.14111011892255054</v>
      </c>
      <c r="I240" s="363">
        <f t="shared" si="90"/>
        <v>48494.936878712877</v>
      </c>
      <c r="J240" s="366">
        <f t="shared" si="91"/>
        <v>1.5707757060855105</v>
      </c>
      <c r="K240" s="374">
        <f t="shared" si="107"/>
        <v>11.847919384445534</v>
      </c>
      <c r="L240" s="375">
        <f t="shared" si="108"/>
        <v>1.4862927864555366</v>
      </c>
      <c r="M240" s="363">
        <f t="shared" si="92"/>
        <v>1.06611262125616</v>
      </c>
      <c r="N240" s="366">
        <f t="shared" si="93"/>
        <v>0.35401847124894381</v>
      </c>
      <c r="O240" s="367">
        <f t="shared" si="94"/>
        <v>1.0071753550101799</v>
      </c>
      <c r="P240" s="368">
        <f t="shared" si="95"/>
        <v>0.16171769689849486</v>
      </c>
      <c r="Q240" s="369">
        <f t="shared" si="96"/>
        <v>-10.579275829414996</v>
      </c>
      <c r="R240" s="370">
        <f t="shared" si="97"/>
        <v>-101.35466073986922</v>
      </c>
      <c r="S240" s="372">
        <f t="shared" si="98"/>
        <v>78.645339260130783</v>
      </c>
      <c r="U240" s="345">
        <f t="shared" si="104"/>
        <v>14289.5</v>
      </c>
      <c r="V240" s="345">
        <f t="shared" si="105"/>
        <v>204189810.25</v>
      </c>
      <c r="X240" s="371">
        <f t="shared" si="99"/>
        <v>15.299526478440722</v>
      </c>
      <c r="Y240" s="372">
        <f t="shared" si="100"/>
        <v>-25.124279036687071</v>
      </c>
      <c r="AA240" s="371">
        <f t="shared" si="101"/>
        <v>20.141797605423907</v>
      </c>
      <c r="AB240" s="372">
        <f t="shared" si="102"/>
        <v>-76.230381703182147</v>
      </c>
      <c r="AD240">
        <f t="shared" si="106"/>
        <v>0</v>
      </c>
      <c r="AE240">
        <f t="shared" si="109"/>
        <v>0</v>
      </c>
    </row>
    <row r="241" spans="1:31" x14ac:dyDescent="0.2">
      <c r="A241" s="373">
        <v>14371.75</v>
      </c>
      <c r="B241" s="390">
        <f t="shared" si="103"/>
        <v>14.37175</v>
      </c>
      <c r="C241" s="363">
        <f t="shared" si="84"/>
        <v>18.910118882242482</v>
      </c>
      <c r="D241" s="364">
        <f t="shared" si="85"/>
        <v>1.5178899080950994</v>
      </c>
      <c r="E241" s="364">
        <f t="shared" si="86"/>
        <v>1.1347722225369792</v>
      </c>
      <c r="F241" s="365">
        <f t="shared" si="87"/>
        <v>0.49232954949068858</v>
      </c>
      <c r="G241" s="364">
        <f t="shared" si="88"/>
        <v>1.0101546313432881</v>
      </c>
      <c r="H241" s="365">
        <f t="shared" si="89"/>
        <v>-0.1419115145668671</v>
      </c>
      <c r="I241" s="363">
        <f t="shared" si="90"/>
        <v>48774.072506732264</v>
      </c>
      <c r="J241" s="366">
        <f t="shared" si="91"/>
        <v>1.5707758240985115</v>
      </c>
      <c r="K241" s="374">
        <f t="shared" si="107"/>
        <v>11.915631267055733</v>
      </c>
      <c r="L241" s="375">
        <f t="shared" si="108"/>
        <v>1.4867741235928771</v>
      </c>
      <c r="M241" s="363">
        <f t="shared" si="92"/>
        <v>1.0668519739999394</v>
      </c>
      <c r="N241" s="366">
        <f t="shared" si="93"/>
        <v>0.35588885646362028</v>
      </c>
      <c r="O241" s="367">
        <f t="shared" si="94"/>
        <v>1.0072581029380259</v>
      </c>
      <c r="P241" s="368">
        <f t="shared" si="95"/>
        <v>0.16264333078006452</v>
      </c>
      <c r="Q241" s="369">
        <f t="shared" si="96"/>
        <v>-10.623995891719497</v>
      </c>
      <c r="R241" s="370">
        <f t="shared" si="97"/>
        <v>-101.41385993047425</v>
      </c>
      <c r="S241" s="372">
        <f t="shared" si="98"/>
        <v>78.586140069525754</v>
      </c>
      <c r="U241" s="345">
        <f t="shared" si="104"/>
        <v>14371.75</v>
      </c>
      <c r="V241" s="345">
        <f t="shared" si="105"/>
        <v>206547198.0625</v>
      </c>
      <c r="X241" s="371">
        <f t="shared" si="99"/>
        <v>15.293151746243574</v>
      </c>
      <c r="Y241" s="372">
        <f t="shared" si="100"/>
        <v>-25.203872390797013</v>
      </c>
      <c r="AA241" s="371">
        <f t="shared" si="101"/>
        <v>20.103452275316553</v>
      </c>
      <c r="AB241" s="372">
        <f t="shared" si="102"/>
        <v>-76.209987539677243</v>
      </c>
      <c r="AD241">
        <f t="shared" si="106"/>
        <v>0</v>
      </c>
      <c r="AE241">
        <f t="shared" si="109"/>
        <v>0</v>
      </c>
    </row>
    <row r="242" spans="1:31" x14ac:dyDescent="0.2">
      <c r="A242" s="373">
        <v>14454</v>
      </c>
      <c r="B242" s="390">
        <f t="shared" si="103"/>
        <v>14.454000000000001</v>
      </c>
      <c r="C242" s="363">
        <f t="shared" si="84"/>
        <v>19.018040332024341</v>
      </c>
      <c r="D242" s="364">
        <f t="shared" si="85"/>
        <v>1.5181904135755866</v>
      </c>
      <c r="E242" s="364">
        <f t="shared" si="86"/>
        <v>1.1362264497513381</v>
      </c>
      <c r="F242" s="365">
        <f t="shared" si="87"/>
        <v>0.49471038306632137</v>
      </c>
      <c r="G242" s="364">
        <f t="shared" si="88"/>
        <v>1.0102706019845997</v>
      </c>
      <c r="H242" s="365">
        <f t="shared" si="89"/>
        <v>-0.14271272673857632</v>
      </c>
      <c r="I242" s="363">
        <f t="shared" si="90"/>
        <v>49053.208134752313</v>
      </c>
      <c r="J242" s="366">
        <f t="shared" si="91"/>
        <v>1.5707759407684145</v>
      </c>
      <c r="K242" s="374">
        <f t="shared" si="107"/>
        <v>11.983345879145414</v>
      </c>
      <c r="L242" s="375">
        <f t="shared" si="108"/>
        <v>1.4872500210302466</v>
      </c>
      <c r="M242" s="363">
        <f t="shared" si="92"/>
        <v>1.0675950537785364</v>
      </c>
      <c r="N242" s="366">
        <f t="shared" si="93"/>
        <v>0.35775664451087041</v>
      </c>
      <c r="O242" s="367">
        <f t="shared" si="94"/>
        <v>1.0073413236884432</v>
      </c>
      <c r="P242" s="368">
        <f t="shared" si="95"/>
        <v>0.16356887570293704</v>
      </c>
      <c r="Q242" s="369">
        <f t="shared" si="96"/>
        <v>-10.668417405538346</v>
      </c>
      <c r="R242" s="370">
        <f t="shared" si="97"/>
        <v>-101.47335794663481</v>
      </c>
      <c r="S242" s="372">
        <f t="shared" si="98"/>
        <v>78.526642053365194</v>
      </c>
      <c r="U242" s="345">
        <f t="shared" si="104"/>
        <v>14454</v>
      </c>
      <c r="V242" s="345">
        <f t="shared" si="105"/>
        <v>208918116</v>
      </c>
      <c r="X242" s="371">
        <f t="shared" si="99"/>
        <v>15.286756845923442</v>
      </c>
      <c r="Y242" s="372">
        <f t="shared" si="100"/>
        <v>-25.283628533071241</v>
      </c>
      <c r="AA242" s="371">
        <f t="shared" si="101"/>
        <v>20.065425661817837</v>
      </c>
      <c r="AB242" s="372">
        <f t="shared" si="102"/>
        <v>-76.189729413563555</v>
      </c>
      <c r="AD242">
        <f t="shared" si="106"/>
        <v>0</v>
      </c>
      <c r="AE242">
        <f t="shared" si="109"/>
        <v>0</v>
      </c>
    </row>
    <row r="243" spans="1:31" x14ac:dyDescent="0.2">
      <c r="A243" s="373">
        <v>14622.5</v>
      </c>
      <c r="B243" s="390">
        <f t="shared" si="103"/>
        <v>14.6225</v>
      </c>
      <c r="C243" s="363">
        <f t="shared" si="84"/>
        <v>19.239136962459092</v>
      </c>
      <c r="D243" s="364">
        <f t="shared" si="85"/>
        <v>1.5187955106988116</v>
      </c>
      <c r="E243" s="364">
        <f t="shared" si="86"/>
        <v>1.1392256603328121</v>
      </c>
      <c r="F243" s="365">
        <f t="shared" si="87"/>
        <v>0.49956878312251313</v>
      </c>
      <c r="G243" s="364">
        <f t="shared" si="88"/>
        <v>1.0105102076843606</v>
      </c>
      <c r="H243" s="365">
        <f t="shared" si="89"/>
        <v>-0.14435353879961785</v>
      </c>
      <c r="I243" s="363">
        <f t="shared" si="90"/>
        <v>49625.05437574377</v>
      </c>
      <c r="J243" s="366">
        <f t="shared" si="91"/>
        <v>1.5707761756834742</v>
      </c>
      <c r="K243" s="374">
        <f t="shared" si="107"/>
        <v>12.12207654590773</v>
      </c>
      <c r="L243" s="375">
        <f t="shared" si="108"/>
        <v>1.4882083562477508</v>
      </c>
      <c r="M243" s="363">
        <f t="shared" si="92"/>
        <v>1.0691289568074887</v>
      </c>
      <c r="N243" s="366">
        <f t="shared" si="93"/>
        <v>0.36157491302250683</v>
      </c>
      <c r="O243" s="367">
        <f t="shared" si="94"/>
        <v>1.0075132887615663</v>
      </c>
      <c r="P243" s="368">
        <f t="shared" si="95"/>
        <v>0.1654646969973961</v>
      </c>
      <c r="Q243" s="369">
        <f t="shared" si="96"/>
        <v>-10.758503278235104</v>
      </c>
      <c r="R243" s="370">
        <f t="shared" si="97"/>
        <v>-101.5961713717651</v>
      </c>
      <c r="S243" s="372">
        <f t="shared" si="98"/>
        <v>78.403828628234905</v>
      </c>
      <c r="U243" s="345">
        <f t="shared" si="104"/>
        <v>14622.5</v>
      </c>
      <c r="V243" s="345">
        <f t="shared" si="105"/>
        <v>213817506.25</v>
      </c>
      <c r="X243" s="371">
        <f t="shared" si="99"/>
        <v>15.27359301405953</v>
      </c>
      <c r="Y243" s="372">
        <f t="shared" si="100"/>
        <v>-25.447504100342673</v>
      </c>
      <c r="AA243" s="371">
        <f t="shared" si="101"/>
        <v>19.988503620984993</v>
      </c>
      <c r="AB243" s="372">
        <f t="shared" si="102"/>
        <v>-76.148667271422411</v>
      </c>
      <c r="AD243">
        <f t="shared" si="106"/>
        <v>0</v>
      </c>
      <c r="AE243">
        <f t="shared" si="109"/>
        <v>0</v>
      </c>
    </row>
    <row r="244" spans="1:31" x14ac:dyDescent="0.2">
      <c r="A244" s="373">
        <v>14706.75</v>
      </c>
      <c r="B244" s="390">
        <f t="shared" si="103"/>
        <v>14.70675</v>
      </c>
      <c r="C244" s="363">
        <f t="shared" si="84"/>
        <v>19.349687874000221</v>
      </c>
      <c r="D244" s="364">
        <f t="shared" si="85"/>
        <v>1.5190928736598206</v>
      </c>
      <c r="E244" s="364">
        <f t="shared" si="86"/>
        <v>1.1407353096683335</v>
      </c>
      <c r="F244" s="365">
        <f t="shared" si="87"/>
        <v>0.50198837435904409</v>
      </c>
      <c r="G244" s="364">
        <f t="shared" si="88"/>
        <v>1.0106310303808606</v>
      </c>
      <c r="H244" s="365">
        <f t="shared" si="89"/>
        <v>-0.14517365196695045</v>
      </c>
      <c r="I244" s="363">
        <f t="shared" si="90"/>
        <v>49910.977496240506</v>
      </c>
      <c r="J244" s="366">
        <f t="shared" si="91"/>
        <v>1.5707762911223806</v>
      </c>
      <c r="K244" s="374">
        <f t="shared" si="107"/>
        <v>12.191445982899097</v>
      </c>
      <c r="L244" s="375">
        <f t="shared" si="108"/>
        <v>1.4886793447204216</v>
      </c>
      <c r="M244" s="363">
        <f t="shared" si="92"/>
        <v>1.0699017408603679</v>
      </c>
      <c r="N244" s="366">
        <f t="shared" si="93"/>
        <v>0.36347992774578269</v>
      </c>
      <c r="O244" s="367">
        <f t="shared" si="94"/>
        <v>1.0076000152904538</v>
      </c>
      <c r="P244" s="368">
        <f t="shared" si="95"/>
        <v>0.16641246555900865</v>
      </c>
      <c r="Q244" s="369">
        <f t="shared" si="96"/>
        <v>-10.803091180090416</v>
      </c>
      <c r="R244" s="370">
        <f t="shared" si="97"/>
        <v>-101.65803907626467</v>
      </c>
      <c r="S244" s="372">
        <f t="shared" si="98"/>
        <v>78.341960923735328</v>
      </c>
      <c r="U244" s="345">
        <f t="shared" si="104"/>
        <v>14706.75</v>
      </c>
      <c r="V244" s="345">
        <f t="shared" si="105"/>
        <v>216288495.5625</v>
      </c>
      <c r="X244" s="371">
        <f t="shared" si="99"/>
        <v>15.266979313778929</v>
      </c>
      <c r="Y244" s="372">
        <f t="shared" si="100"/>
        <v>-25.529674366469344</v>
      </c>
      <c r="AA244" s="371">
        <f t="shared" si="101"/>
        <v>19.950529419410277</v>
      </c>
      <c r="AB244" s="372">
        <f t="shared" si="102"/>
        <v>-76.128364709795321</v>
      </c>
      <c r="AD244">
        <f t="shared" si="106"/>
        <v>0</v>
      </c>
      <c r="AE244">
        <f t="shared" si="109"/>
        <v>0</v>
      </c>
    </row>
    <row r="245" spans="1:31" x14ac:dyDescent="0.2">
      <c r="A245" s="373">
        <v>14791</v>
      </c>
      <c r="B245" s="390">
        <f t="shared" si="103"/>
        <v>14.791</v>
      </c>
      <c r="C245" s="363">
        <f t="shared" si="84"/>
        <v>19.460240477092402</v>
      </c>
      <c r="D245" s="364">
        <f t="shared" si="85"/>
        <v>1.5193868580398824</v>
      </c>
      <c r="E245" s="364">
        <f t="shared" si="86"/>
        <v>1.1422516196739096</v>
      </c>
      <c r="F245" s="365">
        <f t="shared" si="87"/>
        <v>0.50440155580038726</v>
      </c>
      <c r="G245" s="364">
        <f t="shared" si="88"/>
        <v>1.0107525326504714</v>
      </c>
      <c r="H245" s="365">
        <f t="shared" si="89"/>
        <v>-0.14599356851450365</v>
      </c>
      <c r="I245" s="363">
        <f t="shared" si="90"/>
        <v>50196.900616737898</v>
      </c>
      <c r="J245" s="366">
        <f t="shared" si="91"/>
        <v>1.5707764052461999</v>
      </c>
      <c r="K245" s="374">
        <f t="shared" si="107"/>
        <v>12.260818093717976</v>
      </c>
      <c r="L245" s="375">
        <f t="shared" si="108"/>
        <v>1.4891450035589724</v>
      </c>
      <c r="M245" s="363">
        <f t="shared" si="92"/>
        <v>1.0706784020602933</v>
      </c>
      <c r="N245" s="366">
        <f t="shared" si="93"/>
        <v>0.36538218560053776</v>
      </c>
      <c r="O245" s="367">
        <f t="shared" si="94"/>
        <v>1.0076872377624218</v>
      </c>
      <c r="P245" s="368">
        <f t="shared" si="95"/>
        <v>0.16736013869851274</v>
      </c>
      <c r="Q245" s="369">
        <f t="shared" si="96"/>
        <v>-10.847380559500667</v>
      </c>
      <c r="R245" s="370">
        <f t="shared" si="97"/>
        <v>-101.72021105704134</v>
      </c>
      <c r="S245" s="372">
        <f t="shared" si="98"/>
        <v>78.27978894295866</v>
      </c>
      <c r="U245" s="345">
        <f t="shared" si="104"/>
        <v>14791</v>
      </c>
      <c r="V245" s="345">
        <f t="shared" si="105"/>
        <v>218773681</v>
      </c>
      <c r="X245" s="371">
        <f t="shared" si="99"/>
        <v>15.26034441955038</v>
      </c>
      <c r="Y245" s="372">
        <f t="shared" si="100"/>
        <v>-25.61199196585774</v>
      </c>
      <c r="AA245" s="371">
        <f t="shared" si="101"/>
        <v>19.912874934228576</v>
      </c>
      <c r="AB245" s="372">
        <f t="shared" si="102"/>
        <v>-76.108219091183599</v>
      </c>
      <c r="AD245">
        <f t="shared" si="106"/>
        <v>0</v>
      </c>
      <c r="AE245">
        <f t="shared" si="109"/>
        <v>0</v>
      </c>
    </row>
    <row r="246" spans="1:31" x14ac:dyDescent="0.2">
      <c r="A246" s="373">
        <v>14877.25</v>
      </c>
      <c r="B246" s="390">
        <f t="shared" si="103"/>
        <v>14.87725</v>
      </c>
      <c r="C246" s="363">
        <f t="shared" si="84"/>
        <v>19.573419196658431</v>
      </c>
      <c r="D246" s="364">
        <f t="shared" si="85"/>
        <v>1.5196843811581229</v>
      </c>
      <c r="E246" s="364">
        <f t="shared" si="86"/>
        <v>1.1438107972332243</v>
      </c>
      <c r="F246" s="365">
        <f t="shared" si="87"/>
        <v>0.50686538093642508</v>
      </c>
      <c r="G246" s="364">
        <f t="shared" si="88"/>
        <v>1.0108776229541434</v>
      </c>
      <c r="H246" s="365">
        <f t="shared" si="89"/>
        <v>-0.14683274420312378</v>
      </c>
      <c r="I246" s="363">
        <f t="shared" si="90"/>
        <v>50489.611229710674</v>
      </c>
      <c r="J246" s="366">
        <f t="shared" si="91"/>
        <v>1.5707765207402309</v>
      </c>
      <c r="K246" s="374">
        <f t="shared" si="107"/>
        <v>12.33183974290149</v>
      </c>
      <c r="L246" s="375">
        <f t="shared" si="108"/>
        <v>1.489616289399297</v>
      </c>
      <c r="M246" s="363">
        <f t="shared" si="92"/>
        <v>1.0714775078164722</v>
      </c>
      <c r="N246" s="366">
        <f t="shared" si="93"/>
        <v>0.36732673700080493</v>
      </c>
      <c r="O246" s="367">
        <f t="shared" si="94"/>
        <v>1.0077770444992011</v>
      </c>
      <c r="P246" s="368">
        <f t="shared" si="95"/>
        <v>0.1683302091365857</v>
      </c>
      <c r="Q246" s="369">
        <f t="shared" si="96"/>
        <v>-10.892415788978786</v>
      </c>
      <c r="R246" s="370">
        <f t="shared" si="97"/>
        <v>-101.78417177751106</v>
      </c>
      <c r="S246" s="372">
        <f t="shared" si="98"/>
        <v>78.215828222488938</v>
      </c>
      <c r="U246" s="345">
        <f t="shared" si="104"/>
        <v>14877.25</v>
      </c>
      <c r="V246" s="345">
        <f t="shared" si="105"/>
        <v>221332567.5625</v>
      </c>
      <c r="X246" s="371">
        <f t="shared" si="99"/>
        <v>15.253530067424741</v>
      </c>
      <c r="Y246" s="372">
        <f t="shared" si="100"/>
        <v>-25.696410481961422</v>
      </c>
      <c r="AA246" s="371">
        <f t="shared" si="101"/>
        <v>19.874654056876096</v>
      </c>
      <c r="AB246" s="372">
        <f t="shared" si="102"/>
        <v>-76.087761295549655</v>
      </c>
      <c r="AD246">
        <f t="shared" si="106"/>
        <v>0</v>
      </c>
      <c r="AE246">
        <f t="shared" si="109"/>
        <v>0</v>
      </c>
    </row>
    <row r="247" spans="1:31" x14ac:dyDescent="0.2">
      <c r="A247" s="373">
        <v>14963.5</v>
      </c>
      <c r="B247" s="390">
        <f t="shared" si="103"/>
        <v>14.9635</v>
      </c>
      <c r="C247" s="363">
        <f t="shared" si="84"/>
        <v>19.686599628941597</v>
      </c>
      <c r="D247" s="364">
        <f t="shared" si="85"/>
        <v>1.5199784833157139</v>
      </c>
      <c r="E247" s="364">
        <f t="shared" si="86"/>
        <v>1.1453768992924009</v>
      </c>
      <c r="F247" s="365">
        <f t="shared" si="87"/>
        <v>0.50932248325659035</v>
      </c>
      <c r="G247" s="364">
        <f t="shared" si="88"/>
        <v>1.0110034249573945</v>
      </c>
      <c r="H247" s="365">
        <f t="shared" si="89"/>
        <v>-0.14767171164044754</v>
      </c>
      <c r="I247" s="363">
        <f t="shared" si="90"/>
        <v>50782.321842684127</v>
      </c>
      <c r="J247" s="366">
        <f t="shared" si="91"/>
        <v>1.5707766349028409</v>
      </c>
      <c r="K247" s="374">
        <f t="shared" si="107"/>
        <v>12.402864099745193</v>
      </c>
      <c r="L247" s="375">
        <f t="shared" si="108"/>
        <v>1.4900821777543596</v>
      </c>
      <c r="M247" s="363">
        <f t="shared" si="92"/>
        <v>1.0722806590815928</v>
      </c>
      <c r="N247" s="366">
        <f t="shared" si="93"/>
        <v>0.36926838274850227</v>
      </c>
      <c r="O247" s="367">
        <f t="shared" si="94"/>
        <v>1.0078673709216235</v>
      </c>
      <c r="P247" s="368">
        <f t="shared" si="95"/>
        <v>0.16930017845890419</v>
      </c>
      <c r="Q247" s="369">
        <f t="shared" si="96"/>
        <v>-10.93714562128387</v>
      </c>
      <c r="R247" s="370">
        <f t="shared" si="97"/>
        <v>-101.84844665013541</v>
      </c>
      <c r="S247" s="372">
        <f t="shared" si="98"/>
        <v>78.151553349864585</v>
      </c>
      <c r="U247" s="345">
        <f t="shared" si="104"/>
        <v>14963.5</v>
      </c>
      <c r="V247" s="345">
        <f t="shared" si="105"/>
        <v>223906332.25</v>
      </c>
      <c r="X247" s="371">
        <f t="shared" si="99"/>
        <v>15.246693510409218</v>
      </c>
      <c r="Y247" s="372">
        <f t="shared" si="100"/>
        <v>-25.780971693276982</v>
      </c>
      <c r="AA247" s="371">
        <f t="shared" si="101"/>
        <v>19.836760781586538</v>
      </c>
      <c r="AB247" s="372">
        <f t="shared" si="102"/>
        <v>-76.067474956858433</v>
      </c>
      <c r="AD247">
        <f t="shared" si="106"/>
        <v>0</v>
      </c>
      <c r="AE247">
        <f t="shared" si="109"/>
        <v>0</v>
      </c>
    </row>
    <row r="248" spans="1:31" x14ac:dyDescent="0.2">
      <c r="A248" s="373">
        <v>15049.75</v>
      </c>
      <c r="B248" s="390">
        <f t="shared" si="103"/>
        <v>15.04975</v>
      </c>
      <c r="C248" s="363">
        <f t="shared" si="84"/>
        <v>19.799781744570943</v>
      </c>
      <c r="D248" s="364">
        <f t="shared" si="85"/>
        <v>1.5202692231273718</v>
      </c>
      <c r="E248" s="364">
        <f t="shared" si="86"/>
        <v>1.1469498974862773</v>
      </c>
      <c r="F248" s="365">
        <f t="shared" si="87"/>
        <v>0.51177286069191941</v>
      </c>
      <c r="G248" s="364">
        <f t="shared" si="88"/>
        <v>1.0111299383945815</v>
      </c>
      <c r="H248" s="365">
        <f t="shared" si="89"/>
        <v>-0.14851046972338466</v>
      </c>
      <c r="I248" s="363">
        <f t="shared" si="90"/>
        <v>51075.032455658227</v>
      </c>
      <c r="J248" s="366">
        <f t="shared" si="91"/>
        <v>1.5707767477569208</v>
      </c>
      <c r="K248" s="374">
        <f t="shared" si="107"/>
        <v>12.473891117998118</v>
      </c>
      <c r="L248" s="375">
        <f t="shared" si="108"/>
        <v>1.4905427606208972</v>
      </c>
      <c r="M248" s="363">
        <f t="shared" si="92"/>
        <v>1.0730878467720866</v>
      </c>
      <c r="N248" s="366">
        <f t="shared" si="93"/>
        <v>0.37120711474434287</v>
      </c>
      <c r="O248" s="367">
        <f t="shared" si="94"/>
        <v>1.0079582169872758</v>
      </c>
      <c r="P248" s="368">
        <f t="shared" si="95"/>
        <v>0.17027004610487861</v>
      </c>
      <c r="Q248" s="369">
        <f t="shared" si="96"/>
        <v>-10.98157373966345</v>
      </c>
      <c r="R248" s="370">
        <f t="shared" si="97"/>
        <v>-101.91303332274306</v>
      </c>
      <c r="S248" s="372">
        <f t="shared" si="98"/>
        <v>78.086966677256939</v>
      </c>
      <c r="U248" s="345">
        <f t="shared" si="104"/>
        <v>15049.75</v>
      </c>
      <c r="V248" s="345">
        <f t="shared" si="105"/>
        <v>226494975.0625</v>
      </c>
      <c r="X248" s="371">
        <f t="shared" si="99"/>
        <v>15.239834758045134</v>
      </c>
      <c r="Y248" s="372">
        <f t="shared" si="100"/>
        <v>-25.865669866036253</v>
      </c>
      <c r="AA248" s="371">
        <f t="shared" si="101"/>
        <v>19.799191415571038</v>
      </c>
      <c r="AB248" s="372">
        <f t="shared" si="102"/>
        <v>-76.047363456706847</v>
      </c>
      <c r="AD248">
        <f t="shared" si="106"/>
        <v>0</v>
      </c>
      <c r="AE248">
        <f t="shared" si="109"/>
        <v>0</v>
      </c>
    </row>
    <row r="249" spans="1:31" x14ac:dyDescent="0.2">
      <c r="A249" s="373">
        <v>15136</v>
      </c>
      <c r="B249" s="390">
        <f t="shared" si="103"/>
        <v>15.135999999999999</v>
      </c>
      <c r="C249" s="363">
        <f t="shared" si="84"/>
        <v>19.912965514842867</v>
      </c>
      <c r="D249" s="364">
        <f t="shared" si="85"/>
        <v>1.5205566578774703</v>
      </c>
      <c r="E249" s="364">
        <f t="shared" si="86"/>
        <v>1.1485297634805225</v>
      </c>
      <c r="F249" s="365">
        <f t="shared" si="87"/>
        <v>0.51421651150778414</v>
      </c>
      <c r="G249" s="364">
        <f t="shared" si="88"/>
        <v>1.0112571629986926</v>
      </c>
      <c r="H249" s="365">
        <f t="shared" si="89"/>
        <v>-0.14934901735057346</v>
      </c>
      <c r="I249" s="363">
        <f t="shared" si="90"/>
        <v>51367.743068632975</v>
      </c>
      <c r="J249" s="366">
        <f t="shared" si="91"/>
        <v>1.5707768593248401</v>
      </c>
      <c r="K249" s="374">
        <f t="shared" si="107"/>
        <v>12.544920752455045</v>
      </c>
      <c r="L249" s="375">
        <f t="shared" si="108"/>
        <v>1.4909981279212186</v>
      </c>
      <c r="M249" s="363">
        <f t="shared" si="92"/>
        <v>1.0738990617861126</v>
      </c>
      <c r="N249" s="366">
        <f t="shared" si="93"/>
        <v>0.37314292500094443</v>
      </c>
      <c r="O249" s="367">
        <f t="shared" si="94"/>
        <v>1.008049582653519</v>
      </c>
      <c r="P249" s="368">
        <f t="shared" si="95"/>
        <v>0.17123981151435341</v>
      </c>
      <c r="Q249" s="369">
        <f t="shared" si="96"/>
        <v>-11.025703766087538</v>
      </c>
      <c r="R249" s="370">
        <f t="shared" si="97"/>
        <v>-101.97792947314547</v>
      </c>
      <c r="S249" s="372">
        <f t="shared" si="98"/>
        <v>78.022070526854534</v>
      </c>
      <c r="U249" s="345">
        <f t="shared" si="104"/>
        <v>15136</v>
      </c>
      <c r="V249" s="345">
        <f t="shared" si="105"/>
        <v>229098496</v>
      </c>
      <c r="X249" s="371">
        <f t="shared" si="99"/>
        <v>15.232953823645248</v>
      </c>
      <c r="Y249" s="372">
        <f t="shared" si="100"/>
        <v>-25.950499391708806</v>
      </c>
      <c r="AA249" s="371">
        <f t="shared" si="101"/>
        <v>19.76194232354684</v>
      </c>
      <c r="AB249" s="372">
        <f t="shared" si="102"/>
        <v>-76.027430081436663</v>
      </c>
      <c r="AD249">
        <f t="shared" si="106"/>
        <v>0</v>
      </c>
      <c r="AE249">
        <f t="shared" si="109"/>
        <v>0</v>
      </c>
    </row>
    <row r="250" spans="1:31" x14ac:dyDescent="0.2">
      <c r="A250" s="373">
        <v>15224</v>
      </c>
      <c r="B250" s="390">
        <f t="shared" si="103"/>
        <v>15.224</v>
      </c>
      <c r="C250" s="363">
        <f t="shared" si="84"/>
        <v>20.028447443645046</v>
      </c>
      <c r="D250" s="364">
        <f t="shared" si="85"/>
        <v>1.5208465763970749</v>
      </c>
      <c r="E250" s="364">
        <f t="shared" si="86"/>
        <v>1.1501487335945586</v>
      </c>
      <c r="F250" s="365">
        <f t="shared" si="87"/>
        <v>0.5167028094624333</v>
      </c>
      <c r="G250" s="364">
        <f t="shared" si="88"/>
        <v>1.0113877016506236</v>
      </c>
      <c r="H250" s="365">
        <f t="shared" si="89"/>
        <v>-0.15020436094237188</v>
      </c>
      <c r="I250" s="363">
        <f t="shared" si="90"/>
        <v>51666.392737523791</v>
      </c>
      <c r="J250" s="366">
        <f t="shared" si="91"/>
        <v>1.5707769718535687</v>
      </c>
      <c r="K250" s="374">
        <f t="shared" si="107"/>
        <v>12.6173942184215</v>
      </c>
      <c r="L250" s="375">
        <f t="shared" si="108"/>
        <v>1.4914574503854239</v>
      </c>
      <c r="M250" s="363">
        <f t="shared" si="92"/>
        <v>1.0747308774956366</v>
      </c>
      <c r="N250" s="366">
        <f t="shared" si="93"/>
        <v>0.37511499313258895</v>
      </c>
      <c r="O250" s="367">
        <f t="shared" si="94"/>
        <v>1.0081433375928868</v>
      </c>
      <c r="P250" s="368">
        <f t="shared" si="95"/>
        <v>0.17222914737358228</v>
      </c>
      <c r="Q250" s="369">
        <f t="shared" si="96"/>
        <v>-11.07042565439891</v>
      </c>
      <c r="R250" s="370">
        <f t="shared" si="97"/>
        <v>-102.04445893812468</v>
      </c>
      <c r="S250" s="372">
        <f t="shared" si="98"/>
        <v>77.955541061875323</v>
      </c>
      <c r="U250" s="345">
        <f t="shared" si="104"/>
        <v>15224</v>
      </c>
      <c r="V250" s="345">
        <f t="shared" si="105"/>
        <v>231770176</v>
      </c>
      <c r="X250" s="371">
        <f t="shared" si="99"/>
        <v>15.225910431985232</v>
      </c>
      <c r="Y250" s="372">
        <f t="shared" si="100"/>
        <v>-26.037179781450046</v>
      </c>
      <c r="AA250" s="371">
        <f t="shared" si="101"/>
        <v>19.724263826895484</v>
      </c>
      <c r="AB250" s="372">
        <f t="shared" si="102"/>
        <v>-76.007279156674613</v>
      </c>
      <c r="AD250">
        <f t="shared" si="106"/>
        <v>0</v>
      </c>
      <c r="AE250">
        <f t="shared" si="109"/>
        <v>0</v>
      </c>
    </row>
    <row r="251" spans="1:31" x14ac:dyDescent="0.2">
      <c r="A251" s="373">
        <v>15312</v>
      </c>
      <c r="B251" s="390">
        <f t="shared" si="103"/>
        <v>15.311999999999999</v>
      </c>
      <c r="C251" s="363">
        <f t="shared" si="84"/>
        <v>20.14393103659134</v>
      </c>
      <c r="D251" s="364">
        <f t="shared" si="85"/>
        <v>1.5211331707798033</v>
      </c>
      <c r="E251" s="364">
        <f t="shared" si="86"/>
        <v>1.1517747935439242</v>
      </c>
      <c r="F251" s="365">
        <f t="shared" si="87"/>
        <v>0.51918210246419649</v>
      </c>
      <c r="G251" s="364">
        <f t="shared" si="88"/>
        <v>1.0115189800553033</v>
      </c>
      <c r="H251" s="365">
        <f t="shared" si="89"/>
        <v>-0.15105948314079992</v>
      </c>
      <c r="I251" s="363">
        <f t="shared" si="90"/>
        <v>51965.042406415261</v>
      </c>
      <c r="J251" s="366">
        <f t="shared" si="91"/>
        <v>1.5707770830888637</v>
      </c>
      <c r="K251" s="374">
        <f t="shared" si="107"/>
        <v>12.689870315963368</v>
      </c>
      <c r="L251" s="375">
        <f t="shared" si="108"/>
        <v>1.4919115262557998</v>
      </c>
      <c r="M251" s="363">
        <f t="shared" si="92"/>
        <v>1.0755668664158031</v>
      </c>
      <c r="N251" s="366">
        <f t="shared" si="93"/>
        <v>0.37708400331524261</v>
      </c>
      <c r="O251" s="367">
        <f t="shared" si="94"/>
        <v>1.0082376333416034</v>
      </c>
      <c r="P251" s="368">
        <f t="shared" si="95"/>
        <v>0.17321837562881842</v>
      </c>
      <c r="Q251" s="369">
        <f t="shared" si="96"/>
        <v>-11.114844659896448</v>
      </c>
      <c r="R251" s="370">
        <f t="shared" si="97"/>
        <v>-102.11130577417021</v>
      </c>
      <c r="S251" s="372">
        <f t="shared" si="98"/>
        <v>77.888694225829795</v>
      </c>
      <c r="U251" s="345">
        <f t="shared" si="104"/>
        <v>15312</v>
      </c>
      <c r="V251" s="345">
        <f t="shared" si="105"/>
        <v>234457344</v>
      </c>
      <c r="X251" s="371">
        <f t="shared" si="99"/>
        <v>15.218843988450228</v>
      </c>
      <c r="Y251" s="372">
        <f t="shared" si="100"/>
        <v>-26.123985497195232</v>
      </c>
      <c r="AA251" s="371">
        <f t="shared" si="101"/>
        <v>19.686911264932949</v>
      </c>
      <c r="AB251" s="372">
        <f t="shared" si="102"/>
        <v>-75.987320276974955</v>
      </c>
      <c r="AD251">
        <f t="shared" si="106"/>
        <v>0</v>
      </c>
      <c r="AE251">
        <f t="shared" si="109"/>
        <v>0</v>
      </c>
    </row>
    <row r="252" spans="1:31" x14ac:dyDescent="0.2">
      <c r="A252" s="373">
        <v>15400</v>
      </c>
      <c r="B252" s="390">
        <f t="shared" si="103"/>
        <v>15.4</v>
      </c>
      <c r="C252" s="363">
        <f t="shared" si="84"/>
        <v>20.259416265223667</v>
      </c>
      <c r="D252" s="364">
        <f t="shared" si="85"/>
        <v>1.5214164978241362</v>
      </c>
      <c r="E252" s="364">
        <f t="shared" si="86"/>
        <v>1.1534079133431383</v>
      </c>
      <c r="F252" s="365">
        <f t="shared" si="87"/>
        <v>0.52165438972416167</v>
      </c>
      <c r="G252" s="364">
        <f t="shared" si="88"/>
        <v>1.0116509979247457</v>
      </c>
      <c r="H252" s="365">
        <f t="shared" si="89"/>
        <v>-0.15191438278170161</v>
      </c>
      <c r="I252" s="363">
        <f t="shared" si="90"/>
        <v>52263.692075307372</v>
      </c>
      <c r="J252" s="366">
        <f t="shared" si="91"/>
        <v>1.570777193052898</v>
      </c>
      <c r="K252" s="374">
        <f t="shared" si="107"/>
        <v>12.762349000247291</v>
      </c>
      <c r="L252" s="375">
        <f t="shared" si="108"/>
        <v>1.4923604447313128</v>
      </c>
      <c r="M252" s="363">
        <f t="shared" si="92"/>
        <v>1.0764070188232706</v>
      </c>
      <c r="N252" s="366">
        <f t="shared" si="93"/>
        <v>0.37904994742387482</v>
      </c>
      <c r="O252" s="367">
        <f t="shared" si="94"/>
        <v>1.0083324698536567</v>
      </c>
      <c r="P252" s="368">
        <f t="shared" si="95"/>
        <v>0.17420749568652408</v>
      </c>
      <c r="Q252" s="369">
        <f t="shared" si="96"/>
        <v>-11.158964441005866</v>
      </c>
      <c r="R252" s="370">
        <f t="shared" si="97"/>
        <v>-102.17846760510432</v>
      </c>
      <c r="S252" s="372">
        <f t="shared" si="98"/>
        <v>77.821532394895684</v>
      </c>
      <c r="U252" s="345">
        <f t="shared" si="104"/>
        <v>15400</v>
      </c>
      <c r="V252" s="345">
        <f t="shared" si="105"/>
        <v>237160000</v>
      </c>
      <c r="X252" s="371">
        <f t="shared" si="99"/>
        <v>15.21175451848563</v>
      </c>
      <c r="Y252" s="372">
        <f t="shared" si="100"/>
        <v>-26.210910963960526</v>
      </c>
      <c r="AA252" s="371">
        <f t="shared" si="101"/>
        <v>19.649880953788127</v>
      </c>
      <c r="AB252" s="372">
        <f t="shared" si="102"/>
        <v>-75.967556641143787</v>
      </c>
      <c r="AD252">
        <f t="shared" si="106"/>
        <v>0</v>
      </c>
      <c r="AE252">
        <f t="shared" si="109"/>
        <v>0</v>
      </c>
    </row>
    <row r="253" spans="1:31" x14ac:dyDescent="0.2">
      <c r="A253" s="373">
        <v>15488</v>
      </c>
      <c r="B253" s="390">
        <f t="shared" si="103"/>
        <v>15.488</v>
      </c>
      <c r="C253" s="363">
        <f t="shared" si="84"/>
        <v>20.374903101728759</v>
      </c>
      <c r="D253" s="364">
        <f t="shared" si="85"/>
        <v>1.5216966130429241</v>
      </c>
      <c r="E253" s="364">
        <f t="shared" si="86"/>
        <v>1.1550480630464848</v>
      </c>
      <c r="F253" s="365">
        <f t="shared" si="87"/>
        <v>0.52411967080043098</v>
      </c>
      <c r="G253" s="364">
        <f t="shared" si="88"/>
        <v>1.0117837549694944</v>
      </c>
      <c r="H253" s="365">
        <f t="shared" si="89"/>
        <v>-0.15276905870282814</v>
      </c>
      <c r="I253" s="363">
        <f t="shared" si="90"/>
        <v>52562.341744200101</v>
      </c>
      <c r="J253" s="366">
        <f t="shared" si="91"/>
        <v>1.5707773017673412</v>
      </c>
      <c r="K253" s="374">
        <f t="shared" si="107"/>
        <v>12.834830227451036</v>
      </c>
      <c r="L253" s="375">
        <f t="shared" si="108"/>
        <v>1.4928042930044452</v>
      </c>
      <c r="M253" s="363">
        <f t="shared" si="92"/>
        <v>1.0772513249766802</v>
      </c>
      <c r="N253" s="366">
        <f t="shared" si="93"/>
        <v>0.38101281745354004</v>
      </c>
      <c r="O253" s="367">
        <f t="shared" si="94"/>
        <v>1.0084278470827899</v>
      </c>
      <c r="P253" s="368">
        <f t="shared" si="95"/>
        <v>0.17519650695364097</v>
      </c>
      <c r="Q253" s="369">
        <f t="shared" si="96"/>
        <v>-11.20278859548748</v>
      </c>
      <c r="R253" s="370">
        <f t="shared" si="97"/>
        <v>-102.24594208315698</v>
      </c>
      <c r="S253" s="372">
        <f t="shared" si="98"/>
        <v>77.754057916843024</v>
      </c>
      <c r="U253" s="345">
        <f t="shared" si="104"/>
        <v>15488</v>
      </c>
      <c r="V253" s="345">
        <f t="shared" si="105"/>
        <v>239878144</v>
      </c>
      <c r="X253" s="371">
        <f t="shared" si="99"/>
        <v>15.204642051079031</v>
      </c>
      <c r="Y253" s="372">
        <f t="shared" si="100"/>
        <v>-26.297950728576634</v>
      </c>
      <c r="AA253" s="371">
        <f t="shared" si="101"/>
        <v>19.613169266713111</v>
      </c>
      <c r="AB253" s="372">
        <f t="shared" si="102"/>
        <v>-75.947991354580353</v>
      </c>
      <c r="AD253">
        <f t="shared" si="106"/>
        <v>0</v>
      </c>
      <c r="AE253">
        <f t="shared" si="109"/>
        <v>0</v>
      </c>
    </row>
    <row r="254" spans="1:31" x14ac:dyDescent="0.2">
      <c r="A254" s="373">
        <v>15578.25</v>
      </c>
      <c r="B254" s="390">
        <f t="shared" si="103"/>
        <v>15.578250000000001</v>
      </c>
      <c r="C254" s="363">
        <f t="shared" si="84"/>
        <v>20.493344368256377</v>
      </c>
      <c r="D254" s="364">
        <f t="shared" si="85"/>
        <v>1.5219806110767695</v>
      </c>
      <c r="E254" s="364">
        <f t="shared" si="86"/>
        <v>1.1567374188849002</v>
      </c>
      <c r="F254" s="365">
        <f t="shared" si="87"/>
        <v>0.52664070735347546</v>
      </c>
      <c r="G254" s="364">
        <f t="shared" si="88"/>
        <v>1.0119206738317079</v>
      </c>
      <c r="H254" s="365">
        <f t="shared" si="89"/>
        <v>-0.15364535354476547</v>
      </c>
      <c r="I254" s="363">
        <f t="shared" si="90"/>
        <v>52868.627342127664</v>
      </c>
      <c r="J254" s="366">
        <f t="shared" si="91"/>
        <v>1.5707774119856737</v>
      </c>
      <c r="K254" s="374">
        <f t="shared" si="107"/>
        <v>12.909167264258885</v>
      </c>
      <c r="L254" s="375">
        <f t="shared" si="108"/>
        <v>1.493254312638383</v>
      </c>
      <c r="M254" s="363">
        <f t="shared" si="92"/>
        <v>1.0781215226896863</v>
      </c>
      <c r="N254" s="366">
        <f t="shared" si="93"/>
        <v>0.383022673260141</v>
      </c>
      <c r="O254" s="367">
        <f t="shared" si="94"/>
        <v>1.0085262245170989</v>
      </c>
      <c r="P254" s="368">
        <f t="shared" si="95"/>
        <v>0.17621069182140192</v>
      </c>
      <c r="Q254" s="369">
        <f t="shared" si="96"/>
        <v>-11.247429898946724</v>
      </c>
      <c r="R254" s="370">
        <f t="shared" si="97"/>
        <v>-102.31546407056969</v>
      </c>
      <c r="S254" s="372">
        <f t="shared" si="98"/>
        <v>77.684535929430311</v>
      </c>
      <c r="U254" s="345">
        <f t="shared" si="104"/>
        <v>15578.25</v>
      </c>
      <c r="V254" s="345">
        <f t="shared" si="105"/>
        <v>242681873.0625</v>
      </c>
      <c r="X254" s="371">
        <f t="shared" si="99"/>
        <v>15.197323877816524</v>
      </c>
      <c r="Y254" s="372">
        <f t="shared" si="100"/>
        <v>-26.387329073149466</v>
      </c>
      <c r="AA254" s="371">
        <f t="shared" si="101"/>
        <v>19.575846136516375</v>
      </c>
      <c r="AB254" s="372">
        <f t="shared" si="102"/>
        <v>-75.928134997420202</v>
      </c>
      <c r="AD254">
        <f t="shared" si="106"/>
        <v>0</v>
      </c>
      <c r="AE254">
        <f t="shared" si="109"/>
        <v>0</v>
      </c>
    </row>
    <row r="255" spans="1:31" x14ac:dyDescent="0.2">
      <c r="A255" s="373">
        <v>15668.5</v>
      </c>
      <c r="B255" s="390">
        <f t="shared" si="103"/>
        <v>15.6685</v>
      </c>
      <c r="C255" s="363">
        <f t="shared" si="84"/>
        <v>20.611787268676267</v>
      </c>
      <c r="D255" s="364">
        <f t="shared" si="85"/>
        <v>1.5222613452190097</v>
      </c>
      <c r="E255" s="364">
        <f t="shared" si="86"/>
        <v>1.1584341050433382</v>
      </c>
      <c r="F255" s="365">
        <f t="shared" si="87"/>
        <v>0.52915437503364882</v>
      </c>
      <c r="G255" s="364">
        <f t="shared" si="88"/>
        <v>1.012058369529772</v>
      </c>
      <c r="H255" s="365">
        <f t="shared" si="89"/>
        <v>-0.15452141061051175</v>
      </c>
      <c r="I255" s="363">
        <f t="shared" si="90"/>
        <v>53174.912940055852</v>
      </c>
      <c r="J255" s="366">
        <f t="shared" si="91"/>
        <v>1.5707775209342987</v>
      </c>
      <c r="K255" s="374">
        <f t="shared" si="107"/>
        <v>12.983506885464188</v>
      </c>
      <c r="L255" s="375">
        <f t="shared" si="108"/>
        <v>1.4936991790097822</v>
      </c>
      <c r="M255" s="363">
        <f t="shared" si="92"/>
        <v>1.0789960684616202</v>
      </c>
      <c r="N255" s="366">
        <f t="shared" si="93"/>
        <v>0.38502927911279206</v>
      </c>
      <c r="O255" s="367">
        <f t="shared" si="94"/>
        <v>1.0086251705729459</v>
      </c>
      <c r="P255" s="368">
        <f t="shared" si="95"/>
        <v>0.1772247610023639</v>
      </c>
      <c r="Q255" s="369">
        <f t="shared" si="96"/>
        <v>-11.291767740178912</v>
      </c>
      <c r="R255" s="370">
        <f t="shared" si="97"/>
        <v>-102.38530998294702</v>
      </c>
      <c r="S255" s="372">
        <f t="shared" si="98"/>
        <v>77.614690017052979</v>
      </c>
      <c r="U255" s="345">
        <f t="shared" si="104"/>
        <v>15668.5</v>
      </c>
      <c r="V255" s="345">
        <f t="shared" si="105"/>
        <v>245501892.25</v>
      </c>
      <c r="X255" s="371">
        <f t="shared" si="99"/>
        <v>15.189981588724448</v>
      </c>
      <c r="Y255" s="372">
        <f t="shared" si="100"/>
        <v>-26.476816396522803</v>
      </c>
      <c r="AA255" s="371">
        <f t="shared" si="101"/>
        <v>19.538850584376263</v>
      </c>
      <c r="AB255" s="372">
        <f t="shared" si="102"/>
        <v>-75.908493586424228</v>
      </c>
      <c r="AD255">
        <f t="shared" si="106"/>
        <v>0</v>
      </c>
      <c r="AE255">
        <f t="shared" si="109"/>
        <v>0</v>
      </c>
    </row>
    <row r="256" spans="1:31" x14ac:dyDescent="0.2">
      <c r="A256" s="373">
        <v>15758.75</v>
      </c>
      <c r="B256" s="390">
        <f t="shared" si="103"/>
        <v>15.758749999999999</v>
      </c>
      <c r="C256" s="363">
        <f t="shared" si="84"/>
        <v>20.730231774982531</v>
      </c>
      <c r="D256" s="364">
        <f t="shared" si="85"/>
        <v>1.5225388713708434</v>
      </c>
      <c r="E256" s="364">
        <f t="shared" si="86"/>
        <v>1.1601380893603193</v>
      </c>
      <c r="F256" s="365">
        <f t="shared" si="87"/>
        <v>0.53166067447596477</v>
      </c>
      <c r="G256" s="364">
        <f t="shared" si="88"/>
        <v>1.0121968417466525</v>
      </c>
      <c r="H256" s="365">
        <f t="shared" si="89"/>
        <v>-0.15539722865267575</v>
      </c>
      <c r="I256" s="363">
        <f t="shared" si="90"/>
        <v>53481.198537984674</v>
      </c>
      <c r="J256" s="366">
        <f t="shared" si="91"/>
        <v>1.5707776286350312</v>
      </c>
      <c r="K256" s="374">
        <f t="shared" si="107"/>
        <v>13.057849046927251</v>
      </c>
      <c r="L256" s="375">
        <f t="shared" si="108"/>
        <v>1.4941389799581395</v>
      </c>
      <c r="M256" s="363">
        <f t="shared" si="92"/>
        <v>1.0798749517285462</v>
      </c>
      <c r="N256" s="366">
        <f t="shared" si="93"/>
        <v>0.38703262676811506</v>
      </c>
      <c r="O256" s="367">
        <f t="shared" si="94"/>
        <v>1.0087246851996392</v>
      </c>
      <c r="P256" s="368">
        <f t="shared" si="95"/>
        <v>0.17823871385839365</v>
      </c>
      <c r="Q256" s="369">
        <f t="shared" si="96"/>
        <v>-11.335805809947681</v>
      </c>
      <c r="R256" s="370">
        <f t="shared" si="97"/>
        <v>-102.45547737488239</v>
      </c>
      <c r="S256" s="372">
        <f t="shared" si="98"/>
        <v>77.544522625117608</v>
      </c>
      <c r="U256" s="345">
        <f t="shared" si="104"/>
        <v>15758.75</v>
      </c>
      <c r="V256" s="345">
        <f t="shared" si="105"/>
        <v>248338201.5625</v>
      </c>
      <c r="X256" s="371">
        <f t="shared" si="99"/>
        <v>15.182615225872389</v>
      </c>
      <c r="Y256" s="372">
        <f t="shared" si="100"/>
        <v>-26.566407194803311</v>
      </c>
      <c r="AA256" s="371">
        <f t="shared" si="101"/>
        <v>19.502178877459556</v>
      </c>
      <c r="AB256" s="372">
        <f t="shared" si="102"/>
        <v>-75.889070180079088</v>
      </c>
      <c r="AD256">
        <f t="shared" si="106"/>
        <v>0</v>
      </c>
      <c r="AE256">
        <f t="shared" si="109"/>
        <v>0</v>
      </c>
    </row>
    <row r="257" spans="1:31" x14ac:dyDescent="0.2">
      <c r="A257" s="373">
        <v>15849</v>
      </c>
      <c r="B257" s="390">
        <f t="shared" si="103"/>
        <v>15.849</v>
      </c>
      <c r="C257" s="363">
        <f t="shared" si="84"/>
        <v>20.848677859805321</v>
      </c>
      <c r="D257" s="364">
        <f t="shared" si="85"/>
        <v>1.5228132441651232</v>
      </c>
      <c r="E257" s="364">
        <f t="shared" si="86"/>
        <v>1.1618493397251028</v>
      </c>
      <c r="F257" s="365">
        <f t="shared" si="87"/>
        <v>0.53415960668198836</v>
      </c>
      <c r="G257" s="364">
        <f t="shared" si="88"/>
        <v>1.0123360901637013</v>
      </c>
      <c r="H257" s="365">
        <f t="shared" si="89"/>
        <v>-0.1562728064260136</v>
      </c>
      <c r="I257" s="363">
        <f t="shared" si="90"/>
        <v>53787.484135914099</v>
      </c>
      <c r="J257" s="366">
        <f t="shared" si="91"/>
        <v>1.5707777351091889</v>
      </c>
      <c r="K257" s="374">
        <f t="shared" si="107"/>
        <v>13.132193705506406</v>
      </c>
      <c r="L257" s="375">
        <f t="shared" si="108"/>
        <v>1.4945738013417667</v>
      </c>
      <c r="M257" s="363">
        <f t="shared" si="92"/>
        <v>1.080758161908582</v>
      </c>
      <c r="N257" s="366">
        <f t="shared" si="93"/>
        <v>0.38903270811409074</v>
      </c>
      <c r="O257" s="367">
        <f t="shared" si="94"/>
        <v>1.0088247683462204</v>
      </c>
      <c r="P257" s="368">
        <f t="shared" si="95"/>
        <v>0.17925254975189947</v>
      </c>
      <c r="Q257" s="369">
        <f t="shared" si="96"/>
        <v>-11.379547737682367</v>
      </c>
      <c r="R257" s="370">
        <f t="shared" si="97"/>
        <v>-102.52596382846163</v>
      </c>
      <c r="S257" s="372">
        <f t="shared" si="98"/>
        <v>77.474036171538373</v>
      </c>
      <c r="U257" s="345">
        <f t="shared" si="104"/>
        <v>15849</v>
      </c>
      <c r="V257" s="345">
        <f t="shared" si="105"/>
        <v>251190801</v>
      </c>
      <c r="X257" s="371">
        <f t="shared" si="99"/>
        <v>15.17522483471854</v>
      </c>
      <c r="Y257" s="372">
        <f t="shared" si="100"/>
        <v>-26.656096085109041</v>
      </c>
      <c r="AA257" s="371">
        <f t="shared" si="101"/>
        <v>19.465827340878718</v>
      </c>
      <c r="AB257" s="372">
        <f t="shared" si="102"/>
        <v>-75.8698677433526</v>
      </c>
      <c r="AD257">
        <f t="shared" si="106"/>
        <v>0</v>
      </c>
      <c r="AE257">
        <f t="shared" si="109"/>
        <v>0</v>
      </c>
    </row>
    <row r="258" spans="1:31" x14ac:dyDescent="0.2">
      <c r="A258" s="373">
        <v>15941.25</v>
      </c>
      <c r="B258" s="390">
        <f t="shared" si="103"/>
        <v>15.94125</v>
      </c>
      <c r="C258" s="363">
        <f t="shared" si="84"/>
        <v>20.969750392140366</v>
      </c>
      <c r="D258" s="364">
        <f t="shared" si="85"/>
        <v>1.5230904938794887</v>
      </c>
      <c r="E258" s="364">
        <f t="shared" si="86"/>
        <v>1.1636059885219621</v>
      </c>
      <c r="F258" s="365">
        <f t="shared" si="87"/>
        <v>0.5367063043693342</v>
      </c>
      <c r="G258" s="364">
        <f t="shared" si="88"/>
        <v>1.0124792262772404</v>
      </c>
      <c r="H258" s="365">
        <f t="shared" si="89"/>
        <v>-0.15716753797611985</v>
      </c>
      <c r="I258" s="363">
        <f t="shared" si="90"/>
        <v>54100.557226319041</v>
      </c>
      <c r="J258" s="366">
        <f t="shared" si="91"/>
        <v>1.5707778426969257</v>
      </c>
      <c r="K258" s="374">
        <f t="shared" si="107"/>
        <v>13.20818842798105</v>
      </c>
      <c r="L258" s="375">
        <f t="shared" si="108"/>
        <v>1.4950131997162615</v>
      </c>
      <c r="M258" s="363">
        <f t="shared" si="92"/>
        <v>1.0816654053845802</v>
      </c>
      <c r="N258" s="366">
        <f t="shared" si="93"/>
        <v>0.39107372859713235</v>
      </c>
      <c r="O258" s="367">
        <f t="shared" si="94"/>
        <v>1.0089276569061874</v>
      </c>
      <c r="P258" s="368">
        <f t="shared" si="95"/>
        <v>0.18028873138038884</v>
      </c>
      <c r="Q258" s="369">
        <f t="shared" si="96"/>
        <v>-11.423956672702083</v>
      </c>
      <c r="R258" s="370">
        <f t="shared" si="97"/>
        <v>-102.59833956512557</v>
      </c>
      <c r="S258" s="372">
        <f t="shared" si="98"/>
        <v>77.401660434874429</v>
      </c>
      <c r="U258" s="345">
        <f t="shared" si="104"/>
        <v>15941.25</v>
      </c>
      <c r="V258" s="345">
        <f t="shared" si="105"/>
        <v>254123451.5625</v>
      </c>
      <c r="X258" s="371">
        <f t="shared" si="99"/>
        <v>15.167645885403466</v>
      </c>
      <c r="Y258" s="372">
        <f t="shared" si="100"/>
        <v>-26.747868436731725</v>
      </c>
      <c r="AA258" s="371">
        <f t="shared" si="101"/>
        <v>19.428997355174076</v>
      </c>
      <c r="AB258" s="372">
        <f t="shared" si="102"/>
        <v>-75.850471128393863</v>
      </c>
      <c r="AD258">
        <f t="shared" si="106"/>
        <v>0</v>
      </c>
      <c r="AE258">
        <f t="shared" si="109"/>
        <v>0</v>
      </c>
    </row>
    <row r="259" spans="1:31" x14ac:dyDescent="0.2">
      <c r="A259" s="373">
        <v>16033.5</v>
      </c>
      <c r="B259" s="390">
        <f t="shared" si="103"/>
        <v>16.0335</v>
      </c>
      <c r="C259" s="363">
        <f t="shared" si="84"/>
        <v>21.090824517859403</v>
      </c>
      <c r="D259" s="364">
        <f t="shared" si="85"/>
        <v>1.5233645604516584</v>
      </c>
      <c r="E259" s="364">
        <f t="shared" si="86"/>
        <v>1.1653701613021443</v>
      </c>
      <c r="F259" s="365">
        <f t="shared" si="87"/>
        <v>0.5392453079456051</v>
      </c>
      <c r="G259" s="364">
        <f t="shared" si="88"/>
        <v>1.0126231726959831</v>
      </c>
      <c r="H259" s="365">
        <f t="shared" si="89"/>
        <v>-0.15806201586635091</v>
      </c>
      <c r="I259" s="363">
        <f t="shared" si="90"/>
        <v>54413.630316724608</v>
      </c>
      <c r="J259" s="366">
        <f t="shared" si="91"/>
        <v>1.5707779490466331</v>
      </c>
      <c r="K259" s="374">
        <f t="shared" si="107"/>
        <v>13.284185671395784</v>
      </c>
      <c r="L259" s="375">
        <f t="shared" si="108"/>
        <v>1.4954475706823307</v>
      </c>
      <c r="M259" s="363">
        <f t="shared" si="92"/>
        <v>1.0825771472607479</v>
      </c>
      <c r="N259" s="366">
        <f t="shared" si="93"/>
        <v>0.39311131967884788</v>
      </c>
      <c r="O259" s="367">
        <f t="shared" si="94"/>
        <v>1.0090311393542779</v>
      </c>
      <c r="P259" s="368">
        <f t="shared" si="95"/>
        <v>0.18132478945963254</v>
      </c>
      <c r="Q259" s="369">
        <f t="shared" si="96"/>
        <v>-11.468063672763758</v>
      </c>
      <c r="R259" s="370">
        <f t="shared" si="97"/>
        <v>-102.67104363690612</v>
      </c>
      <c r="S259" s="372">
        <f t="shared" si="98"/>
        <v>77.32895636309388</v>
      </c>
      <c r="U259" s="345">
        <f t="shared" si="104"/>
        <v>16033.5</v>
      </c>
      <c r="V259" s="345">
        <f t="shared" si="105"/>
        <v>257073122.25</v>
      </c>
      <c r="X259" s="371">
        <f t="shared" si="99"/>
        <v>15.160041937375846</v>
      </c>
      <c r="Y259" s="372">
        <f t="shared" si="100"/>
        <v>-26.83973227648309</v>
      </c>
      <c r="AA259" s="371">
        <f t="shared" si="101"/>
        <v>19.392494303140023</v>
      </c>
      <c r="AB259" s="372">
        <f t="shared" si="102"/>
        <v>-75.831311360423058</v>
      </c>
      <c r="AD259">
        <f t="shared" si="106"/>
        <v>0</v>
      </c>
      <c r="AE259">
        <f t="shared" si="109"/>
        <v>0</v>
      </c>
    </row>
    <row r="260" spans="1:31" x14ac:dyDescent="0.2">
      <c r="A260" s="373">
        <v>16125.75</v>
      </c>
      <c r="B260" s="390">
        <f t="shared" si="103"/>
        <v>16.12575</v>
      </c>
      <c r="C260" s="363">
        <f t="shared" si="84"/>
        <v>21.211900209678095</v>
      </c>
      <c r="D260" s="364">
        <f t="shared" si="85"/>
        <v>1.5236354983474045</v>
      </c>
      <c r="E260" s="364">
        <f t="shared" si="86"/>
        <v>1.1671418239474149</v>
      </c>
      <c r="F260" s="365">
        <f t="shared" si="87"/>
        <v>0.54177661963918444</v>
      </c>
      <c r="G260" s="364">
        <f t="shared" si="88"/>
        <v>1.0127679290744196</v>
      </c>
      <c r="H260" s="365">
        <f t="shared" si="89"/>
        <v>-0.15895623877384568</v>
      </c>
      <c r="I260" s="363">
        <f t="shared" si="90"/>
        <v>54726.703407130779</v>
      </c>
      <c r="J260" s="366">
        <f t="shared" si="91"/>
        <v>1.5707780541795591</v>
      </c>
      <c r="K260" s="374">
        <f t="shared" si="107"/>
        <v>13.360185392730736</v>
      </c>
      <c r="L260" s="375">
        <f t="shared" si="108"/>
        <v>1.4958769998702317</v>
      </c>
      <c r="M260" s="363">
        <f t="shared" si="92"/>
        <v>1.0834933761810954</v>
      </c>
      <c r="N260" s="366">
        <f t="shared" si="93"/>
        <v>0.39514547311875026</v>
      </c>
      <c r="O260" s="367">
        <f t="shared" si="94"/>
        <v>1.0091352156352054</v>
      </c>
      <c r="P260" s="368">
        <f t="shared" si="95"/>
        <v>0.18236072331047609</v>
      </c>
      <c r="Q260" s="369">
        <f t="shared" si="96"/>
        <v>-11.511872424006416</v>
      </c>
      <c r="R260" s="370">
        <f t="shared" si="97"/>
        <v>-102.74407354489816</v>
      </c>
      <c r="S260" s="372">
        <f t="shared" si="98"/>
        <v>77.255926455101843</v>
      </c>
      <c r="U260" s="345">
        <f t="shared" si="104"/>
        <v>16125.75</v>
      </c>
      <c r="V260" s="345">
        <f t="shared" si="105"/>
        <v>260039813.0625</v>
      </c>
      <c r="X260" s="371">
        <f t="shared" si="99"/>
        <v>15.152413049382034</v>
      </c>
      <c r="Y260" s="372">
        <f t="shared" si="100"/>
        <v>-26.931682227183071</v>
      </c>
      <c r="AA260" s="371">
        <f t="shared" si="101"/>
        <v>19.356314439891175</v>
      </c>
      <c r="AB260" s="372">
        <f t="shared" si="102"/>
        <v>-75.812391317715068</v>
      </c>
      <c r="AD260">
        <f t="shared" si="106"/>
        <v>0</v>
      </c>
      <c r="AE260">
        <f t="shared" si="109"/>
        <v>0</v>
      </c>
    </row>
    <row r="261" spans="1:31" x14ac:dyDescent="0.2">
      <c r="A261" s="373">
        <v>16218</v>
      </c>
      <c r="B261" s="390">
        <f t="shared" si="103"/>
        <v>16.218</v>
      </c>
      <c r="C261" s="363">
        <f t="shared" si="84"/>
        <v>21.33297744093116</v>
      </c>
      <c r="D261" s="364">
        <f t="shared" si="85"/>
        <v>1.5239033607978603</v>
      </c>
      <c r="E261" s="364">
        <f t="shared" si="86"/>
        <v>1.16892094240197</v>
      </c>
      <c r="F261" s="365">
        <f t="shared" si="87"/>
        <v>0.54430024205926097</v>
      </c>
      <c r="G261" s="364">
        <f t="shared" si="88"/>
        <v>1.0129134950652934</v>
      </c>
      <c r="H261" s="365">
        <f t="shared" si="89"/>
        <v>-0.15985020537812833</v>
      </c>
      <c r="I261" s="363">
        <f t="shared" si="90"/>
        <v>55039.776497537547</v>
      </c>
      <c r="J261" s="366">
        <f t="shared" si="91"/>
        <v>1.5707781581164664</v>
      </c>
      <c r="K261" s="374">
        <f t="shared" si="107"/>
        <v>13.436187549937987</v>
      </c>
      <c r="L261" s="375">
        <f t="shared" si="108"/>
        <v>1.4963015709801275</v>
      </c>
      <c r="M261" s="363">
        <f t="shared" si="92"/>
        <v>1.0844140807722193</v>
      </c>
      <c r="N261" s="366">
        <f t="shared" si="93"/>
        <v>0.39717618081792666</v>
      </c>
      <c r="O261" s="367">
        <f t="shared" si="94"/>
        <v>1.0092398856933924</v>
      </c>
      <c r="P261" s="368">
        <f t="shared" si="95"/>
        <v>0.18339653225436803</v>
      </c>
      <c r="Q261" s="369">
        <f t="shared" si="96"/>
        <v>-11.55538655136094</v>
      </c>
      <c r="R261" s="370">
        <f t="shared" si="97"/>
        <v>-102.81742681647955</v>
      </c>
      <c r="S261" s="372">
        <f t="shared" si="98"/>
        <v>77.182573183520446</v>
      </c>
      <c r="U261" s="345">
        <f t="shared" si="104"/>
        <v>16218</v>
      </c>
      <c r="V261" s="345">
        <f t="shared" si="105"/>
        <v>263023524</v>
      </c>
      <c r="X261" s="371">
        <f t="shared" si="99"/>
        <v>15.1447592833578</v>
      </c>
      <c r="Y261" s="372">
        <f t="shared" si="100"/>
        <v>-27.023713030321666</v>
      </c>
      <c r="AA261" s="371">
        <f t="shared" si="101"/>
        <v>19.320454078560882</v>
      </c>
      <c r="AB261" s="372">
        <f t="shared" si="102"/>
        <v>-75.793713786157852</v>
      </c>
      <c r="AD261">
        <f t="shared" si="106"/>
        <v>0</v>
      </c>
      <c r="AE261">
        <f t="shared" si="109"/>
        <v>0</v>
      </c>
    </row>
    <row r="262" spans="1:31" x14ac:dyDescent="0.2">
      <c r="A262" s="373">
        <v>16312.5</v>
      </c>
      <c r="B262" s="390">
        <f t="shared" si="103"/>
        <v>16.3125</v>
      </c>
      <c r="C262" s="363">
        <f t="shared" si="84"/>
        <v>21.457009344357619</v>
      </c>
      <c r="D262" s="364">
        <f t="shared" si="85"/>
        <v>1.5241746219839252</v>
      </c>
      <c r="E262" s="364">
        <f t="shared" si="86"/>
        <v>1.1707511492585194</v>
      </c>
      <c r="F262" s="365">
        <f t="shared" si="87"/>
        <v>0.54687744649293901</v>
      </c>
      <c r="G262" s="364">
        <f t="shared" si="88"/>
        <v>1.0130634505545826</v>
      </c>
      <c r="H262" s="365">
        <f t="shared" si="89"/>
        <v>-0.16076570891174502</v>
      </c>
      <c r="I262" s="363">
        <f t="shared" si="90"/>
        <v>55360.485516979235</v>
      </c>
      <c r="J262" s="366">
        <f t="shared" si="91"/>
        <v>1.5707782633695</v>
      </c>
      <c r="K262" s="374">
        <f t="shared" si="107"/>
        <v>13.514045901050904</v>
      </c>
      <c r="L262" s="375">
        <f t="shared" si="108"/>
        <v>1.4967315457454131</v>
      </c>
      <c r="M262" s="363">
        <f t="shared" si="92"/>
        <v>1.0853618704124608</v>
      </c>
      <c r="N262" s="366">
        <f t="shared" si="93"/>
        <v>0.39925283682634416</v>
      </c>
      <c r="O262" s="367">
        <f t="shared" si="94"/>
        <v>1.0093477242988604</v>
      </c>
      <c r="P262" s="368">
        <f t="shared" si="95"/>
        <v>0.18445747460850595</v>
      </c>
      <c r="Q262" s="369">
        <f t="shared" si="96"/>
        <v>-11.599660234691791</v>
      </c>
      <c r="R262" s="370">
        <f t="shared" si="97"/>
        <v>-102.8929019244746</v>
      </c>
      <c r="S262" s="372">
        <f t="shared" si="98"/>
        <v>77.1070980755254</v>
      </c>
      <c r="U262" s="345">
        <f t="shared" si="104"/>
        <v>16312.5</v>
      </c>
      <c r="V262" s="345">
        <f t="shared" si="105"/>
        <v>266097656.25</v>
      </c>
      <c r="X262" s="371">
        <f t="shared" si="99"/>
        <v>15.136893112484028</v>
      </c>
      <c r="Y262" s="372">
        <f t="shared" si="100"/>
        <v>-27.118066946418907</v>
      </c>
      <c r="AA262" s="371">
        <f t="shared" si="101"/>
        <v>19.284046566103804</v>
      </c>
      <c r="AB262" s="372">
        <f t="shared" si="102"/>
        <v>-75.774834978055679</v>
      </c>
      <c r="AD262">
        <f t="shared" si="106"/>
        <v>0</v>
      </c>
      <c r="AE262">
        <f t="shared" si="109"/>
        <v>0</v>
      </c>
    </row>
    <row r="263" spans="1:31" x14ac:dyDescent="0.2">
      <c r="A263" s="373">
        <v>16407</v>
      </c>
      <c r="B263" s="390">
        <f t="shared" si="103"/>
        <v>16.407</v>
      </c>
      <c r="C263" s="363">
        <f t="shared" si="84"/>
        <v>21.581042808498935</v>
      </c>
      <c r="D263" s="364">
        <f t="shared" si="85"/>
        <v>1.5244427651321804</v>
      </c>
      <c r="E263" s="364">
        <f t="shared" si="86"/>
        <v>1.1725891079195696</v>
      </c>
      <c r="F263" s="365">
        <f t="shared" si="87"/>
        <v>0.54944658873910068</v>
      </c>
      <c r="G263" s="364">
        <f t="shared" si="88"/>
        <v>1.0132142548879328</v>
      </c>
      <c r="H263" s="365">
        <f t="shared" si="89"/>
        <v>-0.16168094068965361</v>
      </c>
      <c r="I263" s="363">
        <f t="shared" si="90"/>
        <v>55681.194536421535</v>
      </c>
      <c r="J263" s="366">
        <f t="shared" si="91"/>
        <v>1.5707783674100742</v>
      </c>
      <c r="K263" s="374">
        <f t="shared" si="107"/>
        <v>13.591906721993647</v>
      </c>
      <c r="L263" s="375">
        <f t="shared" si="108"/>
        <v>1.4971565943940117</v>
      </c>
      <c r="M263" s="363">
        <f t="shared" si="92"/>
        <v>1.0863143324966791</v>
      </c>
      <c r="N263" s="366">
        <f t="shared" si="93"/>
        <v>0.40132586020772093</v>
      </c>
      <c r="O263" s="367">
        <f t="shared" si="94"/>
        <v>1.009456185880564</v>
      </c>
      <c r="P263" s="368">
        <f t="shared" si="95"/>
        <v>0.18551828444884041</v>
      </c>
      <c r="Q263" s="369">
        <f t="shared" si="96"/>
        <v>-11.643632256477215</v>
      </c>
      <c r="R263" s="370">
        <f t="shared" si="97"/>
        <v>-102.96871119047348</v>
      </c>
      <c r="S263" s="372">
        <f t="shared" si="98"/>
        <v>77.031288809526515</v>
      </c>
      <c r="U263" s="345">
        <f t="shared" si="104"/>
        <v>16407</v>
      </c>
      <c r="V263" s="345">
        <f t="shared" si="105"/>
        <v>269189649</v>
      </c>
      <c r="X263" s="371">
        <f t="shared" si="99"/>
        <v>15.129000976548195</v>
      </c>
      <c r="Y263" s="372">
        <f t="shared" si="100"/>
        <v>-27.212494904544993</v>
      </c>
      <c r="AA263" s="371">
        <f t="shared" si="101"/>
        <v>19.247966680254216</v>
      </c>
      <c r="AB263" s="372">
        <f t="shared" si="102"/>
        <v>-75.756216285928474</v>
      </c>
      <c r="AD263">
        <f t="shared" si="106"/>
        <v>0</v>
      </c>
      <c r="AE263">
        <f t="shared" si="109"/>
        <v>0</v>
      </c>
    </row>
    <row r="264" spans="1:31" x14ac:dyDescent="0.2">
      <c r="A264" s="373">
        <v>16501.5</v>
      </c>
      <c r="B264" s="390">
        <f t="shared" si="103"/>
        <v>16.5015</v>
      </c>
      <c r="C264" s="363">
        <f t="shared" si="84"/>
        <v>21.705077806599029</v>
      </c>
      <c r="D264" s="364">
        <f t="shared" si="85"/>
        <v>1.5247078436583867</v>
      </c>
      <c r="E264" s="364">
        <f t="shared" si="86"/>
        <v>1.1744347819910279</v>
      </c>
      <c r="F264" s="365">
        <f t="shared" si="87"/>
        <v>0.55200767281350049</v>
      </c>
      <c r="G264" s="364">
        <f t="shared" si="88"/>
        <v>1.0133659076863815</v>
      </c>
      <c r="H264" s="365">
        <f t="shared" si="89"/>
        <v>-0.16259589930023571</v>
      </c>
      <c r="I264" s="363">
        <f t="shared" si="90"/>
        <v>56001.903555864432</v>
      </c>
      <c r="J264" s="366">
        <f t="shared" si="91"/>
        <v>1.5707784702590191</v>
      </c>
      <c r="K264" s="374">
        <f t="shared" si="107"/>
        <v>13.669769970562948</v>
      </c>
      <c r="L264" s="375">
        <f t="shared" si="108"/>
        <v>1.497576800948752</v>
      </c>
      <c r="M264" s="363">
        <f t="shared" si="92"/>
        <v>1.0872714547455338</v>
      </c>
      <c r="N264" s="366">
        <f t="shared" si="93"/>
        <v>0.40339524271486199</v>
      </c>
      <c r="O264" s="367">
        <f t="shared" si="94"/>
        <v>1.0095652703778148</v>
      </c>
      <c r="P264" s="368">
        <f t="shared" si="95"/>
        <v>0.18657896104793709</v>
      </c>
      <c r="Q264" s="369">
        <f t="shared" si="96"/>
        <v>-11.687306322343405</v>
      </c>
      <c r="R264" s="370">
        <f t="shared" si="97"/>
        <v>-103.04485203683994</v>
      </c>
      <c r="S264" s="372">
        <f t="shared" si="98"/>
        <v>76.955147963160059</v>
      </c>
      <c r="U264" s="345">
        <f t="shared" si="104"/>
        <v>16501.5</v>
      </c>
      <c r="V264" s="345">
        <f t="shared" si="105"/>
        <v>272299502.25</v>
      </c>
      <c r="X264" s="371">
        <f t="shared" si="99"/>
        <v>15.121082951785993</v>
      </c>
      <c r="Y264" s="372">
        <f t="shared" si="100"/>
        <v>-27.306991619210468</v>
      </c>
      <c r="AA264" s="371">
        <f t="shared" si="101"/>
        <v>19.212210639150229</v>
      </c>
      <c r="AB264" s="372">
        <f t="shared" si="102"/>
        <v>-75.737860417629449</v>
      </c>
      <c r="AD264">
        <f t="shared" si="106"/>
        <v>0</v>
      </c>
      <c r="AE264">
        <f t="shared" si="109"/>
        <v>0</v>
      </c>
    </row>
    <row r="265" spans="1:31" x14ac:dyDescent="0.2">
      <c r="A265" s="373">
        <v>16596</v>
      </c>
      <c r="B265" s="390">
        <f t="shared" si="103"/>
        <v>16.596</v>
      </c>
      <c r="C265" s="363">
        <f t="shared" si="84"/>
        <v>21.829114312509635</v>
      </c>
      <c r="D265" s="364">
        <f t="shared" si="85"/>
        <v>1.5249699097659835</v>
      </c>
      <c r="E265" s="364">
        <f t="shared" si="86"/>
        <v>1.1762881351549233</v>
      </c>
      <c r="F265" s="365">
        <f t="shared" si="87"/>
        <v>0.55456070312957761</v>
      </c>
      <c r="G265" s="364">
        <f t="shared" si="88"/>
        <v>1.0135184085690607</v>
      </c>
      <c r="H265" s="365">
        <f t="shared" si="89"/>
        <v>-0.16351058333454496</v>
      </c>
      <c r="I265" s="363">
        <f t="shared" si="90"/>
        <v>56322.612575307903</v>
      </c>
      <c r="J265" s="366">
        <f t="shared" si="91"/>
        <v>1.5707785719366909</v>
      </c>
      <c r="K265" s="374">
        <f t="shared" si="107"/>
        <v>13.747635605510355</v>
      </c>
      <c r="L265" s="375">
        <f t="shared" si="108"/>
        <v>1.4979922475357945</v>
      </c>
      <c r="M265" s="363">
        <f t="shared" si="92"/>
        <v>1.0882332248629085</v>
      </c>
      <c r="N265" s="366">
        <f t="shared" si="93"/>
        <v>0.40546097625424654</v>
      </c>
      <c r="O265" s="367">
        <f t="shared" si="94"/>
        <v>1.0096749777296075</v>
      </c>
      <c r="P265" s="368">
        <f t="shared" si="95"/>
        <v>0.18763950367903931</v>
      </c>
      <c r="Q265" s="369">
        <f t="shared" si="96"/>
        <v>-11.730686076278783</v>
      </c>
      <c r="R265" s="370">
        <f t="shared" si="97"/>
        <v>-103.12132191133179</v>
      </c>
      <c r="S265" s="372">
        <f t="shared" si="98"/>
        <v>76.87867808866821</v>
      </c>
      <c r="U265" s="345">
        <f t="shared" si="104"/>
        <v>16596</v>
      </c>
      <c r="V265" s="345">
        <f t="shared" si="105"/>
        <v>275427216</v>
      </c>
      <c r="X265" s="371">
        <f t="shared" si="99"/>
        <v>15.113139117450633</v>
      </c>
      <c r="Y265" s="372">
        <f t="shared" si="100"/>
        <v>-27.401551922374694</v>
      </c>
      <c r="AA265" s="371">
        <f t="shared" si="101"/>
        <v>19.17677471955021</v>
      </c>
      <c r="AB265" s="372">
        <f t="shared" si="102"/>
        <v>-75.719769988957097</v>
      </c>
      <c r="AD265">
        <f t="shared" si="106"/>
        <v>0</v>
      </c>
      <c r="AE265">
        <f t="shared" si="109"/>
        <v>0</v>
      </c>
    </row>
    <row r="266" spans="1:31" x14ac:dyDescent="0.2">
      <c r="A266" s="373">
        <v>16692.5</v>
      </c>
      <c r="B266" s="390">
        <f t="shared" si="103"/>
        <v>16.692499999999999</v>
      </c>
      <c r="C266" s="363">
        <f t="shared" si="84"/>
        <v>21.955777459114032</v>
      </c>
      <c r="D266" s="364">
        <f t="shared" si="85"/>
        <v>1.5252344665423401</v>
      </c>
      <c r="E266" s="364">
        <f t="shared" si="86"/>
        <v>1.1781885996552801</v>
      </c>
      <c r="F266" s="365">
        <f t="shared" si="87"/>
        <v>0.55715945959283653</v>
      </c>
      <c r="G266" s="364">
        <f t="shared" si="88"/>
        <v>1.0136750117833218</v>
      </c>
      <c r="H266" s="365">
        <f t="shared" si="89"/>
        <v>-0.1644443409451968</v>
      </c>
      <c r="I266" s="363">
        <f t="shared" si="90"/>
        <v>56650.109087226971</v>
      </c>
      <c r="J266" s="366">
        <f t="shared" si="91"/>
        <v>1.5707786745782255</v>
      </c>
      <c r="K266" s="374">
        <f t="shared" si="107"/>
        <v>13.827151611176282</v>
      </c>
      <c r="L266" s="375">
        <f t="shared" si="108"/>
        <v>1.498411657923197</v>
      </c>
      <c r="M266" s="363">
        <f t="shared" si="92"/>
        <v>1.0892201335685936</v>
      </c>
      <c r="N266" s="366">
        <f t="shared" si="93"/>
        <v>0.40756665514549967</v>
      </c>
      <c r="O266" s="367">
        <f t="shared" si="94"/>
        <v>1.0097876496335785</v>
      </c>
      <c r="P266" s="368">
        <f t="shared" si="95"/>
        <v>0.18872235265131071</v>
      </c>
      <c r="Q266" s="369">
        <f t="shared" si="96"/>
        <v>-11.774683923206545</v>
      </c>
      <c r="R266" s="370">
        <f t="shared" si="97"/>
        <v>-103.19974711628417</v>
      </c>
      <c r="S266" s="372">
        <f t="shared" si="98"/>
        <v>76.800252883715828</v>
      </c>
      <c r="U266" s="345">
        <f t="shared" si="104"/>
        <v>16692.5</v>
      </c>
      <c r="V266" s="345">
        <f t="shared" si="105"/>
        <v>278639556.25</v>
      </c>
      <c r="X266" s="371">
        <f t="shared" si="99"/>
        <v>15.105000610329212</v>
      </c>
      <c r="Y266" s="372">
        <f t="shared" si="100"/>
        <v>-27.498173871808326</v>
      </c>
      <c r="AA266" s="371">
        <f t="shared" si="101"/>
        <v>19.140915379743866</v>
      </c>
      <c r="AB266" s="372">
        <f t="shared" si="102"/>
        <v>-75.701573244475838</v>
      </c>
      <c r="AD266">
        <f t="shared" si="106"/>
        <v>0</v>
      </c>
      <c r="AE266">
        <f t="shared" si="109"/>
        <v>0</v>
      </c>
    </row>
    <row r="267" spans="1:31" x14ac:dyDescent="0.2">
      <c r="A267" s="373">
        <v>16789</v>
      </c>
      <c r="B267" s="390">
        <f t="shared" si="103"/>
        <v>16.789000000000001</v>
      </c>
      <c r="C267" s="363">
        <f t="shared" si="84"/>
        <v>22.082442124780876</v>
      </c>
      <c r="D267" s="364">
        <f t="shared" si="85"/>
        <v>1.5254959883468155</v>
      </c>
      <c r="E267" s="364">
        <f t="shared" si="86"/>
        <v>1.1800969954342797</v>
      </c>
      <c r="F267" s="365">
        <f t="shared" si="87"/>
        <v>0.55974982833671127</v>
      </c>
      <c r="G267" s="364">
        <f t="shared" si="88"/>
        <v>1.013832498550653</v>
      </c>
      <c r="H267" s="365">
        <f t="shared" si="89"/>
        <v>-0.16537780927335247</v>
      </c>
      <c r="I267" s="363">
        <f t="shared" si="90"/>
        <v>56977.605599146627</v>
      </c>
      <c r="J267" s="366">
        <f t="shared" si="91"/>
        <v>1.5707787760398317</v>
      </c>
      <c r="K267" s="374">
        <f t="shared" si="107"/>
        <v>13.906670021293497</v>
      </c>
      <c r="L267" s="375">
        <f t="shared" si="108"/>
        <v>1.4988262720013699</v>
      </c>
      <c r="M267" s="363">
        <f t="shared" si="92"/>
        <v>1.0902118629933644</v>
      </c>
      <c r="N267" s="366">
        <f t="shared" si="93"/>
        <v>0.40966851241012492</v>
      </c>
      <c r="O267" s="367">
        <f t="shared" si="94"/>
        <v>1.0099009709057032</v>
      </c>
      <c r="P267" s="368">
        <f t="shared" si="95"/>
        <v>0.18980506039542364</v>
      </c>
      <c r="Q267" s="369">
        <f t="shared" si="96"/>
        <v>-11.818382358168025</v>
      </c>
      <c r="R267" s="370">
        <f t="shared" si="97"/>
        <v>-103.27851012222862</v>
      </c>
      <c r="S267" s="372">
        <f t="shared" si="98"/>
        <v>76.721489877771376</v>
      </c>
      <c r="U267" s="345">
        <f t="shared" si="104"/>
        <v>16789</v>
      </c>
      <c r="V267" s="345">
        <f t="shared" si="105"/>
        <v>281870521</v>
      </c>
      <c r="X267" s="371">
        <f t="shared" si="99"/>
        <v>15.096835365776165</v>
      </c>
      <c r="Y267" s="372">
        <f t="shared" si="100"/>
        <v>-27.594851598836538</v>
      </c>
      <c r="AA267" s="371">
        <f t="shared" si="101"/>
        <v>19.105382189335433</v>
      </c>
      <c r="AB267" s="372">
        <f t="shared" si="102"/>
        <v>-75.683658523392083</v>
      </c>
      <c r="AD267">
        <f t="shared" si="106"/>
        <v>0</v>
      </c>
      <c r="AE267">
        <f t="shared" si="109"/>
        <v>0</v>
      </c>
    </row>
    <row r="268" spans="1:31" x14ac:dyDescent="0.2">
      <c r="A268" s="373">
        <v>16885.5</v>
      </c>
      <c r="B268" s="390">
        <f t="shared" si="103"/>
        <v>16.8855</v>
      </c>
      <c r="C268" s="363">
        <f t="shared" si="84"/>
        <v>22.209108283519264</v>
      </c>
      <c r="D268" s="364">
        <f t="shared" si="85"/>
        <v>1.5257545270717832</v>
      </c>
      <c r="E268" s="364">
        <f t="shared" si="86"/>
        <v>1.1820132840760635</v>
      </c>
      <c r="F268" s="365">
        <f t="shared" si="87"/>
        <v>0.56233181530927745</v>
      </c>
      <c r="G268" s="364">
        <f t="shared" si="88"/>
        <v>1.0139908684593706</v>
      </c>
      <c r="H268" s="365">
        <f t="shared" si="89"/>
        <v>-0.16631098682740147</v>
      </c>
      <c r="I268" s="363">
        <f t="shared" si="90"/>
        <v>57305.102111066866</v>
      </c>
      <c r="J268" s="366">
        <f t="shared" si="91"/>
        <v>1.5707788763417396</v>
      </c>
      <c r="K268" s="374">
        <f t="shared" si="107"/>
        <v>13.986190794850515</v>
      </c>
      <c r="L268" s="375">
        <f t="shared" si="108"/>
        <v>1.4992361714371349</v>
      </c>
      <c r="M268" s="363">
        <f t="shared" si="92"/>
        <v>1.0912083999934927</v>
      </c>
      <c r="N268" s="366">
        <f t="shared" si="93"/>
        <v>0.41176653992200396</v>
      </c>
      <c r="O268" s="367">
        <f t="shared" si="94"/>
        <v>1.0100149414799982</v>
      </c>
      <c r="P268" s="368">
        <f t="shared" si="95"/>
        <v>0.19088762613970314</v>
      </c>
      <c r="Q268" s="369">
        <f t="shared" si="96"/>
        <v>-11.861785071122789</v>
      </c>
      <c r="R268" s="370">
        <f t="shared" si="97"/>
        <v>-103.35760828830544</v>
      </c>
      <c r="S268" s="372">
        <f t="shared" si="98"/>
        <v>76.642391711694557</v>
      </c>
      <c r="U268" s="345">
        <f t="shared" si="104"/>
        <v>16885.5</v>
      </c>
      <c r="V268" s="345">
        <f t="shared" si="105"/>
        <v>285120110.25</v>
      </c>
      <c r="X268" s="371">
        <f t="shared" si="99"/>
        <v>15.08864347720105</v>
      </c>
      <c r="Y268" s="372">
        <f t="shared" si="100"/>
        <v>-27.691579959861926</v>
      </c>
      <c r="AA268" s="371">
        <f t="shared" si="101"/>
        <v>19.070171364955783</v>
      </c>
      <c r="AB268" s="372">
        <f t="shared" si="102"/>
        <v>-75.666028328443488</v>
      </c>
      <c r="AD268">
        <f t="shared" si="106"/>
        <v>0</v>
      </c>
      <c r="AE268">
        <f t="shared" si="109"/>
        <v>0</v>
      </c>
    </row>
    <row r="269" spans="1:31" x14ac:dyDescent="0.2">
      <c r="A269" s="373">
        <v>16982</v>
      </c>
      <c r="B269" s="390">
        <f t="shared" si="103"/>
        <v>16.981999999999999</v>
      </c>
      <c r="C269" s="363">
        <f t="shared" ref="C269:C332" si="110">SQRT(1+(A269/pole1)^2)</f>
        <v>22.335775909927584</v>
      </c>
      <c r="D269" s="364">
        <f t="shared" ref="D269:D332" si="111">ATAN(A269/pole1)</f>
        <v>1.5260101334340916</v>
      </c>
      <c r="E269" s="364">
        <f t="shared" ref="E269:E332" si="112">SQRT(1+(A269/Zero1)^2)</f>
        <v>1.1839374272551184</v>
      </c>
      <c r="F269" s="365">
        <f t="shared" ref="F269:F332" si="113">ATAN(A269/Zero1)</f>
        <v>0.56490542686720568</v>
      </c>
      <c r="G269" s="364">
        <f t="shared" ref="G269:G332" si="114">IF(VIN_nom&gt;Vout, 1, SQRT(1+(A269/z_RHP)^2))</f>
        <v>1.01415012109574</v>
      </c>
      <c r="H269" s="365">
        <f t="shared" ref="H269:H332" si="115">IF(VIN_nom&gt;Vout, 0, -ATAN(A269/z_RHP))</f>
        <v>-0.16724387211868821</v>
      </c>
      <c r="I269" s="363">
        <f t="shared" ref="I269:I332" si="116">SQRT(1+(A269/Pole2)^2)</f>
        <v>57632.598622987673</v>
      </c>
      <c r="J269" s="366">
        <f t="shared" ref="J269:J332" si="117">ATAN(A269/Pole2)</f>
        <v>1.5707789755037187</v>
      </c>
      <c r="K269" s="374">
        <f t="shared" si="107"/>
        <v>14.065713891762085</v>
      </c>
      <c r="L269" s="375">
        <f t="shared" si="108"/>
        <v>1.49964143605686</v>
      </c>
      <c r="M269" s="363">
        <f t="shared" ref="M269:M332" si="118">SQRT(1+(A269/pole4)^2)</f>
        <v>1.0922097314096195</v>
      </c>
      <c r="N269" s="366">
        <f t="shared" ref="N269:N332" si="119">ATAN(A269/pole4)</f>
        <v>0.41386072971946331</v>
      </c>
      <c r="O269" s="367">
        <f t="shared" ref="O269:O332" si="120">SQRT((1-(V269/pterm2))^2+(A269/pterm1)^2)</f>
        <v>1.0101295612901366</v>
      </c>
      <c r="P269" s="368">
        <f t="shared" ref="P269:P332" si="121">IF((ATAN((A269/pterm1)/(1-A269^2/pterm2))&gt;0),ATAN((A269/pterm1)/(1-A269^2/pterm2)),PI()+ATAN((A269/pterm1)/(1-A269^2/pterm2)))</f>
        <v>0.1919700491132254</v>
      </c>
      <c r="Q269" s="369">
        <f t="shared" ref="Q269:Q332" si="122">20*LOG10(((E269*K269*G269)/(C269*I269*O269*M269))*Adc)</f>
        <v>-11.904895690715009</v>
      </c>
      <c r="R269" s="370">
        <f t="shared" ref="R269:R332" si="123">((F269+L269+H269)-(D269+J269+P269+N269))*radconv</f>
        <v>-103.4370389979496</v>
      </c>
      <c r="S269" s="372">
        <f t="shared" ref="S269:S332" si="124">IF(R269&gt;0,R269,R269+180)</f>
        <v>76.5629610020504</v>
      </c>
      <c r="U269" s="345">
        <f t="shared" si="104"/>
        <v>16982</v>
      </c>
      <c r="V269" s="345">
        <f t="shared" si="105"/>
        <v>288388324</v>
      </c>
      <c r="X269" s="371">
        <f t="shared" ref="X269:X332" si="125">20*LOG10((K269/(I269*M269))*AEA)</f>
        <v>15.080425040820408</v>
      </c>
      <c r="Y269" s="372">
        <f t="shared" ref="Y269:Y332" si="126">(L269-(J269+N269))*radconv</f>
        <v>-27.78835392613297</v>
      </c>
      <c r="AA269" s="371">
        <f t="shared" ref="AA269:AA332" si="127">20*LOG10((E269*G269/(C269*O269))*Acs*Am)</f>
        <v>19.035279181744208</v>
      </c>
      <c r="AB269" s="372">
        <f t="shared" ref="AB269:AB332" si="128">(F269+H269-(D269+P269))*radconv</f>
        <v>-75.648685071816644</v>
      </c>
      <c r="AD269">
        <f t="shared" si="106"/>
        <v>0</v>
      </c>
      <c r="AE269">
        <f t="shared" si="109"/>
        <v>0</v>
      </c>
    </row>
    <row r="270" spans="1:31" x14ac:dyDescent="0.2">
      <c r="A270" s="373">
        <v>17081</v>
      </c>
      <c r="B270" s="390">
        <f t="shared" ref="B270:B333" si="129">A270/1000</f>
        <v>17.081</v>
      </c>
      <c r="C270" s="363">
        <f t="shared" si="110"/>
        <v>22.465726580236616</v>
      </c>
      <c r="D270" s="364">
        <f t="shared" si="111"/>
        <v>1.5262693663790767</v>
      </c>
      <c r="E270" s="364">
        <f t="shared" si="112"/>
        <v>1.1859195410298784</v>
      </c>
      <c r="F270" s="365">
        <f t="shared" si="113"/>
        <v>0.567537015692541</v>
      </c>
      <c r="G270" s="364">
        <f t="shared" si="114"/>
        <v>1.0143144163390203</v>
      </c>
      <c r="H270" s="365">
        <f t="shared" si="115"/>
        <v>-0.16820062014726819</v>
      </c>
      <c r="I270" s="363">
        <f t="shared" si="116"/>
        <v>57968.579500502863</v>
      </c>
      <c r="J270" s="366">
        <f t="shared" si="117"/>
        <v>1.5707790760703029</v>
      </c>
      <c r="K270" s="374">
        <f t="shared" si="107"/>
        <v>14.147299545884943</v>
      </c>
      <c r="L270" s="375">
        <f t="shared" si="108"/>
        <v>1.5000524650637286</v>
      </c>
      <c r="M270" s="363">
        <f t="shared" si="118"/>
        <v>1.0932419725815083</v>
      </c>
      <c r="N270" s="366">
        <f t="shared" si="119"/>
        <v>0.41600517682991583</v>
      </c>
      <c r="O270" s="367">
        <f t="shared" si="120"/>
        <v>1.0102478251386122</v>
      </c>
      <c r="P270" s="368">
        <f t="shared" si="121"/>
        <v>0.19308036495867667</v>
      </c>
      <c r="Q270" s="369">
        <f t="shared" si="122"/>
        <v>-11.948823363747573</v>
      </c>
      <c r="R270" s="370">
        <f t="shared" si="123"/>
        <v>-103.51887035806972</v>
      </c>
      <c r="S270" s="372">
        <f t="shared" si="124"/>
        <v>76.481129641930281</v>
      </c>
      <c r="U270" s="345">
        <f t="shared" ref="U270:U333" si="130">IF(Q270&lt;0,A270,1000000000)</f>
        <v>17081</v>
      </c>
      <c r="V270" s="345">
        <f t="shared" ref="V270:V333" si="131">A270^2</f>
        <v>291760561</v>
      </c>
      <c r="X270" s="371">
        <f t="shared" si="125"/>
        <v>15.071966206912006</v>
      </c>
      <c r="Y270" s="372">
        <f t="shared" si="126"/>
        <v>-27.887677229754214</v>
      </c>
      <c r="AA270" s="371">
        <f t="shared" si="127"/>
        <v>18.999810342620044</v>
      </c>
      <c r="AB270" s="372">
        <f t="shared" si="128"/>
        <v>-75.631193128315516</v>
      </c>
      <c r="AD270">
        <f t="shared" ref="AD270:AD333" si="132">SUM((Q271&lt;0)*(Q270&gt;0))*A270</f>
        <v>0</v>
      </c>
      <c r="AE270">
        <f t="shared" si="109"/>
        <v>0</v>
      </c>
    </row>
    <row r="271" spans="1:31" x14ac:dyDescent="0.2">
      <c r="A271" s="373">
        <v>17180</v>
      </c>
      <c r="B271" s="390">
        <f t="shared" si="129"/>
        <v>17.18</v>
      </c>
      <c r="C271" s="363">
        <f t="shared" si="110"/>
        <v>22.595678742915677</v>
      </c>
      <c r="D271" s="364">
        <f t="shared" si="111"/>
        <v>1.5265256175424982</v>
      </c>
      <c r="E271" s="364">
        <f t="shared" si="112"/>
        <v>1.1879098401650752</v>
      </c>
      <c r="F271" s="365">
        <f t="shared" si="113"/>
        <v>0.57015980437069269</v>
      </c>
      <c r="G271" s="364">
        <f t="shared" si="114"/>
        <v>1.0144796397508047</v>
      </c>
      <c r="H271" s="365">
        <f t="shared" si="115"/>
        <v>-0.1691570574092173</v>
      </c>
      <c r="I271" s="363">
        <f t="shared" si="116"/>
        <v>58304.560378018628</v>
      </c>
      <c r="J271" s="366">
        <f t="shared" si="117"/>
        <v>1.5707791754778544</v>
      </c>
      <c r="K271" s="374">
        <f t="shared" si="107"/>
        <v>14.228887562712005</v>
      </c>
      <c r="L271" s="375">
        <f t="shared" si="108"/>
        <v>1.5004587804824594</v>
      </c>
      <c r="M271" s="363">
        <f t="shared" si="118"/>
        <v>1.0942792316960106</v>
      </c>
      <c r="N271" s="366">
        <f t="shared" si="119"/>
        <v>0.41814556835696309</v>
      </c>
      <c r="O271" s="367">
        <f t="shared" si="120"/>
        <v>1.0103667721553056</v>
      </c>
      <c r="P271" s="368">
        <f t="shared" si="121"/>
        <v>0.19419052889875182</v>
      </c>
      <c r="Q271" s="369">
        <f t="shared" si="122"/>
        <v>-11.992451157828423</v>
      </c>
      <c r="R271" s="370">
        <f t="shared" si="123"/>
        <v>-103.60104621131703</v>
      </c>
      <c r="S271" s="372">
        <f t="shared" si="124"/>
        <v>76.398953788682974</v>
      </c>
      <c r="U271" s="345">
        <f t="shared" si="130"/>
        <v>17180</v>
      </c>
      <c r="V271" s="345">
        <f t="shared" si="131"/>
        <v>295152400</v>
      </c>
      <c r="X271" s="371">
        <f t="shared" si="125"/>
        <v>15.063479645601021</v>
      </c>
      <c r="Y271" s="372">
        <f t="shared" si="126"/>
        <v>-27.987038167861908</v>
      </c>
      <c r="AA271" s="371">
        <f t="shared" si="127"/>
        <v>18.964669109850178</v>
      </c>
      <c r="AB271" s="372">
        <f t="shared" si="128"/>
        <v>-75.614008043455087</v>
      </c>
      <c r="AD271">
        <f t="shared" si="132"/>
        <v>0</v>
      </c>
      <c r="AE271">
        <f t="shared" si="109"/>
        <v>0</v>
      </c>
    </row>
    <row r="272" spans="1:31" x14ac:dyDescent="0.2">
      <c r="A272" s="373">
        <v>17279</v>
      </c>
      <c r="B272" s="390">
        <f t="shared" si="129"/>
        <v>17.279</v>
      </c>
      <c r="C272" s="363">
        <f t="shared" si="110"/>
        <v>22.725632372363282</v>
      </c>
      <c r="D272" s="364">
        <f t="shared" si="111"/>
        <v>1.5267789380432235</v>
      </c>
      <c r="E272" s="364">
        <f t="shared" si="112"/>
        <v>1.1899082835869998</v>
      </c>
      <c r="F272" s="365">
        <f t="shared" si="113"/>
        <v>0.57277380106644438</v>
      </c>
      <c r="G272" s="364">
        <f t="shared" si="114"/>
        <v>1.0146457908776683</v>
      </c>
      <c r="H272" s="365">
        <f t="shared" si="115"/>
        <v>-0.17011318230693459</v>
      </c>
      <c r="I272" s="363">
        <f t="shared" si="116"/>
        <v>58640.541255534976</v>
      </c>
      <c r="J272" s="366">
        <f t="shared" si="117"/>
        <v>1.5707792737462951</v>
      </c>
      <c r="K272" s="374">
        <f t="shared" si="107"/>
        <v>14.310477901831973</v>
      </c>
      <c r="L272" s="375">
        <f t="shared" si="108"/>
        <v>1.5008604628004605</v>
      </c>
      <c r="M272" s="363">
        <f t="shared" si="118"/>
        <v>1.0953214944972933</v>
      </c>
      <c r="N272" s="366">
        <f t="shared" si="119"/>
        <v>0.42028189623887152</v>
      </c>
      <c r="O272" s="367">
        <f t="shared" si="120"/>
        <v>1.0104864022674798</v>
      </c>
      <c r="P272" s="368">
        <f t="shared" si="121"/>
        <v>0.19530054010353423</v>
      </c>
      <c r="Q272" s="369">
        <f t="shared" si="122"/>
        <v>-12.035782798527864</v>
      </c>
      <c r="R272" s="370">
        <f t="shared" si="123"/>
        <v>-103.68356380734203</v>
      </c>
      <c r="S272" s="372">
        <f t="shared" si="124"/>
        <v>76.316436192657974</v>
      </c>
      <c r="U272" s="345">
        <f t="shared" si="130"/>
        <v>17279</v>
      </c>
      <c r="V272" s="345">
        <f t="shared" si="131"/>
        <v>298563841</v>
      </c>
      <c r="X272" s="371">
        <f t="shared" si="125"/>
        <v>15.054965469280951</v>
      </c>
      <c r="Y272" s="372">
        <f t="shared" si="126"/>
        <v>-28.086431668105377</v>
      </c>
      <c r="AA272" s="371">
        <f t="shared" si="127"/>
        <v>18.929851645470809</v>
      </c>
      <c r="AB272" s="372">
        <f t="shared" si="128"/>
        <v>-75.597132139236635</v>
      </c>
      <c r="AD272">
        <f t="shared" si="132"/>
        <v>0</v>
      </c>
      <c r="AE272">
        <f t="shared" si="109"/>
        <v>0</v>
      </c>
    </row>
    <row r="273" spans="1:31" x14ac:dyDescent="0.2">
      <c r="A273" s="373">
        <v>17378</v>
      </c>
      <c r="B273" s="390">
        <f t="shared" si="129"/>
        <v>17.378</v>
      </c>
      <c r="C273" s="363">
        <f t="shared" si="110"/>
        <v>22.855587443559916</v>
      </c>
      <c r="D273" s="364">
        <f t="shared" si="111"/>
        <v>1.5270293778390123</v>
      </c>
      <c r="E273" s="364">
        <f t="shared" si="112"/>
        <v>1.1919148303298999</v>
      </c>
      <c r="F273" s="365">
        <f t="shared" si="113"/>
        <v>0.57537901437053418</v>
      </c>
      <c r="G273" s="364">
        <f t="shared" si="114"/>
        <v>1.0148128692639382</v>
      </c>
      <c r="H273" s="365">
        <f t="shared" si="115"/>
        <v>-0.17106899324614697</v>
      </c>
      <c r="I273" s="363">
        <f t="shared" si="116"/>
        <v>58976.522133051876</v>
      </c>
      <c r="J273" s="366">
        <f t="shared" si="117"/>
        <v>1.570779370895093</v>
      </c>
      <c r="K273" s="374">
        <f t="shared" si="107"/>
        <v>14.392070523748785</v>
      </c>
      <c r="L273" s="375">
        <f t="shared" si="108"/>
        <v>1.5012575906859769</v>
      </c>
      <c r="M273" s="363">
        <f t="shared" si="118"/>
        <v>1.0963687467150942</v>
      </c>
      <c r="N273" s="366">
        <f t="shared" si="119"/>
        <v>0.42241415259285664</v>
      </c>
      <c r="O273" s="367">
        <f t="shared" si="120"/>
        <v>1.0106067154020206</v>
      </c>
      <c r="P273" s="368">
        <f t="shared" si="121"/>
        <v>0.19641039774395591</v>
      </c>
      <c r="Q273" s="369">
        <f t="shared" si="122"/>
        <v>-12.078821949261593</v>
      </c>
      <c r="R273" s="370">
        <f t="shared" si="123"/>
        <v>-103.76642041956001</v>
      </c>
      <c r="S273" s="372">
        <f t="shared" si="124"/>
        <v>76.233579580439994</v>
      </c>
      <c r="U273" s="345">
        <f t="shared" si="130"/>
        <v>17378</v>
      </c>
      <c r="V273" s="345">
        <f t="shared" si="131"/>
        <v>301994884</v>
      </c>
      <c r="X273" s="371">
        <f t="shared" si="125"/>
        <v>15.046423792990705</v>
      </c>
      <c r="Y273" s="372">
        <f t="shared" si="126"/>
        <v>-28.185852772591346</v>
      </c>
      <c r="AA273" s="371">
        <f t="shared" si="127"/>
        <v>18.895354171027325</v>
      </c>
      <c r="AB273" s="372">
        <f t="shared" si="128"/>
        <v>-75.580567646968674</v>
      </c>
      <c r="AD273">
        <f t="shared" si="132"/>
        <v>0</v>
      </c>
      <c r="AE273">
        <f t="shared" si="109"/>
        <v>0</v>
      </c>
    </row>
    <row r="274" spans="1:31" x14ac:dyDescent="0.2">
      <c r="A274" s="373">
        <v>17479.25</v>
      </c>
      <c r="B274" s="390">
        <f t="shared" si="129"/>
        <v>17.47925</v>
      </c>
      <c r="C274" s="363">
        <f t="shared" si="110"/>
        <v>22.988497504891551</v>
      </c>
      <c r="D274" s="364">
        <f t="shared" si="111"/>
        <v>1.5272825806763302</v>
      </c>
      <c r="E274" s="364">
        <f t="shared" si="112"/>
        <v>1.1939753194924543</v>
      </c>
      <c r="F274" s="365">
        <f t="shared" si="113"/>
        <v>0.57803436136654718</v>
      </c>
      <c r="G274" s="364">
        <f t="shared" si="114"/>
        <v>1.0149847035190149</v>
      </c>
      <c r="H274" s="365">
        <f t="shared" si="115"/>
        <v>-0.17204620076050495</v>
      </c>
      <c r="I274" s="363">
        <f t="shared" si="116"/>
        <v>59320.138939603814</v>
      </c>
      <c r="J274" s="366">
        <f t="shared" si="117"/>
        <v>1.5707794691135437</v>
      </c>
      <c r="K274" s="374">
        <f t="shared" si="107"/>
        <v>14.475519844415453</v>
      </c>
      <c r="L274" s="375">
        <f t="shared" si="108"/>
        <v>1.5016591134656943</v>
      </c>
      <c r="M274" s="363">
        <f t="shared" si="118"/>
        <v>1.0974449460318922</v>
      </c>
      <c r="N274" s="366">
        <f t="shared" si="119"/>
        <v>0.4245906499083309</v>
      </c>
      <c r="O274" s="367">
        <f t="shared" si="120"/>
        <v>1.0107304693330101</v>
      </c>
      <c r="P274" s="368">
        <f t="shared" si="121"/>
        <v>0.19754531971934144</v>
      </c>
      <c r="Q274" s="369">
        <f t="shared" si="122"/>
        <v>-12.122540480000266</v>
      </c>
      <c r="R274" s="370">
        <f t="shared" si="123"/>
        <v>-103.85150798027421</v>
      </c>
      <c r="S274" s="372">
        <f t="shared" si="124"/>
        <v>76.148492019725794</v>
      </c>
      <c r="U274" s="345">
        <f t="shared" si="130"/>
        <v>17479.25</v>
      </c>
      <c r="V274" s="345">
        <f t="shared" si="131"/>
        <v>305524180.5625</v>
      </c>
      <c r="X274" s="371">
        <f t="shared" si="125"/>
        <v>15.03765966567418</v>
      </c>
      <c r="Y274" s="372">
        <f t="shared" si="126"/>
        <v>-28.28755694985232</v>
      </c>
      <c r="AA274" s="371">
        <f t="shared" si="127"/>
        <v>18.860399767605177</v>
      </c>
      <c r="AB274" s="372">
        <f t="shared" si="128"/>
        <v>-75.563951030421862</v>
      </c>
      <c r="AD274">
        <f t="shared" si="132"/>
        <v>0</v>
      </c>
      <c r="AE274">
        <f t="shared" si="109"/>
        <v>0</v>
      </c>
    </row>
    <row r="275" spans="1:31" x14ac:dyDescent="0.2">
      <c r="A275" s="373">
        <v>17580.5</v>
      </c>
      <c r="B275" s="390">
        <f t="shared" si="129"/>
        <v>17.580500000000001</v>
      </c>
      <c r="C275" s="363">
        <f t="shared" si="110"/>
        <v>23.121409023110047</v>
      </c>
      <c r="D275" s="364">
        <f t="shared" si="111"/>
        <v>1.5275328724981683</v>
      </c>
      <c r="E275" s="364">
        <f t="shared" si="112"/>
        <v>1.196044198176218</v>
      </c>
      <c r="F275" s="365">
        <f t="shared" si="113"/>
        <v>0.58068054069955877</v>
      </c>
      <c r="G275" s="364">
        <f t="shared" si="114"/>
        <v>1.0151575066893637</v>
      </c>
      <c r="H275" s="365">
        <f t="shared" si="115"/>
        <v>-0.17302307652103474</v>
      </c>
      <c r="I275" s="363">
        <f t="shared" si="116"/>
        <v>59663.755746156326</v>
      </c>
      <c r="J275" s="366">
        <f t="shared" si="117"/>
        <v>1.5707795662006709</v>
      </c>
      <c r="K275" s="374">
        <f t="shared" si="107"/>
        <v>14.558971472079811</v>
      </c>
      <c r="L275" s="375">
        <f t="shared" si="108"/>
        <v>1.502056033273534</v>
      </c>
      <c r="M275" s="363">
        <f t="shared" si="118"/>
        <v>1.0985263338991338</v>
      </c>
      <c r="N275" s="366">
        <f t="shared" si="119"/>
        <v>0.4267628724149431</v>
      </c>
      <c r="O275" s="367">
        <f t="shared" si="120"/>
        <v>1.0108549375297451</v>
      </c>
      <c r="P275" s="368">
        <f t="shared" si="121"/>
        <v>0.19868007931951087</v>
      </c>
      <c r="Q275" s="369">
        <f t="shared" si="122"/>
        <v>-12.165960632237729</v>
      </c>
      <c r="R275" s="370">
        <f t="shared" si="123"/>
        <v>-103.93694444651258</v>
      </c>
      <c r="S275" s="372">
        <f t="shared" si="124"/>
        <v>76.063055553487416</v>
      </c>
      <c r="U275" s="345">
        <f t="shared" si="130"/>
        <v>17580.5</v>
      </c>
      <c r="V275" s="345">
        <f t="shared" si="131"/>
        <v>309073980.25</v>
      </c>
      <c r="X275" s="371">
        <f t="shared" si="125"/>
        <v>15.028867025587008</v>
      </c>
      <c r="Y275" s="372">
        <f t="shared" si="126"/>
        <v>-28.38927986464903</v>
      </c>
      <c r="AA275" s="371">
        <f t="shared" si="127"/>
        <v>18.825772255454886</v>
      </c>
      <c r="AB275" s="372">
        <f t="shared" si="128"/>
        <v>-75.547664581863572</v>
      </c>
      <c r="AD275">
        <f t="shared" si="132"/>
        <v>0</v>
      </c>
      <c r="AE275">
        <f t="shared" si="109"/>
        <v>0</v>
      </c>
    </row>
    <row r="276" spans="1:31" x14ac:dyDescent="0.2">
      <c r="A276" s="373">
        <v>17681.75</v>
      </c>
      <c r="B276" s="390">
        <f t="shared" si="129"/>
        <v>17.681750000000001</v>
      </c>
      <c r="C276" s="363">
        <f t="shared" si="110"/>
        <v>23.254321973234621</v>
      </c>
      <c r="D276" s="364">
        <f t="shared" si="111"/>
        <v>1.5277803031877011</v>
      </c>
      <c r="E276" s="364">
        <f t="shared" si="112"/>
        <v>1.1981214229209014</v>
      </c>
      <c r="F276" s="365">
        <f t="shared" si="113"/>
        <v>0.58331756289835146</v>
      </c>
      <c r="G276" s="364">
        <f t="shared" si="114"/>
        <v>1.0153312782802741</v>
      </c>
      <c r="H276" s="365">
        <f t="shared" si="115"/>
        <v>-0.17399961883316367</v>
      </c>
      <c r="I276" s="363">
        <f t="shared" si="116"/>
        <v>60007.372552709392</v>
      </c>
      <c r="J276" s="366">
        <f t="shared" si="117"/>
        <v>1.5707796621759089</v>
      </c>
      <c r="K276" s="374">
        <f t="shared" si="107"/>
        <v>14.642425367297017</v>
      </c>
      <c r="L276" s="375">
        <f t="shared" si="108"/>
        <v>1.5024484286866899</v>
      </c>
      <c r="M276" s="363">
        <f t="shared" si="118"/>
        <v>1.099612895009153</v>
      </c>
      <c r="N276" s="366">
        <f t="shared" si="119"/>
        <v>0.42893081225538421</v>
      </c>
      <c r="O276" s="367">
        <f t="shared" si="120"/>
        <v>1.0109801199127926</v>
      </c>
      <c r="P276" s="368">
        <f t="shared" si="121"/>
        <v>0.19981467566035546</v>
      </c>
      <c r="Q276" s="369">
        <f t="shared" si="122"/>
        <v>-12.209086131883055</v>
      </c>
      <c r="R276" s="370">
        <f t="shared" si="123"/>
        <v>-104.02272697414953</v>
      </c>
      <c r="S276" s="372">
        <f t="shared" si="124"/>
        <v>75.977273025850465</v>
      </c>
      <c r="U276" s="345">
        <f t="shared" si="130"/>
        <v>17681.75</v>
      </c>
      <c r="V276" s="345">
        <f t="shared" si="131"/>
        <v>312644283.0625</v>
      </c>
      <c r="X276" s="371">
        <f t="shared" si="125"/>
        <v>15.020046003692402</v>
      </c>
      <c r="Y276" s="372">
        <f t="shared" si="126"/>
        <v>-28.491016565762777</v>
      </c>
      <c r="AA276" s="371">
        <f t="shared" si="127"/>
        <v>18.79146777770417</v>
      </c>
      <c r="AB276" s="372">
        <f t="shared" si="128"/>
        <v>-75.531710408386758</v>
      </c>
      <c r="AD276">
        <f t="shared" si="132"/>
        <v>0</v>
      </c>
      <c r="AE276">
        <f t="shared" si="109"/>
        <v>0</v>
      </c>
    </row>
    <row r="277" spans="1:31" x14ac:dyDescent="0.2">
      <c r="A277" s="373">
        <v>17783</v>
      </c>
      <c r="B277" s="390">
        <f t="shared" si="129"/>
        <v>17.783000000000001</v>
      </c>
      <c r="C277" s="363">
        <f t="shared" si="110"/>
        <v>23.387236330852101</v>
      </c>
      <c r="D277" s="364">
        <f t="shared" si="111"/>
        <v>1.5280249214955384</v>
      </c>
      <c r="E277" s="364">
        <f t="shared" si="112"/>
        <v>1.2002069503923685</v>
      </c>
      <c r="F277" s="365">
        <f t="shared" si="113"/>
        <v>0.58594543892838447</v>
      </c>
      <c r="G277" s="364">
        <f t="shared" si="114"/>
        <v>1.0155060177946031</v>
      </c>
      <c r="H277" s="365">
        <f t="shared" si="115"/>
        <v>-0.17497582600601946</v>
      </c>
      <c r="I277" s="363">
        <f t="shared" si="116"/>
        <v>60350.989359263011</v>
      </c>
      <c r="J277" s="366">
        <f t="shared" si="117"/>
        <v>1.57077975705825</v>
      </c>
      <c r="K277" s="374">
        <f t="shared" si="107"/>
        <v>14.725881491515333</v>
      </c>
      <c r="L277" s="375">
        <f t="shared" si="108"/>
        <v>1.502836376506717</v>
      </c>
      <c r="M277" s="363">
        <f t="shared" si="118"/>
        <v>1.1007046140416432</v>
      </c>
      <c r="N277" s="366">
        <f t="shared" si="119"/>
        <v>0.43109446176432248</v>
      </c>
      <c r="O277" s="367">
        <f t="shared" si="120"/>
        <v>1.0111060164023113</v>
      </c>
      <c r="P277" s="368">
        <f t="shared" si="121"/>
        <v>0.20094910785871278</v>
      </c>
      <c r="Q277" s="369">
        <f t="shared" si="122"/>
        <v>-12.251920642603158</v>
      </c>
      <c r="R277" s="370">
        <f t="shared" si="123"/>
        <v>-104.10885274212539</v>
      </c>
      <c r="S277" s="372">
        <f t="shared" si="124"/>
        <v>75.891147257874607</v>
      </c>
      <c r="U277" s="345">
        <f t="shared" si="130"/>
        <v>17783</v>
      </c>
      <c r="V277" s="345">
        <f t="shared" si="131"/>
        <v>316235089</v>
      </c>
      <c r="X277" s="371">
        <f t="shared" si="125"/>
        <v>15.011196733398776</v>
      </c>
      <c r="Y277" s="372">
        <f t="shared" si="126"/>
        <v>-28.592762214685589</v>
      </c>
      <c r="AA277" s="371">
        <f t="shared" si="127"/>
        <v>18.757482537277689</v>
      </c>
      <c r="AB277" s="372">
        <f t="shared" si="128"/>
        <v>-75.516090527439786</v>
      </c>
      <c r="AD277">
        <f t="shared" si="132"/>
        <v>0</v>
      </c>
      <c r="AE277">
        <f t="shared" si="109"/>
        <v>0</v>
      </c>
    </row>
    <row r="278" spans="1:31" x14ac:dyDescent="0.2">
      <c r="A278" s="373">
        <v>17886.5</v>
      </c>
      <c r="B278" s="390">
        <f t="shared" si="129"/>
        <v>17.886500000000002</v>
      </c>
      <c r="C278" s="363">
        <f t="shared" si="110"/>
        <v>23.523105770775519</v>
      </c>
      <c r="D278" s="364">
        <f t="shared" si="111"/>
        <v>1.5282721185522827</v>
      </c>
      <c r="E278" s="364">
        <f t="shared" si="112"/>
        <v>1.2023473594661693</v>
      </c>
      <c r="F278" s="365">
        <f t="shared" si="113"/>
        <v>0.58862227077130935</v>
      </c>
      <c r="G278" s="364">
        <f t="shared" si="114"/>
        <v>1.0156856403155923</v>
      </c>
      <c r="H278" s="365">
        <f t="shared" si="115"/>
        <v>-0.17597337852156528</v>
      </c>
      <c r="I278" s="363">
        <f t="shared" si="116"/>
        <v>60702.242094851696</v>
      </c>
      <c r="J278" s="366">
        <f t="shared" si="117"/>
        <v>1.5707798529388159</v>
      </c>
      <c r="K278" s="374">
        <f t="shared" si="107"/>
        <v>14.811194460890572</v>
      </c>
      <c r="L278" s="375">
        <f t="shared" si="108"/>
        <v>1.5032284266068132</v>
      </c>
      <c r="M278" s="363">
        <f t="shared" si="118"/>
        <v>1.1018259086593807</v>
      </c>
      <c r="N278" s="366">
        <f t="shared" si="119"/>
        <v>0.43330175019010342</v>
      </c>
      <c r="O278" s="367">
        <f t="shared" si="120"/>
        <v>1.0112354485943775</v>
      </c>
      <c r="P278" s="368">
        <f t="shared" si="121"/>
        <v>0.2021085790884608</v>
      </c>
      <c r="Q278" s="369">
        <f t="shared" si="122"/>
        <v>-12.295410021932982</v>
      </c>
      <c r="R278" s="370">
        <f t="shared" si="123"/>
        <v>-104.1972442685588</v>
      </c>
      <c r="S278" s="372">
        <f t="shared" si="124"/>
        <v>75.802755731441195</v>
      </c>
      <c r="U278" s="345">
        <f t="shared" si="130"/>
        <v>17886.5</v>
      </c>
      <c r="V278" s="345">
        <f t="shared" si="131"/>
        <v>319926882.25</v>
      </c>
      <c r="X278" s="371">
        <f t="shared" si="125"/>
        <v>15.002121757027949</v>
      </c>
      <c r="Y278" s="372">
        <f t="shared" si="126"/>
        <v>-28.696773203228343</v>
      </c>
      <c r="AA278" s="371">
        <f t="shared" si="127"/>
        <v>18.723068134318691</v>
      </c>
      <c r="AB278" s="372">
        <f t="shared" si="128"/>
        <v>-75.500471065330473</v>
      </c>
      <c r="AD278">
        <f t="shared" si="132"/>
        <v>0</v>
      </c>
      <c r="AE278">
        <f t="shared" si="109"/>
        <v>0</v>
      </c>
    </row>
    <row r="279" spans="1:31" x14ac:dyDescent="0.2">
      <c r="A279" s="373">
        <v>17990</v>
      </c>
      <c r="B279" s="390">
        <f t="shared" si="129"/>
        <v>17.989999999999998</v>
      </c>
      <c r="C279" s="363">
        <f t="shared" si="110"/>
        <v>23.65897663160122</v>
      </c>
      <c r="D279" s="364">
        <f t="shared" si="111"/>
        <v>1.528516476373631</v>
      </c>
      <c r="E279" s="364">
        <f t="shared" si="112"/>
        <v>1.2044963532191582</v>
      </c>
      <c r="F279" s="365">
        <f t="shared" si="113"/>
        <v>0.59128956996822701</v>
      </c>
      <c r="G279" s="364">
        <f t="shared" si="114"/>
        <v>1.0158662731985446</v>
      </c>
      <c r="H279" s="365">
        <f t="shared" si="115"/>
        <v>-0.17697057727617513</v>
      </c>
      <c r="I279" s="363">
        <f t="shared" si="116"/>
        <v>61053.494830440941</v>
      </c>
      <c r="J279" s="366">
        <f t="shared" si="117"/>
        <v>1.5707799477161424</v>
      </c>
      <c r="K279" s="374">
        <f t="shared" ref="K279:K342" si="133">SQRT(1+(A279/Zero2)^2)</f>
        <v>14.896509680719225</v>
      </c>
      <c r="L279" s="375">
        <f t="shared" ref="L279:L342" si="134">ATAN(A279/Zero2)</f>
        <v>1.5036159860709515</v>
      </c>
      <c r="M279" s="363">
        <f t="shared" si="118"/>
        <v>1.1029525605773356</v>
      </c>
      <c r="N279" s="366">
        <f t="shared" si="119"/>
        <v>0.43550453989619231</v>
      </c>
      <c r="O279" s="367">
        <f t="shared" si="120"/>
        <v>1.0113656268136062</v>
      </c>
      <c r="P279" s="368">
        <f t="shared" si="121"/>
        <v>0.20326787693627965</v>
      </c>
      <c r="Q279" s="369">
        <f t="shared" si="122"/>
        <v>-12.338602884265789</v>
      </c>
      <c r="R279" s="370">
        <f t="shared" si="123"/>
        <v>-104.28598856973498</v>
      </c>
      <c r="S279" s="372">
        <f t="shared" si="124"/>
        <v>75.714011430265018</v>
      </c>
      <c r="U279" s="345">
        <f t="shared" si="130"/>
        <v>17990</v>
      </c>
      <c r="V279" s="345">
        <f t="shared" si="131"/>
        <v>323640100</v>
      </c>
      <c r="X279" s="371">
        <f t="shared" si="125"/>
        <v>14.99301755210573</v>
      </c>
      <c r="Y279" s="372">
        <f t="shared" si="126"/>
        <v>-28.800783665396253</v>
      </c>
      <c r="AA279" s="371">
        <f t="shared" si="127"/>
        <v>18.688979476908102</v>
      </c>
      <c r="AB279" s="372">
        <f t="shared" si="128"/>
        <v>-75.485204904338744</v>
      </c>
      <c r="AD279">
        <f t="shared" si="132"/>
        <v>0</v>
      </c>
      <c r="AE279">
        <f t="shared" si="109"/>
        <v>0</v>
      </c>
    </row>
    <row r="280" spans="1:31" x14ac:dyDescent="0.2">
      <c r="A280" s="373">
        <v>18093.5</v>
      </c>
      <c r="B280" s="390">
        <f t="shared" si="129"/>
        <v>18.093499999999999</v>
      </c>
      <c r="C280" s="363">
        <f t="shared" si="110"/>
        <v>23.794848888988742</v>
      </c>
      <c r="D280" s="364">
        <f t="shared" si="111"/>
        <v>1.5287580435675647</v>
      </c>
      <c r="E280" s="364">
        <f t="shared" si="112"/>
        <v>1.2066538857846072</v>
      </c>
      <c r="F280" s="365">
        <f t="shared" si="113"/>
        <v>0.5939473495991604</v>
      </c>
      <c r="G280" s="364">
        <f t="shared" si="114"/>
        <v>1.0160479159045941</v>
      </c>
      <c r="H280" s="365">
        <f t="shared" si="115"/>
        <v>-0.1779674204758154</v>
      </c>
      <c r="I280" s="363">
        <f t="shared" si="116"/>
        <v>61404.747566030725</v>
      </c>
      <c r="J280" s="366">
        <f t="shared" si="117"/>
        <v>1.5707800414091622</v>
      </c>
      <c r="K280" s="374">
        <f t="shared" si="133"/>
        <v>14.981827112555129</v>
      </c>
      <c r="L280" s="375">
        <f t="shared" si="134"/>
        <v>1.5039991315005528</v>
      </c>
      <c r="M280" s="363">
        <f t="shared" si="118"/>
        <v>1.1040845533950991</v>
      </c>
      <c r="N280" s="366">
        <f t="shared" si="119"/>
        <v>0.43770282331027593</v>
      </c>
      <c r="O280" s="367">
        <f t="shared" si="120"/>
        <v>1.0114965509733922</v>
      </c>
      <c r="P280" s="368">
        <f t="shared" si="121"/>
        <v>0.20442700046190815</v>
      </c>
      <c r="Q280" s="369">
        <f t="shared" si="122"/>
        <v>-12.381502950002565</v>
      </c>
      <c r="R280" s="370">
        <f t="shared" si="123"/>
        <v>-104.37508270287758</v>
      </c>
      <c r="S280" s="372">
        <f t="shared" si="124"/>
        <v>75.624917297122423</v>
      </c>
      <c r="U280" s="345">
        <f t="shared" si="130"/>
        <v>18093.5</v>
      </c>
      <c r="V280" s="345">
        <f t="shared" si="131"/>
        <v>327374742.25</v>
      </c>
      <c r="X280" s="371">
        <f t="shared" si="125"/>
        <v>14.983884268395027</v>
      </c>
      <c r="Y280" s="372">
        <f t="shared" si="126"/>
        <v>-28.904788779474437</v>
      </c>
      <c r="AA280" s="371">
        <f t="shared" si="127"/>
        <v>18.655212694882032</v>
      </c>
      <c r="AB280" s="372">
        <f t="shared" si="128"/>
        <v>-75.470293923403148</v>
      </c>
      <c r="AD280">
        <f t="shared" si="132"/>
        <v>0</v>
      </c>
      <c r="AE280">
        <f t="shared" si="109"/>
        <v>0</v>
      </c>
    </row>
    <row r="281" spans="1:31" x14ac:dyDescent="0.2">
      <c r="A281" s="373">
        <v>18197</v>
      </c>
      <c r="B281" s="390">
        <f t="shared" si="129"/>
        <v>18.196999999999999</v>
      </c>
      <c r="C281" s="363">
        <f t="shared" si="110"/>
        <v>23.930722519150169</v>
      </c>
      <c r="D281" s="364">
        <f t="shared" si="111"/>
        <v>1.5289968676394419</v>
      </c>
      <c r="E281" s="364">
        <f t="shared" si="112"/>
        <v>1.2088199114416476</v>
      </c>
      <c r="F281" s="365">
        <f t="shared" si="113"/>
        <v>0.5965956231888877</v>
      </c>
      <c r="G281" s="364">
        <f t="shared" si="114"/>
        <v>1.0162305678922483</v>
      </c>
      <c r="H281" s="365">
        <f t="shared" si="115"/>
        <v>-0.17896390633055798</v>
      </c>
      <c r="I281" s="363">
        <f t="shared" si="116"/>
        <v>61756.000301621047</v>
      </c>
      <c r="J281" s="366">
        <f t="shared" si="117"/>
        <v>1.5707801340363767</v>
      </c>
      <c r="K281" s="374">
        <f t="shared" si="133"/>
        <v>15.067146718821936</v>
      </c>
      <c r="L281" s="375">
        <f t="shared" si="134"/>
        <v>1.5043779377672299</v>
      </c>
      <c r="M281" s="363">
        <f t="shared" si="118"/>
        <v>1.1052218707018668</v>
      </c>
      <c r="N281" s="366">
        <f t="shared" si="119"/>
        <v>0.43989659306520085</v>
      </c>
      <c r="O281" s="367">
        <f t="shared" si="120"/>
        <v>1.011628220986688</v>
      </c>
      <c r="P281" s="368">
        <f t="shared" si="121"/>
        <v>0.20558594872613845</v>
      </c>
      <c r="Q281" s="369">
        <f t="shared" si="122"/>
        <v>-12.424113877314182</v>
      </c>
      <c r="R281" s="370">
        <f t="shared" si="123"/>
        <v>-104.46452374768816</v>
      </c>
      <c r="S281" s="372">
        <f t="shared" si="124"/>
        <v>75.535476252311838</v>
      </c>
      <c r="U281" s="345">
        <f t="shared" si="130"/>
        <v>18197</v>
      </c>
      <c r="V281" s="345">
        <f t="shared" si="131"/>
        <v>331130809</v>
      </c>
      <c r="X281" s="371">
        <f t="shared" si="125"/>
        <v>14.97472205789531</v>
      </c>
      <c r="Y281" s="372">
        <f t="shared" si="126"/>
        <v>-29.008783834588673</v>
      </c>
      <c r="AA281" s="371">
        <f t="shared" si="127"/>
        <v>18.621763978070128</v>
      </c>
      <c r="AB281" s="372">
        <f t="shared" si="128"/>
        <v>-75.455739913099521</v>
      </c>
      <c r="AD281">
        <f t="shared" si="132"/>
        <v>0</v>
      </c>
      <c r="AE281">
        <f t="shared" si="109"/>
        <v>0</v>
      </c>
    </row>
    <row r="282" spans="1:31" x14ac:dyDescent="0.2">
      <c r="A282" s="373">
        <v>18303</v>
      </c>
      <c r="B282" s="390">
        <f t="shared" si="129"/>
        <v>18.303000000000001</v>
      </c>
      <c r="C282" s="363">
        <f t="shared" si="110"/>
        <v>24.069879519676288</v>
      </c>
      <c r="D282" s="364">
        <f t="shared" si="111"/>
        <v>1.5292386656085859</v>
      </c>
      <c r="E282" s="364">
        <f t="shared" si="112"/>
        <v>1.2110470122319454</v>
      </c>
      <c r="F282" s="365">
        <f t="shared" si="113"/>
        <v>0.59929802609432559</v>
      </c>
      <c r="G282" s="364">
        <f t="shared" si="114"/>
        <v>1.0164186773393298</v>
      </c>
      <c r="H282" s="365">
        <f t="shared" si="115"/>
        <v>-0.17998408962960691</v>
      </c>
      <c r="I282" s="363">
        <f t="shared" si="116"/>
        <v>62115.737402805884</v>
      </c>
      <c r="J282" s="366">
        <f t="shared" si="117"/>
        <v>1.5707802278151235</v>
      </c>
      <c r="K282" s="374">
        <f t="shared" si="133"/>
        <v>15.154529400618621</v>
      </c>
      <c r="L282" s="375">
        <f t="shared" si="134"/>
        <v>1.5047614727628353</v>
      </c>
      <c r="M282" s="363">
        <f t="shared" si="118"/>
        <v>1.1063921612425267</v>
      </c>
      <c r="N282" s="366">
        <f t="shared" si="119"/>
        <v>0.44213866643018829</v>
      </c>
      <c r="O282" s="367">
        <f t="shared" si="120"/>
        <v>1.011763844438438</v>
      </c>
      <c r="P282" s="368">
        <f t="shared" si="121"/>
        <v>0.20677270826698174</v>
      </c>
      <c r="Q282" s="369">
        <f t="shared" si="122"/>
        <v>-12.467458113593974</v>
      </c>
      <c r="R282" s="370">
        <f t="shared" si="123"/>
        <v>-104.55648175800215</v>
      </c>
      <c r="S282" s="372">
        <f t="shared" si="124"/>
        <v>75.44351824199785</v>
      </c>
      <c r="U282" s="345">
        <f t="shared" si="130"/>
        <v>18303</v>
      </c>
      <c r="V282" s="345">
        <f t="shared" si="131"/>
        <v>334999809</v>
      </c>
      <c r="X282" s="371">
        <f t="shared" si="125"/>
        <v>14.965308715728581</v>
      </c>
      <c r="Y282" s="372">
        <f t="shared" si="126"/>
        <v>-29.115275612465449</v>
      </c>
      <c r="AA282" s="371">
        <f t="shared" si="127"/>
        <v>18.587833083957069</v>
      </c>
      <c r="AB282" s="372">
        <f t="shared" si="128"/>
        <v>-75.441206145536654</v>
      </c>
      <c r="AD282">
        <f t="shared" si="132"/>
        <v>0</v>
      </c>
      <c r="AE282">
        <f t="shared" ref="AE282:AE345" si="135">IF(AD282&gt;0,S282,0)</f>
        <v>0</v>
      </c>
    </row>
    <row r="283" spans="1:31" x14ac:dyDescent="0.2">
      <c r="A283" s="373">
        <v>18409</v>
      </c>
      <c r="B283" s="390">
        <f t="shared" si="129"/>
        <v>18.408999999999999</v>
      </c>
      <c r="C283" s="363">
        <f t="shared" si="110"/>
        <v>24.209037911299703</v>
      </c>
      <c r="D283" s="364">
        <f t="shared" si="111"/>
        <v>1.5294776837854003</v>
      </c>
      <c r="E283" s="364">
        <f t="shared" si="112"/>
        <v>1.2132829247695218</v>
      </c>
      <c r="F283" s="365">
        <f t="shared" si="113"/>
        <v>0.60199048829332447</v>
      </c>
      <c r="G283" s="364">
        <f t="shared" si="114"/>
        <v>1.0166078442563786</v>
      </c>
      <c r="H283" s="365">
        <f t="shared" si="115"/>
        <v>-0.18100389432526276</v>
      </c>
      <c r="I283" s="363">
        <f t="shared" si="116"/>
        <v>62475.474503991245</v>
      </c>
      <c r="J283" s="366">
        <f t="shared" si="117"/>
        <v>1.5707803205139041</v>
      </c>
      <c r="K283" s="374">
        <f t="shared" si="133"/>
        <v>15.241914286072204</v>
      </c>
      <c r="L283" s="375">
        <f t="shared" si="134"/>
        <v>1.5051406100509017</v>
      </c>
      <c r="M283" s="363">
        <f t="shared" si="118"/>
        <v>1.1075680017285197</v>
      </c>
      <c r="N283" s="366">
        <f t="shared" si="119"/>
        <v>0.44437599046451293</v>
      </c>
      <c r="O283" s="367">
        <f t="shared" si="120"/>
        <v>1.0119002500241969</v>
      </c>
      <c r="P283" s="368">
        <f t="shared" si="121"/>
        <v>0.20795928198679431</v>
      </c>
      <c r="Q283" s="369">
        <f t="shared" si="122"/>
        <v>-12.510506647189088</v>
      </c>
      <c r="R283" s="370">
        <f t="shared" si="123"/>
        <v>-104.64879751093657</v>
      </c>
      <c r="S283" s="372">
        <f t="shared" si="124"/>
        <v>75.351202489063425</v>
      </c>
      <c r="U283" s="345">
        <f t="shared" si="130"/>
        <v>18409</v>
      </c>
      <c r="V283" s="345">
        <f t="shared" si="131"/>
        <v>338891281</v>
      </c>
      <c r="X283" s="371">
        <f t="shared" si="125"/>
        <v>14.955865361941234</v>
      </c>
      <c r="Y283" s="372">
        <f t="shared" si="126"/>
        <v>-29.221747181943762</v>
      </c>
      <c r="AA283" s="371">
        <f t="shared" si="127"/>
        <v>18.554227904149304</v>
      </c>
      <c r="AB283" s="372">
        <f t="shared" si="128"/>
        <v>-75.427050328992806</v>
      </c>
      <c r="AD283">
        <f t="shared" si="132"/>
        <v>0</v>
      </c>
      <c r="AE283">
        <f t="shared" si="135"/>
        <v>0</v>
      </c>
    </row>
    <row r="284" spans="1:31" x14ac:dyDescent="0.2">
      <c r="A284" s="373">
        <v>18515</v>
      </c>
      <c r="B284" s="390">
        <f t="shared" si="129"/>
        <v>18.515000000000001</v>
      </c>
      <c r="C284" s="363">
        <f t="shared" si="110"/>
        <v>24.348197670168592</v>
      </c>
      <c r="D284" s="364">
        <f t="shared" si="111"/>
        <v>1.5297139698052373</v>
      </c>
      <c r="E284" s="364">
        <f t="shared" si="112"/>
        <v>1.2155276004278488</v>
      </c>
      <c r="F284" s="365">
        <f t="shared" si="113"/>
        <v>0.60467302571288328</v>
      </c>
      <c r="G284" s="364">
        <f t="shared" si="114"/>
        <v>1.0167980680531943</v>
      </c>
      <c r="H284" s="365">
        <f t="shared" si="115"/>
        <v>-0.18202331850823111</v>
      </c>
      <c r="I284" s="363">
        <f t="shared" si="116"/>
        <v>62835.211605177152</v>
      </c>
      <c r="J284" s="366">
        <f t="shared" si="117"/>
        <v>1.5707804121512676</v>
      </c>
      <c r="K284" s="374">
        <f t="shared" si="133"/>
        <v>15.329301337496759</v>
      </c>
      <c r="L284" s="375">
        <f t="shared" si="134"/>
        <v>1.5055154247309219</v>
      </c>
      <c r="M284" s="363">
        <f t="shared" si="118"/>
        <v>1.1087493745025183</v>
      </c>
      <c r="N284" s="366">
        <f t="shared" si="119"/>
        <v>0.44660855791563353</v>
      </c>
      <c r="O284" s="367">
        <f t="shared" si="120"/>
        <v>1.0120374376490155</v>
      </c>
      <c r="P284" s="368">
        <f t="shared" si="121"/>
        <v>0.20914566888012204</v>
      </c>
      <c r="Q284" s="369">
        <f t="shared" si="122"/>
        <v>-12.55326321355723</v>
      </c>
      <c r="R284" s="370">
        <f t="shared" si="123"/>
        <v>-104.74146793888237</v>
      </c>
      <c r="S284" s="372">
        <f t="shared" si="124"/>
        <v>75.258532061117634</v>
      </c>
      <c r="U284" s="345">
        <f t="shared" si="130"/>
        <v>18515</v>
      </c>
      <c r="V284" s="345">
        <f t="shared" si="131"/>
        <v>342805225</v>
      </c>
      <c r="X284" s="371">
        <f t="shared" si="125"/>
        <v>14.946392166467021</v>
      </c>
      <c r="Y284" s="372">
        <f t="shared" si="126"/>
        <v>-29.32819382566235</v>
      </c>
      <c r="AA284" s="371">
        <f t="shared" si="127"/>
        <v>18.520944533255367</v>
      </c>
      <c r="AB284" s="372">
        <f t="shared" si="128"/>
        <v>-75.413274113220012</v>
      </c>
      <c r="AD284">
        <f t="shared" si="132"/>
        <v>0</v>
      </c>
      <c r="AE284">
        <f t="shared" si="135"/>
        <v>0</v>
      </c>
    </row>
    <row r="285" spans="1:31" x14ac:dyDescent="0.2">
      <c r="A285" s="373">
        <v>18621</v>
      </c>
      <c r="B285" s="390">
        <f t="shared" si="129"/>
        <v>18.620999999999999</v>
      </c>
      <c r="C285" s="363">
        <f t="shared" si="110"/>
        <v>24.487358772973121</v>
      </c>
      <c r="D285" s="364">
        <f t="shared" si="111"/>
        <v>1.529947570221843</v>
      </c>
      <c r="E285" s="364">
        <f t="shared" si="112"/>
        <v>1.217780990749042</v>
      </c>
      <c r="F285" s="365">
        <f t="shared" si="113"/>
        <v>0.60734565473415036</v>
      </c>
      <c r="G285" s="364">
        <f t="shared" si="114"/>
        <v>1.0169893481367211</v>
      </c>
      <c r="H285" s="365">
        <f t="shared" si="115"/>
        <v>-0.18304236027380555</v>
      </c>
      <c r="I285" s="363">
        <f t="shared" si="116"/>
        <v>63194.948706363568</v>
      </c>
      <c r="J285" s="366">
        <f t="shared" si="117"/>
        <v>1.5707805027453403</v>
      </c>
      <c r="K285" s="374">
        <f t="shared" si="133"/>
        <v>15.416690518059905</v>
      </c>
      <c r="L285" s="375">
        <f t="shared" si="134"/>
        <v>1.5058859902045121</v>
      </c>
      <c r="M285" s="363">
        <f t="shared" si="118"/>
        <v>1.1099362618994693</v>
      </c>
      <c r="N285" s="366">
        <f t="shared" si="119"/>
        <v>0.44883636175148045</v>
      </c>
      <c r="O285" s="367">
        <f t="shared" si="120"/>
        <v>1.0121754072174614</v>
      </c>
      <c r="P285" s="368">
        <f t="shared" si="121"/>
        <v>0.21033186794269201</v>
      </c>
      <c r="Q285" s="369">
        <f t="shared" si="122"/>
        <v>-12.59573148544791</v>
      </c>
      <c r="R285" s="370">
        <f t="shared" si="123"/>
        <v>-104.83448999645762</v>
      </c>
      <c r="S285" s="372">
        <f t="shared" si="124"/>
        <v>75.16551000354238</v>
      </c>
      <c r="U285" s="345">
        <f t="shared" si="130"/>
        <v>18621</v>
      </c>
      <c r="V285" s="345">
        <f t="shared" si="131"/>
        <v>346741641</v>
      </c>
      <c r="X285" s="371">
        <f t="shared" si="125"/>
        <v>14.936889301278278</v>
      </c>
      <c r="Y285" s="372">
        <f t="shared" si="126"/>
        <v>-29.434610936149081</v>
      </c>
      <c r="AA285" s="371">
        <f t="shared" si="127"/>
        <v>18.487979126553441</v>
      </c>
      <c r="AB285" s="372">
        <f t="shared" si="128"/>
        <v>-75.399879060308535</v>
      </c>
      <c r="AD285">
        <f t="shared" si="132"/>
        <v>0</v>
      </c>
      <c r="AE285">
        <f t="shared" si="135"/>
        <v>0</v>
      </c>
    </row>
    <row r="286" spans="1:31" x14ac:dyDescent="0.2">
      <c r="A286" s="373">
        <v>18729.5</v>
      </c>
      <c r="B286" s="390">
        <f t="shared" si="129"/>
        <v>18.729500000000002</v>
      </c>
      <c r="C286" s="363">
        <f t="shared" si="110"/>
        <v>24.629803345335322</v>
      </c>
      <c r="D286" s="364">
        <f t="shared" si="111"/>
        <v>1.5301839462117521</v>
      </c>
      <c r="E286" s="364">
        <f t="shared" si="112"/>
        <v>1.2200965020556289</v>
      </c>
      <c r="F286" s="365">
        <f t="shared" si="113"/>
        <v>0.61007107333795585</v>
      </c>
      <c r="G286" s="364">
        <f t="shared" si="114"/>
        <v>1.0171862328700785</v>
      </c>
      <c r="H286" s="365">
        <f t="shared" si="115"/>
        <v>-0.18408503800732268</v>
      </c>
      <c r="I286" s="363">
        <f t="shared" si="116"/>
        <v>63563.170173144543</v>
      </c>
      <c r="J286" s="366">
        <f t="shared" si="117"/>
        <v>1.5707805944140647</v>
      </c>
      <c r="K286" s="374">
        <f t="shared" si="133"/>
        <v>15.506142931681739</v>
      </c>
      <c r="L286" s="375">
        <f t="shared" si="134"/>
        <v>1.5062609695998852</v>
      </c>
      <c r="M286" s="363">
        <f t="shared" si="118"/>
        <v>1.1111568347273217</v>
      </c>
      <c r="N286" s="366">
        <f t="shared" si="119"/>
        <v>0.4511117675563473</v>
      </c>
      <c r="O286" s="367">
        <f t="shared" si="120"/>
        <v>1.0123174405092479</v>
      </c>
      <c r="P286" s="368">
        <f t="shared" si="121"/>
        <v>0.21154584782328198</v>
      </c>
      <c r="Q286" s="369">
        <f t="shared" si="122"/>
        <v>-12.638906562964582</v>
      </c>
      <c r="R286" s="370">
        <f t="shared" si="123"/>
        <v>-104.93006698162696</v>
      </c>
      <c r="S286" s="372">
        <f t="shared" si="124"/>
        <v>75.069933018373035</v>
      </c>
      <c r="U286" s="345">
        <f t="shared" si="130"/>
        <v>18729.5</v>
      </c>
      <c r="V286" s="345">
        <f t="shared" si="131"/>
        <v>350794170.25</v>
      </c>
      <c r="X286" s="371">
        <f t="shared" si="125"/>
        <v>14.927131765849815</v>
      </c>
      <c r="Y286" s="372">
        <f t="shared" si="126"/>
        <v>-29.54350260104372</v>
      </c>
      <c r="AA286" s="371">
        <f t="shared" si="127"/>
        <v>18.454561584465225</v>
      </c>
      <c r="AB286" s="372">
        <f t="shared" si="128"/>
        <v>-75.386564380583252</v>
      </c>
      <c r="AD286">
        <f t="shared" si="132"/>
        <v>0</v>
      </c>
      <c r="AE286">
        <f t="shared" si="135"/>
        <v>0</v>
      </c>
    </row>
    <row r="287" spans="1:31" x14ac:dyDescent="0.2">
      <c r="A287" s="373">
        <v>18838</v>
      </c>
      <c r="B287" s="390">
        <f t="shared" si="129"/>
        <v>18.838000000000001</v>
      </c>
      <c r="C287" s="363">
        <f t="shared" si="110"/>
        <v>24.772249278027221</v>
      </c>
      <c r="D287" s="364">
        <f t="shared" si="111"/>
        <v>1.5304176037857584</v>
      </c>
      <c r="E287" s="364">
        <f t="shared" si="112"/>
        <v>1.2224210417524608</v>
      </c>
      <c r="F287" s="365">
        <f t="shared" si="113"/>
        <v>0.61278614680532395</v>
      </c>
      <c r="G287" s="364">
        <f t="shared" si="114"/>
        <v>1.0173842230360517</v>
      </c>
      <c r="H287" s="365">
        <f t="shared" si="115"/>
        <v>-0.18512731104868427</v>
      </c>
      <c r="I287" s="363">
        <f t="shared" si="116"/>
        <v>63931.391639926049</v>
      </c>
      <c r="J287" s="366">
        <f t="shared" si="117"/>
        <v>1.5707806850268327</v>
      </c>
      <c r="K287" s="374">
        <f t="shared" si="133"/>
        <v>15.59559750060369</v>
      </c>
      <c r="L287" s="375">
        <f t="shared" si="134"/>
        <v>1.5066316473687751</v>
      </c>
      <c r="M287" s="363">
        <f t="shared" si="118"/>
        <v>1.1123831478957213</v>
      </c>
      <c r="N287" s="366">
        <f t="shared" si="119"/>
        <v>0.4533821681899407</v>
      </c>
      <c r="O287" s="367">
        <f t="shared" si="120"/>
        <v>1.0124602928598685</v>
      </c>
      <c r="P287" s="368">
        <f t="shared" si="121"/>
        <v>0.21275962878328611</v>
      </c>
      <c r="Q287" s="369">
        <f t="shared" si="122"/>
        <v>-12.681787178218002</v>
      </c>
      <c r="R287" s="370">
        <f t="shared" si="123"/>
        <v>-105.02600599058327</v>
      </c>
      <c r="S287" s="372">
        <f t="shared" si="124"/>
        <v>74.973994009416728</v>
      </c>
      <c r="U287" s="345">
        <f t="shared" si="130"/>
        <v>18838</v>
      </c>
      <c r="V287" s="345">
        <f t="shared" si="131"/>
        <v>354870244</v>
      </c>
      <c r="X287" s="371">
        <f t="shared" si="125"/>
        <v>14.91734351542345</v>
      </c>
      <c r="Y287" s="372">
        <f t="shared" si="126"/>
        <v>-29.652353895289277</v>
      </c>
      <c r="AA287" s="371">
        <f t="shared" si="127"/>
        <v>18.421469219638169</v>
      </c>
      <c r="AB287" s="372">
        <f t="shared" si="128"/>
        <v>-75.37365209529402</v>
      </c>
      <c r="AD287">
        <f t="shared" si="132"/>
        <v>0</v>
      </c>
      <c r="AE287">
        <f t="shared" si="135"/>
        <v>0</v>
      </c>
    </row>
    <row r="288" spans="1:31" x14ac:dyDescent="0.2">
      <c r="A288" s="373">
        <v>18946.5</v>
      </c>
      <c r="B288" s="390">
        <f t="shared" si="129"/>
        <v>18.9465</v>
      </c>
      <c r="C288" s="363">
        <f t="shared" si="110"/>
        <v>24.914696547716385</v>
      </c>
      <c r="D288" s="364">
        <f t="shared" si="111"/>
        <v>1.5306485895449353</v>
      </c>
      <c r="E288" s="364">
        <f t="shared" si="112"/>
        <v>1.2247545584328681</v>
      </c>
      <c r="F288" s="365">
        <f t="shared" si="113"/>
        <v>0.61549089412522728</v>
      </c>
      <c r="G288" s="364">
        <f t="shared" si="114"/>
        <v>1.0175833179893918</v>
      </c>
      <c r="H288" s="365">
        <f t="shared" si="115"/>
        <v>-0.18616917737026437</v>
      </c>
      <c r="I288" s="363">
        <f t="shared" si="116"/>
        <v>64299.613106708071</v>
      </c>
      <c r="J288" s="366">
        <f t="shared" si="117"/>
        <v>1.570780774601785</v>
      </c>
      <c r="K288" s="374">
        <f t="shared" si="133"/>
        <v>15.685054187949616</v>
      </c>
      <c r="L288" s="375">
        <f t="shared" si="134"/>
        <v>1.5069980970089323</v>
      </c>
      <c r="M288" s="363">
        <f t="shared" si="118"/>
        <v>1.1136151824408775</v>
      </c>
      <c r="N288" s="366">
        <f t="shared" si="119"/>
        <v>0.45564755681951963</v>
      </c>
      <c r="O288" s="367">
        <f t="shared" si="120"/>
        <v>1.0126039641654103</v>
      </c>
      <c r="P288" s="368">
        <f t="shared" si="121"/>
        <v>0.2139732097495676</v>
      </c>
      <c r="Q288" s="369">
        <f t="shared" si="122"/>
        <v>-12.72437707461479</v>
      </c>
      <c r="R288" s="370">
        <f t="shared" si="123"/>
        <v>-105.12230382616417</v>
      </c>
      <c r="S288" s="372">
        <f t="shared" si="124"/>
        <v>74.87769617383583</v>
      </c>
      <c r="U288" s="345">
        <f t="shared" si="130"/>
        <v>18946.5</v>
      </c>
      <c r="V288" s="345">
        <f t="shared" si="131"/>
        <v>358969862.25</v>
      </c>
      <c r="X288" s="371">
        <f t="shared" si="125"/>
        <v>14.907524740438557</v>
      </c>
      <c r="Y288" s="372">
        <f t="shared" si="126"/>
        <v>-29.761160217327038</v>
      </c>
      <c r="AA288" s="371">
        <f t="shared" si="127"/>
        <v>18.388698098226278</v>
      </c>
      <c r="AB288" s="372">
        <f t="shared" si="128"/>
        <v>-75.361143608837139</v>
      </c>
      <c r="AD288">
        <f t="shared" si="132"/>
        <v>0</v>
      </c>
      <c r="AE288">
        <f t="shared" si="135"/>
        <v>0</v>
      </c>
    </row>
    <row r="289" spans="1:31" x14ac:dyDescent="0.2">
      <c r="A289" s="373">
        <v>19055</v>
      </c>
      <c r="B289" s="390">
        <f t="shared" si="129"/>
        <v>19.055</v>
      </c>
      <c r="C289" s="363">
        <f t="shared" si="110"/>
        <v>25.057145131600745</v>
      </c>
      <c r="D289" s="364">
        <f t="shared" si="111"/>
        <v>1.5308769490318124</v>
      </c>
      <c r="E289" s="364">
        <f t="shared" si="112"/>
        <v>1.227097000883441</v>
      </c>
      <c r="F289" s="365">
        <f t="shared" si="113"/>
        <v>0.6181853347468147</v>
      </c>
      <c r="G289" s="364">
        <f t="shared" si="114"/>
        <v>1.017783517081756</v>
      </c>
      <c r="H289" s="365">
        <f t="shared" si="115"/>
        <v>-0.18721063494955098</v>
      </c>
      <c r="I289" s="363">
        <f t="shared" si="116"/>
        <v>64667.834573490596</v>
      </c>
      <c r="J289" s="366">
        <f t="shared" si="117"/>
        <v>1.57078086315665</v>
      </c>
      <c r="K289" s="374">
        <f t="shared" si="133"/>
        <v>15.774512957678999</v>
      </c>
      <c r="L289" s="375">
        <f t="shared" si="134"/>
        <v>1.5073603903554575</v>
      </c>
      <c r="M289" s="363">
        <f t="shared" si="118"/>
        <v>1.1148529193945467</v>
      </c>
      <c r="N289" s="366">
        <f t="shared" si="119"/>
        <v>0.45790792684824716</v>
      </c>
      <c r="O289" s="367">
        <f t="shared" si="120"/>
        <v>1.0127484543214347</v>
      </c>
      <c r="P289" s="368">
        <f t="shared" si="121"/>
        <v>0.21518658965031115</v>
      </c>
      <c r="Q289" s="369">
        <f t="shared" si="122"/>
        <v>-12.76667993249864</v>
      </c>
      <c r="R289" s="370">
        <f t="shared" si="123"/>
        <v>-105.21895731331493</v>
      </c>
      <c r="S289" s="372">
        <f t="shared" si="124"/>
        <v>74.781042686685069</v>
      </c>
      <c r="U289" s="345">
        <f t="shared" si="130"/>
        <v>19055</v>
      </c>
      <c r="V289" s="345">
        <f t="shared" si="131"/>
        <v>363093025</v>
      </c>
      <c r="X289" s="371">
        <f t="shared" si="125"/>
        <v>14.897675633161562</v>
      </c>
      <c r="Y289" s="372">
        <f t="shared" si="126"/>
        <v>-29.869917074353719</v>
      </c>
      <c r="AA289" s="371">
        <f t="shared" si="127"/>
        <v>18.356244347619423</v>
      </c>
      <c r="AB289" s="372">
        <f t="shared" si="128"/>
        <v>-75.349040238961194</v>
      </c>
      <c r="AD289">
        <f t="shared" si="132"/>
        <v>0</v>
      </c>
      <c r="AE289">
        <f t="shared" si="135"/>
        <v>0</v>
      </c>
    </row>
    <row r="290" spans="1:31" x14ac:dyDescent="0.2">
      <c r="A290" s="373">
        <v>19165.75</v>
      </c>
      <c r="B290" s="390">
        <f t="shared" si="129"/>
        <v>19.165749999999999</v>
      </c>
      <c r="C290" s="363">
        <f t="shared" si="110"/>
        <v>25.202549050592928</v>
      </c>
      <c r="D290" s="364">
        <f t="shared" si="111"/>
        <v>1.5311073817742868</v>
      </c>
      <c r="E290" s="364">
        <f t="shared" si="112"/>
        <v>1.2294971716849812</v>
      </c>
      <c r="F290" s="365">
        <f t="shared" si="113"/>
        <v>0.62092504201800836</v>
      </c>
      <c r="G290" s="364">
        <f t="shared" si="114"/>
        <v>1.0179890058134826</v>
      </c>
      <c r="H290" s="365">
        <f t="shared" si="115"/>
        <v>-0.18827326593597893</v>
      </c>
      <c r="I290" s="363">
        <f t="shared" si="116"/>
        <v>65043.691969308304</v>
      </c>
      <c r="J290" s="366">
        <f t="shared" si="117"/>
        <v>1.5707809525138594</v>
      </c>
      <c r="K290" s="374">
        <f t="shared" si="133"/>
        <v>15.865828974213338</v>
      </c>
      <c r="L290" s="375">
        <f t="shared" si="134"/>
        <v>1.5077259831352647</v>
      </c>
      <c r="M290" s="363">
        <f t="shared" si="118"/>
        <v>1.116122185016925</v>
      </c>
      <c r="N290" s="366">
        <f t="shared" si="119"/>
        <v>0.46020998851543865</v>
      </c>
      <c r="O290" s="367">
        <f t="shared" si="120"/>
        <v>1.0128967852058035</v>
      </c>
      <c r="P290" s="368">
        <f t="shared" si="121"/>
        <v>0.21642492333230676</v>
      </c>
      <c r="Q290" s="369">
        <f t="shared" si="122"/>
        <v>-12.809567767189652</v>
      </c>
      <c r="R290" s="370">
        <f t="shared" si="123"/>
        <v>-105.31797865179864</v>
      </c>
      <c r="S290" s="372">
        <f t="shared" si="124"/>
        <v>74.68202134820136</v>
      </c>
      <c r="U290" s="345">
        <f t="shared" si="130"/>
        <v>19165.75</v>
      </c>
      <c r="V290" s="345">
        <f t="shared" si="131"/>
        <v>367325973.0625</v>
      </c>
      <c r="X290" s="371">
        <f t="shared" si="125"/>
        <v>14.887591200861046</v>
      </c>
      <c r="Y290" s="372">
        <f t="shared" si="126"/>
        <v>-29.980873688676983</v>
      </c>
      <c r="AA290" s="371">
        <f t="shared" si="127"/>
        <v>18.323440945228924</v>
      </c>
      <c r="AB290" s="372">
        <f t="shared" si="128"/>
        <v>-75.337104963121661</v>
      </c>
      <c r="AD290">
        <f t="shared" si="132"/>
        <v>0</v>
      </c>
      <c r="AE290">
        <f t="shared" si="135"/>
        <v>0</v>
      </c>
    </row>
    <row r="291" spans="1:31" x14ac:dyDescent="0.2">
      <c r="A291" s="373">
        <v>19276.5</v>
      </c>
      <c r="B291" s="390">
        <f t="shared" si="129"/>
        <v>19.276499999999999</v>
      </c>
      <c r="C291" s="363">
        <f t="shared" si="110"/>
        <v>25.34795429246839</v>
      </c>
      <c r="D291" s="364">
        <f t="shared" si="111"/>
        <v>1.5313351708338483</v>
      </c>
      <c r="E291" s="364">
        <f t="shared" si="112"/>
        <v>1.2319065350860994</v>
      </c>
      <c r="F291" s="365">
        <f t="shared" si="113"/>
        <v>0.62365405306491384</v>
      </c>
      <c r="G291" s="364">
        <f t="shared" si="114"/>
        <v>1.0181956435779991</v>
      </c>
      <c r="H291" s="365">
        <f t="shared" si="115"/>
        <v>-0.18933546681002844</v>
      </c>
      <c r="I291" s="363">
        <f t="shared" si="116"/>
        <v>65419.549365126528</v>
      </c>
      <c r="J291" s="366">
        <f t="shared" si="117"/>
        <v>1.5707810408442939</v>
      </c>
      <c r="K291" s="374">
        <f t="shared" si="133"/>
        <v>15.957147087073205</v>
      </c>
      <c r="L291" s="375">
        <f t="shared" si="134"/>
        <v>1.5080873916005695</v>
      </c>
      <c r="M291" s="363">
        <f t="shared" si="118"/>
        <v>1.1173973520595151</v>
      </c>
      <c r="N291" s="366">
        <f t="shared" si="119"/>
        <v>0.46250680813403938</v>
      </c>
      <c r="O291" s="367">
        <f t="shared" si="120"/>
        <v>1.0130459690327747</v>
      </c>
      <c r="P291" s="368">
        <f t="shared" si="121"/>
        <v>0.21766304527079178</v>
      </c>
      <c r="Q291" s="369">
        <f t="shared" si="122"/>
        <v>-12.852164088764457</v>
      </c>
      <c r="R291" s="370">
        <f t="shared" si="123"/>
        <v>-105.41736392875548</v>
      </c>
      <c r="S291" s="372">
        <f t="shared" si="124"/>
        <v>74.582636071244522</v>
      </c>
      <c r="U291" s="345">
        <f t="shared" si="130"/>
        <v>19276.5</v>
      </c>
      <c r="V291" s="345">
        <f t="shared" si="131"/>
        <v>371583452.25</v>
      </c>
      <c r="X291" s="371">
        <f t="shared" si="125"/>
        <v>14.877475575418428</v>
      </c>
      <c r="Y291" s="372">
        <f t="shared" si="126"/>
        <v>-30.091769640471213</v>
      </c>
      <c r="AA291" s="371">
        <f t="shared" si="127"/>
        <v>18.290960249096738</v>
      </c>
      <c r="AB291" s="372">
        <f t="shared" si="128"/>
        <v>-75.32559428828425</v>
      </c>
      <c r="AD291">
        <f t="shared" si="132"/>
        <v>0</v>
      </c>
      <c r="AE291">
        <f t="shared" si="135"/>
        <v>0</v>
      </c>
    </row>
    <row r="292" spans="1:31" x14ac:dyDescent="0.2">
      <c r="A292" s="373">
        <v>19387.25</v>
      </c>
      <c r="B292" s="390">
        <f t="shared" si="129"/>
        <v>19.387250000000002</v>
      </c>
      <c r="C292" s="363">
        <f t="shared" si="110"/>
        <v>25.493360834591343</v>
      </c>
      <c r="D292" s="364">
        <f t="shared" si="111"/>
        <v>1.5315603614229947</v>
      </c>
      <c r="E292" s="364">
        <f t="shared" si="112"/>
        <v>1.2343250372558066</v>
      </c>
      <c r="F292" s="365">
        <f t="shared" si="113"/>
        <v>0.62637238999390532</v>
      </c>
      <c r="G292" s="364">
        <f t="shared" si="114"/>
        <v>1.0184034296758764</v>
      </c>
      <c r="H292" s="365">
        <f t="shared" si="115"/>
        <v>-0.19039723543734599</v>
      </c>
      <c r="I292" s="363">
        <f t="shared" si="116"/>
        <v>65795.406760945261</v>
      </c>
      <c r="J292" s="366">
        <f t="shared" si="117"/>
        <v>1.5707811281655504</v>
      </c>
      <c r="K292" s="374">
        <f t="shared" si="133"/>
        <v>16.048467260473412</v>
      </c>
      <c r="L292" s="375">
        <f t="shared" si="134"/>
        <v>1.5084446870858308</v>
      </c>
      <c r="M292" s="363">
        <f t="shared" si="118"/>
        <v>1.1186784003414596</v>
      </c>
      <c r="N292" s="366">
        <f t="shared" si="119"/>
        <v>0.46479837943838492</v>
      </c>
      <c r="O292" s="367">
        <f t="shared" si="120"/>
        <v>1.0131960056895883</v>
      </c>
      <c r="P292" s="368">
        <f t="shared" si="121"/>
        <v>0.21890095433017881</v>
      </c>
      <c r="Q292" s="369">
        <f t="shared" si="122"/>
        <v>-12.894472616698184</v>
      </c>
      <c r="R292" s="370">
        <f t="shared" si="123"/>
        <v>-105.51710983556357</v>
      </c>
      <c r="S292" s="372">
        <f t="shared" si="124"/>
        <v>74.482890164436427</v>
      </c>
      <c r="U292" s="345">
        <f t="shared" si="130"/>
        <v>19387.25</v>
      </c>
      <c r="V292" s="345">
        <f t="shared" si="131"/>
        <v>375865462.5625</v>
      </c>
      <c r="X292" s="371">
        <f t="shared" si="125"/>
        <v>14.86732896659807</v>
      </c>
      <c r="Y292" s="372">
        <f t="shared" si="126"/>
        <v>-30.20260048458503</v>
      </c>
      <c r="AA292" s="371">
        <f t="shared" si="127"/>
        <v>18.258798329983367</v>
      </c>
      <c r="AB292" s="372">
        <f t="shared" si="128"/>
        <v>-75.314509350978554</v>
      </c>
      <c r="AD292">
        <f t="shared" si="132"/>
        <v>0</v>
      </c>
      <c r="AE292">
        <f t="shared" si="135"/>
        <v>0</v>
      </c>
    </row>
    <row r="293" spans="1:31" x14ac:dyDescent="0.2">
      <c r="A293" s="373">
        <v>19498</v>
      </c>
      <c r="B293" s="390">
        <f t="shared" si="129"/>
        <v>19.498000000000001</v>
      </c>
      <c r="C293" s="363">
        <f t="shared" si="110"/>
        <v>25.638768654839289</v>
      </c>
      <c r="D293" s="364">
        <f t="shared" si="111"/>
        <v>1.5317829977296182</v>
      </c>
      <c r="E293" s="364">
        <f t="shared" si="112"/>
        <v>1.2367526245807992</v>
      </c>
      <c r="F293" s="365">
        <f t="shared" si="113"/>
        <v>0.62908007536976496</v>
      </c>
      <c r="G293" s="364">
        <f t="shared" si="114"/>
        <v>1.0186123634043711</v>
      </c>
      <c r="H293" s="365">
        <f t="shared" si="115"/>
        <v>-0.1914585696892131</v>
      </c>
      <c r="I293" s="363">
        <f t="shared" si="116"/>
        <v>66171.26415676449</v>
      </c>
      <c r="J293" s="366">
        <f t="shared" si="117"/>
        <v>1.5707812144948252</v>
      </c>
      <c r="K293" s="374">
        <f t="shared" si="133"/>
        <v>16.139789459437868</v>
      </c>
      <c r="L293" s="375">
        <f t="shared" si="134"/>
        <v>1.5087979393152642</v>
      </c>
      <c r="M293" s="363">
        <f t="shared" si="118"/>
        <v>1.11996530968137</v>
      </c>
      <c r="N293" s="366">
        <f t="shared" si="119"/>
        <v>0.46708469641189398</v>
      </c>
      <c r="O293" s="367">
        <f t="shared" si="120"/>
        <v>1.0133468950629192</v>
      </c>
      <c r="P293" s="368">
        <f t="shared" si="121"/>
        <v>0.22013864937634198</v>
      </c>
      <c r="Q293" s="369">
        <f t="shared" si="122"/>
        <v>-12.936497007728224</v>
      </c>
      <c r="R293" s="370">
        <f t="shared" si="123"/>
        <v>-105.61721308554607</v>
      </c>
      <c r="S293" s="372">
        <f t="shared" si="124"/>
        <v>74.382786914453931</v>
      </c>
      <c r="U293" s="345">
        <f t="shared" si="130"/>
        <v>19498</v>
      </c>
      <c r="V293" s="345">
        <f t="shared" si="131"/>
        <v>380172004</v>
      </c>
      <c r="X293" s="371">
        <f t="shared" si="125"/>
        <v>14.857151585752785</v>
      </c>
      <c r="Y293" s="372">
        <f t="shared" si="126"/>
        <v>-30.313361882375759</v>
      </c>
      <c r="AA293" s="371">
        <f t="shared" si="127"/>
        <v>18.226951319798616</v>
      </c>
      <c r="AB293" s="372">
        <f t="shared" si="128"/>
        <v>-75.303851203170296</v>
      </c>
      <c r="AD293">
        <f t="shared" si="132"/>
        <v>0</v>
      </c>
      <c r="AE293">
        <f t="shared" si="135"/>
        <v>0</v>
      </c>
    </row>
    <row r="294" spans="1:31" x14ac:dyDescent="0.2">
      <c r="A294" s="373">
        <v>19611.75</v>
      </c>
      <c r="B294" s="390">
        <f t="shared" si="129"/>
        <v>19.611750000000001</v>
      </c>
      <c r="C294" s="363">
        <f t="shared" si="110"/>
        <v>25.788116595190637</v>
      </c>
      <c r="D294" s="364">
        <f t="shared" si="111"/>
        <v>1.532009051173199</v>
      </c>
      <c r="E294" s="364">
        <f t="shared" si="112"/>
        <v>1.239255372032712</v>
      </c>
      <c r="F294" s="365">
        <f t="shared" si="113"/>
        <v>0.63185004254540156</v>
      </c>
      <c r="G294" s="364">
        <f t="shared" si="114"/>
        <v>1.018828150677846</v>
      </c>
      <c r="H294" s="365">
        <f t="shared" si="115"/>
        <v>-0.1925481989872245</v>
      </c>
      <c r="I294" s="363">
        <f t="shared" si="116"/>
        <v>66557.302791297145</v>
      </c>
      <c r="J294" s="366">
        <f t="shared" si="117"/>
        <v>1.5707813021475912</v>
      </c>
      <c r="K294" s="374">
        <f t="shared" si="133"/>
        <v>16.233587470129077</v>
      </c>
      <c r="L294" s="375">
        <f t="shared" si="134"/>
        <v>1.5091566230121625</v>
      </c>
      <c r="M294" s="363">
        <f t="shared" si="118"/>
        <v>1.1212931590251274</v>
      </c>
      <c r="N294" s="366">
        <f t="shared" si="119"/>
        <v>0.46942746941103863</v>
      </c>
      <c r="O294" s="367">
        <f t="shared" si="120"/>
        <v>1.0135027592903969</v>
      </c>
      <c r="P294" s="368">
        <f t="shared" si="121"/>
        <v>0.22140964717334843</v>
      </c>
      <c r="Q294" s="369">
        <f t="shared" si="122"/>
        <v>-12.979367746883064</v>
      </c>
      <c r="R294" s="370">
        <f t="shared" si="123"/>
        <v>-105.72039650024985</v>
      </c>
      <c r="S294" s="372">
        <f t="shared" si="124"/>
        <v>74.279603499750152</v>
      </c>
      <c r="U294" s="345">
        <f t="shared" si="130"/>
        <v>19611.75</v>
      </c>
      <c r="V294" s="345">
        <f t="shared" si="131"/>
        <v>384620738.0625</v>
      </c>
      <c r="X294" s="371">
        <f t="shared" si="125"/>
        <v>14.846666709589979</v>
      </c>
      <c r="Y294" s="372">
        <f t="shared" si="126"/>
        <v>-30.427046847834994</v>
      </c>
      <c r="AA294" s="371">
        <f t="shared" si="127"/>
        <v>18.194565456806579</v>
      </c>
      <c r="AB294" s="372">
        <f t="shared" si="128"/>
        <v>-75.293349652414875</v>
      </c>
      <c r="AD294">
        <f t="shared" si="132"/>
        <v>0</v>
      </c>
      <c r="AE294">
        <f t="shared" si="135"/>
        <v>0</v>
      </c>
    </row>
    <row r="295" spans="1:31" x14ac:dyDescent="0.2">
      <c r="A295" s="373">
        <v>19725.5</v>
      </c>
      <c r="B295" s="390">
        <f t="shared" si="129"/>
        <v>19.7255</v>
      </c>
      <c r="C295" s="363">
        <f t="shared" si="110"/>
        <v>25.937465838143297</v>
      </c>
      <c r="D295" s="364">
        <f t="shared" si="111"/>
        <v>1.532232501373717</v>
      </c>
      <c r="E295" s="364">
        <f t="shared" si="112"/>
        <v>1.2417675895713038</v>
      </c>
      <c r="F295" s="365">
        <f t="shared" si="113"/>
        <v>0.63460882298703059</v>
      </c>
      <c r="G295" s="364">
        <f t="shared" si="114"/>
        <v>1.0190451470847075</v>
      </c>
      <c r="H295" s="365">
        <f t="shared" si="115"/>
        <v>-0.19363736552461569</v>
      </c>
      <c r="I295" s="363">
        <f t="shared" si="116"/>
        <v>66943.341425830309</v>
      </c>
      <c r="J295" s="366">
        <f t="shared" si="117"/>
        <v>1.570781388789432</v>
      </c>
      <c r="K295" s="374">
        <f t="shared" si="133"/>
        <v>16.327387545339676</v>
      </c>
      <c r="L295" s="375">
        <f t="shared" si="134"/>
        <v>1.5095111855122292</v>
      </c>
      <c r="M295" s="363">
        <f t="shared" si="118"/>
        <v>1.1226271481036771</v>
      </c>
      <c r="N295" s="366">
        <f t="shared" si="119"/>
        <v>0.47176468749859668</v>
      </c>
      <c r="O295" s="367">
        <f t="shared" si="120"/>
        <v>1.0136595228127521</v>
      </c>
      <c r="P295" s="368">
        <f t="shared" si="121"/>
        <v>0.22268041678525785</v>
      </c>
      <c r="Q295" s="369">
        <f t="shared" si="122"/>
        <v>-13.021946369244082</v>
      </c>
      <c r="R295" s="370">
        <f t="shared" si="123"/>
        <v>-105.82394992075903</v>
      </c>
      <c r="S295" s="372">
        <f t="shared" si="124"/>
        <v>74.176050079240966</v>
      </c>
      <c r="U295" s="345">
        <f t="shared" si="130"/>
        <v>19725.5</v>
      </c>
      <c r="V295" s="345">
        <f t="shared" si="131"/>
        <v>389095350.25</v>
      </c>
      <c r="X295" s="371">
        <f t="shared" si="125"/>
        <v>14.836149828426244</v>
      </c>
      <c r="Y295" s="372">
        <f t="shared" si="126"/>
        <v>-30.540649609567897</v>
      </c>
      <c r="AA295" s="371">
        <f t="shared" si="127"/>
        <v>18.162503715609301</v>
      </c>
      <c r="AB295" s="372">
        <f t="shared" si="128"/>
        <v>-75.283300311191127</v>
      </c>
      <c r="AD295">
        <f t="shared" si="132"/>
        <v>0</v>
      </c>
      <c r="AE295">
        <f t="shared" si="135"/>
        <v>0</v>
      </c>
    </row>
    <row r="296" spans="1:31" x14ac:dyDescent="0.2">
      <c r="A296" s="373">
        <v>19839.25</v>
      </c>
      <c r="B296" s="390">
        <f t="shared" si="129"/>
        <v>19.83925</v>
      </c>
      <c r="C296" s="363">
        <f t="shared" si="110"/>
        <v>26.08681636132475</v>
      </c>
      <c r="D296" s="364">
        <f t="shared" si="111"/>
        <v>1.5324533930204123</v>
      </c>
      <c r="E296" s="364">
        <f t="shared" si="112"/>
        <v>1.2442892198363158</v>
      </c>
      <c r="F296" s="365">
        <f t="shared" si="113"/>
        <v>0.6373564425862579</v>
      </c>
      <c r="G296" s="364">
        <f t="shared" si="114"/>
        <v>1.019263351852699</v>
      </c>
      <c r="H296" s="365">
        <f t="shared" si="115"/>
        <v>-0.19472606701365294</v>
      </c>
      <c r="I296" s="363">
        <f t="shared" si="116"/>
        <v>67329.380060363983</v>
      </c>
      <c r="J296" s="366">
        <f t="shared" si="117"/>
        <v>1.5707814744377364</v>
      </c>
      <c r="K296" s="374">
        <f t="shared" si="133"/>
        <v>16.421189649691225</v>
      </c>
      <c r="L296" s="375">
        <f t="shared" si="134"/>
        <v>1.5098616973495873</v>
      </c>
      <c r="M296" s="363">
        <f t="shared" si="118"/>
        <v>1.1239672550560469</v>
      </c>
      <c r="N296" s="366">
        <f t="shared" si="119"/>
        <v>0.47409634496423891</v>
      </c>
      <c r="O296" s="367">
        <f t="shared" si="120"/>
        <v>1.0138171855053435</v>
      </c>
      <c r="P296" s="368">
        <f t="shared" si="121"/>
        <v>0.22395095698812134</v>
      </c>
      <c r="Q296" s="369">
        <f t="shared" si="122"/>
        <v>-13.064236638949057</v>
      </c>
      <c r="R296" s="370">
        <f t="shared" si="123"/>
        <v>-105.92786985540501</v>
      </c>
      <c r="S296" s="372">
        <f t="shared" si="124"/>
        <v>74.072130144594993</v>
      </c>
      <c r="U296" s="345">
        <f t="shared" si="130"/>
        <v>19839.25</v>
      </c>
      <c r="V296" s="345">
        <f t="shared" si="131"/>
        <v>393595840.5625</v>
      </c>
      <c r="X296" s="371">
        <f t="shared" si="125"/>
        <v>14.82560117589914</v>
      </c>
      <c r="Y296" s="372">
        <f t="shared" si="126"/>
        <v>-30.654165800085448</v>
      </c>
      <c r="AA296" s="371">
        <f t="shared" si="127"/>
        <v>18.130762098431429</v>
      </c>
      <c r="AB296" s="372">
        <f t="shared" si="128"/>
        <v>-75.27370405531957</v>
      </c>
      <c r="AD296">
        <f t="shared" si="132"/>
        <v>0</v>
      </c>
      <c r="AE296">
        <f t="shared" si="135"/>
        <v>0</v>
      </c>
    </row>
    <row r="297" spans="1:31" x14ac:dyDescent="0.2">
      <c r="A297" s="373">
        <v>19953</v>
      </c>
      <c r="B297" s="390">
        <f t="shared" si="129"/>
        <v>19.952999999999999</v>
      </c>
      <c r="C297" s="363">
        <f t="shared" si="110"/>
        <v>26.23616814287173</v>
      </c>
      <c r="D297" s="364">
        <f t="shared" si="111"/>
        <v>1.5326717697859458</v>
      </c>
      <c r="E297" s="364">
        <f t="shared" si="112"/>
        <v>1.2468202057174718</v>
      </c>
      <c r="F297" s="365">
        <f t="shared" si="113"/>
        <v>0.64009292769968662</v>
      </c>
      <c r="G297" s="364">
        <f t="shared" si="114"/>
        <v>1.0194827642059263</v>
      </c>
      <c r="H297" s="365">
        <f t="shared" si="115"/>
        <v>-0.19581430117296544</v>
      </c>
      <c r="I297" s="363">
        <f t="shared" si="116"/>
        <v>67715.418694898137</v>
      </c>
      <c r="J297" s="366">
        <f t="shared" si="117"/>
        <v>1.5707815591094962</v>
      </c>
      <c r="K297" s="374">
        <f t="shared" si="133"/>
        <v>16.514993748608276</v>
      </c>
      <c r="L297" s="375">
        <f t="shared" si="134"/>
        <v>1.5102082274598765</v>
      </c>
      <c r="M297" s="363">
        <f t="shared" si="118"/>
        <v>1.1253134580253794</v>
      </c>
      <c r="N297" s="366">
        <f t="shared" si="119"/>
        <v>0.47642243636662157</v>
      </c>
      <c r="O297" s="367">
        <f t="shared" si="120"/>
        <v>1.0139757472429074</v>
      </c>
      <c r="P297" s="368">
        <f t="shared" si="121"/>
        <v>0.22522126655964661</v>
      </c>
      <c r="Q297" s="369">
        <f t="shared" si="122"/>
        <v>-13.106242256144171</v>
      </c>
      <c r="R297" s="370">
        <f t="shared" si="123"/>
        <v>-106.03215283506606</v>
      </c>
      <c r="S297" s="372">
        <f t="shared" si="124"/>
        <v>73.967847164933943</v>
      </c>
      <c r="U297" s="345">
        <f t="shared" si="130"/>
        <v>19953</v>
      </c>
      <c r="V297" s="345">
        <f t="shared" si="131"/>
        <v>398122209</v>
      </c>
      <c r="X297" s="371">
        <f t="shared" si="125"/>
        <v>14.815020987023848</v>
      </c>
      <c r="Y297" s="372">
        <f t="shared" si="126"/>
        <v>-30.767591158873955</v>
      </c>
      <c r="AA297" s="371">
        <f t="shared" si="127"/>
        <v>18.099336670111605</v>
      </c>
      <c r="AB297" s="372">
        <f t="shared" si="128"/>
        <v>-75.264561676192116</v>
      </c>
      <c r="AD297">
        <f t="shared" si="132"/>
        <v>0</v>
      </c>
      <c r="AE297">
        <f t="shared" si="135"/>
        <v>0</v>
      </c>
    </row>
    <row r="298" spans="1:31" x14ac:dyDescent="0.2">
      <c r="A298" s="373">
        <v>20069</v>
      </c>
      <c r="B298" s="390">
        <f t="shared" si="129"/>
        <v>20.068999999999999</v>
      </c>
      <c r="C298" s="363">
        <f t="shared" si="110"/>
        <v>26.388475409280851</v>
      </c>
      <c r="D298" s="364">
        <f t="shared" si="111"/>
        <v>1.5328919203459279</v>
      </c>
      <c r="E298" s="364">
        <f t="shared" si="112"/>
        <v>1.2494108311447525</v>
      </c>
      <c r="F298" s="365">
        <f t="shared" si="113"/>
        <v>0.64287210185770638</v>
      </c>
      <c r="G298" s="364">
        <f t="shared" si="114"/>
        <v>1.019707759426538</v>
      </c>
      <c r="H298" s="365">
        <f t="shared" si="115"/>
        <v>-0.19692357719780176</v>
      </c>
      <c r="I298" s="363">
        <f t="shared" si="116"/>
        <v>68109.093258467532</v>
      </c>
      <c r="J298" s="366">
        <f t="shared" si="117"/>
        <v>1.5707816444675862</v>
      </c>
      <c r="K298" s="374">
        <f t="shared" si="133"/>
        <v>16.610655332323375</v>
      </c>
      <c r="L298" s="375">
        <f t="shared" si="134"/>
        <v>1.5105575812110668</v>
      </c>
      <c r="M298" s="363">
        <f t="shared" si="118"/>
        <v>1.1266925446131175</v>
      </c>
      <c r="N298" s="366">
        <f t="shared" si="119"/>
        <v>0.47878880070631485</v>
      </c>
      <c r="O298" s="367">
        <f t="shared" si="120"/>
        <v>1.0141383711317971</v>
      </c>
      <c r="P298" s="368">
        <f t="shared" si="121"/>
        <v>0.22651646434895825</v>
      </c>
      <c r="Q298" s="369">
        <f t="shared" si="122"/>
        <v>-13.148789370302556</v>
      </c>
      <c r="R298" s="370">
        <f t="shared" si="123"/>
        <v>-106.13886886945916</v>
      </c>
      <c r="S298" s="372">
        <f t="shared" si="124"/>
        <v>73.861131130540841</v>
      </c>
      <c r="U298" s="345">
        <f t="shared" si="130"/>
        <v>20069</v>
      </c>
      <c r="V298" s="345">
        <f t="shared" si="131"/>
        <v>402764761</v>
      </c>
      <c r="X298" s="371">
        <f t="shared" si="125"/>
        <v>14.804199286446503</v>
      </c>
      <c r="Y298" s="372">
        <f t="shared" si="126"/>
        <v>-30.883162243618742</v>
      </c>
      <c r="AA298" s="371">
        <f t="shared" si="127"/>
        <v>18.067611256530569</v>
      </c>
      <c r="AB298" s="372">
        <f t="shared" si="128"/>
        <v>-75.255706625840446</v>
      </c>
      <c r="AD298">
        <f t="shared" si="132"/>
        <v>0</v>
      </c>
      <c r="AE298">
        <f t="shared" si="135"/>
        <v>0</v>
      </c>
    </row>
    <row r="299" spans="1:31" x14ac:dyDescent="0.2">
      <c r="A299" s="373">
        <v>20185</v>
      </c>
      <c r="B299" s="390">
        <f t="shared" si="129"/>
        <v>20.184999999999999</v>
      </c>
      <c r="C299" s="363">
        <f t="shared" si="110"/>
        <v>26.540783939962072</v>
      </c>
      <c r="D299" s="364">
        <f t="shared" si="111"/>
        <v>1.5331095441780065</v>
      </c>
      <c r="E299" s="364">
        <f t="shared" si="112"/>
        <v>1.2520110668034019</v>
      </c>
      <c r="F299" s="365">
        <f t="shared" si="113"/>
        <v>0.64563975347868019</v>
      </c>
      <c r="G299" s="364">
        <f t="shared" si="114"/>
        <v>1.0199340088362272</v>
      </c>
      <c r="H299" s="365">
        <f t="shared" si="115"/>
        <v>-0.1980323624506366</v>
      </c>
      <c r="I299" s="363">
        <f t="shared" si="116"/>
        <v>68502.767822037422</v>
      </c>
      <c r="J299" s="366">
        <f t="shared" si="117"/>
        <v>1.5707817288445973</v>
      </c>
      <c r="K299" s="374">
        <f t="shared" si="133"/>
        <v>16.706318920119401</v>
      </c>
      <c r="L299" s="375">
        <f t="shared" si="134"/>
        <v>1.5109029340707765</v>
      </c>
      <c r="M299" s="363">
        <f t="shared" si="118"/>
        <v>1.1280779248722761</v>
      </c>
      <c r="N299" s="366">
        <f t="shared" si="119"/>
        <v>0.48114936602469388</v>
      </c>
      <c r="O299" s="367">
        <f t="shared" si="120"/>
        <v>1.0143019297189448</v>
      </c>
      <c r="P299" s="368">
        <f t="shared" si="121"/>
        <v>0.22781141973071758</v>
      </c>
      <c r="Q299" s="369">
        <f t="shared" si="122"/>
        <v>-13.19104803430923</v>
      </c>
      <c r="R299" s="370">
        <f t="shared" si="123"/>
        <v>-106.24595523619369</v>
      </c>
      <c r="S299" s="372">
        <f t="shared" si="124"/>
        <v>73.754044763806306</v>
      </c>
      <c r="U299" s="345">
        <f t="shared" si="130"/>
        <v>20185</v>
      </c>
      <c r="V299" s="345">
        <f t="shared" si="131"/>
        <v>407434225</v>
      </c>
      <c r="X299" s="371">
        <f t="shared" si="125"/>
        <v>14.793345287226012</v>
      </c>
      <c r="Y299" s="372">
        <f t="shared" si="126"/>
        <v>-30.99863024690125</v>
      </c>
      <c r="AA299" s="371">
        <f t="shared" si="127"/>
        <v>18.036206591744381</v>
      </c>
      <c r="AB299" s="372">
        <f t="shared" si="128"/>
        <v>-75.247324989292437</v>
      </c>
      <c r="AD299">
        <f t="shared" si="132"/>
        <v>0</v>
      </c>
      <c r="AE299">
        <f t="shared" si="135"/>
        <v>0</v>
      </c>
    </row>
    <row r="300" spans="1:31" x14ac:dyDescent="0.2">
      <c r="A300" s="373">
        <v>20301</v>
      </c>
      <c r="B300" s="390">
        <f t="shared" si="129"/>
        <v>20.300999999999998</v>
      </c>
      <c r="C300" s="363">
        <f t="shared" si="110"/>
        <v>26.693093713273914</v>
      </c>
      <c r="D300" s="364">
        <f t="shared" si="111"/>
        <v>1.5333246845136277</v>
      </c>
      <c r="E300" s="364">
        <f t="shared" si="112"/>
        <v>1.2546208529410279</v>
      </c>
      <c r="F300" s="365">
        <f t="shared" si="113"/>
        <v>0.64839591193673973</v>
      </c>
      <c r="G300" s="364">
        <f t="shared" si="114"/>
        <v>1.0201615116005389</v>
      </c>
      <c r="H300" s="365">
        <f t="shared" si="115"/>
        <v>-0.19914065453261634</v>
      </c>
      <c r="I300" s="363">
        <f t="shared" si="116"/>
        <v>68896.442385607777</v>
      </c>
      <c r="J300" s="366">
        <f t="shared" si="117"/>
        <v>1.5707818122573471</v>
      </c>
      <c r="K300" s="374">
        <f t="shared" si="133"/>
        <v>16.801984477765128</v>
      </c>
      <c r="L300" s="375">
        <f t="shared" si="134"/>
        <v>1.5112443542956124</v>
      </c>
      <c r="M300" s="363">
        <f t="shared" si="118"/>
        <v>1.1294695756438569</v>
      </c>
      <c r="N300" s="366">
        <f t="shared" si="119"/>
        <v>0.48350412740163717</v>
      </c>
      <c r="O300" s="367">
        <f t="shared" si="120"/>
        <v>1.0144664228695128</v>
      </c>
      <c r="P300" s="368">
        <f t="shared" si="121"/>
        <v>0.22910613141402852</v>
      </c>
      <c r="Q300" s="369">
        <f t="shared" si="122"/>
        <v>-13.233021975391704</v>
      </c>
      <c r="R300" s="370">
        <f t="shared" si="123"/>
        <v>-106.35340832607397</v>
      </c>
      <c r="S300" s="372">
        <f t="shared" si="124"/>
        <v>73.646591673926025</v>
      </c>
      <c r="U300" s="345">
        <f t="shared" si="130"/>
        <v>20301</v>
      </c>
      <c r="V300" s="345">
        <f t="shared" si="131"/>
        <v>412130601</v>
      </c>
      <c r="X300" s="371">
        <f t="shared" si="125"/>
        <v>14.782459242455852</v>
      </c>
      <c r="Y300" s="372">
        <f t="shared" si="126"/>
        <v>-31.113990976967358</v>
      </c>
      <c r="AA300" s="371">
        <f t="shared" si="127"/>
        <v>18.005118695432067</v>
      </c>
      <c r="AB300" s="372">
        <f t="shared" si="128"/>
        <v>-75.239417349106645</v>
      </c>
      <c r="AD300">
        <f t="shared" si="132"/>
        <v>0</v>
      </c>
      <c r="AE300">
        <f t="shared" si="135"/>
        <v>0</v>
      </c>
    </row>
    <row r="301" spans="1:31" x14ac:dyDescent="0.2">
      <c r="A301" s="373">
        <v>20417</v>
      </c>
      <c r="B301" s="390">
        <f t="shared" si="129"/>
        <v>20.417000000000002</v>
      </c>
      <c r="C301" s="363">
        <f t="shared" si="110"/>
        <v>26.845404708065846</v>
      </c>
      <c r="D301" s="364">
        <f t="shared" si="111"/>
        <v>1.5335373836040529</v>
      </c>
      <c r="E301" s="364">
        <f t="shared" si="112"/>
        <v>1.257240130082818</v>
      </c>
      <c r="F301" s="365">
        <f t="shared" si="113"/>
        <v>0.65114060706102039</v>
      </c>
      <c r="G301" s="364">
        <f t="shared" si="114"/>
        <v>1.0203902668811424</v>
      </c>
      <c r="H301" s="365">
        <f t="shared" si="115"/>
        <v>-0.20024845105186698</v>
      </c>
      <c r="I301" s="363">
        <f t="shared" si="116"/>
        <v>69290.116949178613</v>
      </c>
      <c r="J301" s="366">
        <f t="shared" si="117"/>
        <v>1.5707818947222711</v>
      </c>
      <c r="K301" s="374">
        <f t="shared" si="133"/>
        <v>16.897651971803811</v>
      </c>
      <c r="L301" s="375">
        <f t="shared" si="134"/>
        <v>1.5115819086001343</v>
      </c>
      <c r="M301" s="363">
        <f t="shared" si="118"/>
        <v>1.1308674737782949</v>
      </c>
      <c r="N301" s="366">
        <f t="shared" si="119"/>
        <v>0.48585308019864393</v>
      </c>
      <c r="O301" s="367">
        <f t="shared" si="120"/>
        <v>1.0146318504479963</v>
      </c>
      <c r="P301" s="368">
        <f t="shared" si="121"/>
        <v>0.23040059810981975</v>
      </c>
      <c r="Q301" s="369">
        <f t="shared" si="122"/>
        <v>-13.274714857334729</v>
      </c>
      <c r="R301" s="370">
        <f t="shared" si="123"/>
        <v>-106.46122455264528</v>
      </c>
      <c r="S301" s="372">
        <f t="shared" si="124"/>
        <v>73.538775447354723</v>
      </c>
      <c r="U301" s="345">
        <f t="shared" si="130"/>
        <v>20417</v>
      </c>
      <c r="V301" s="345">
        <f t="shared" si="131"/>
        <v>416853889</v>
      </c>
      <c r="X301" s="371">
        <f t="shared" si="125"/>
        <v>14.771541406345028</v>
      </c>
      <c r="Y301" s="372">
        <f t="shared" si="126"/>
        <v>-31.229240346529494</v>
      </c>
      <c r="AA301" s="371">
        <f t="shared" si="127"/>
        <v>17.974343649599867</v>
      </c>
      <c r="AB301" s="372">
        <f t="shared" si="128"/>
        <v>-75.231984206115783</v>
      </c>
      <c r="AD301">
        <f t="shared" si="132"/>
        <v>0</v>
      </c>
      <c r="AE301">
        <f t="shared" si="135"/>
        <v>0</v>
      </c>
    </row>
    <row r="302" spans="1:31" x14ac:dyDescent="0.2">
      <c r="A302" s="373">
        <v>20536</v>
      </c>
      <c r="B302" s="390">
        <f t="shared" si="129"/>
        <v>20.536000000000001</v>
      </c>
      <c r="C302" s="363">
        <f t="shared" si="110"/>
        <v>27.00165602791856</v>
      </c>
      <c r="D302" s="364">
        <f t="shared" si="111"/>
        <v>1.5337530900461864</v>
      </c>
      <c r="E302" s="364">
        <f t="shared" si="112"/>
        <v>1.2599369474742066</v>
      </c>
      <c r="F302" s="365">
        <f t="shared" si="113"/>
        <v>0.65394440554520572</v>
      </c>
      <c r="G302" s="364">
        <f t="shared" si="114"/>
        <v>1.0206262388880287</v>
      </c>
      <c r="H302" s="365">
        <f t="shared" si="115"/>
        <v>-0.20138438002872477</v>
      </c>
      <c r="I302" s="363">
        <f t="shared" si="116"/>
        <v>69693.972751462978</v>
      </c>
      <c r="J302" s="366">
        <f t="shared" si="117"/>
        <v>1.5707819783518311</v>
      </c>
      <c r="K302" s="374">
        <f t="shared" si="133"/>
        <v>16.995795603058699</v>
      </c>
      <c r="L302" s="375">
        <f t="shared" si="134"/>
        <v>1.5119242439149161</v>
      </c>
      <c r="M302" s="363">
        <f t="shared" si="118"/>
        <v>1.1323079920059294</v>
      </c>
      <c r="N302" s="366">
        <f t="shared" si="119"/>
        <v>0.48825674135258962</v>
      </c>
      <c r="O302" s="367">
        <f t="shared" si="120"/>
        <v>1.0148025271729695</v>
      </c>
      <c r="P302" s="368">
        <f t="shared" si="121"/>
        <v>0.23172828647017199</v>
      </c>
      <c r="Q302" s="369">
        <f t="shared" si="122"/>
        <v>-13.317197721652491</v>
      </c>
      <c r="R302" s="370">
        <f t="shared" si="123"/>
        <v>-106.5722027399347</v>
      </c>
      <c r="S302" s="372">
        <f t="shared" si="124"/>
        <v>73.427797260065304</v>
      </c>
      <c r="U302" s="345">
        <f t="shared" si="130"/>
        <v>20536</v>
      </c>
      <c r="V302" s="345">
        <f t="shared" si="131"/>
        <v>421727296</v>
      </c>
      <c r="X302" s="371">
        <f t="shared" si="125"/>
        <v>14.760308444664487</v>
      </c>
      <c r="Y302" s="372">
        <f t="shared" si="126"/>
        <v>-31.347350409070639</v>
      </c>
      <c r="AA302" s="371">
        <f t="shared" si="127"/>
        <v>17.943093746962646</v>
      </c>
      <c r="AB302" s="372">
        <f t="shared" si="128"/>
        <v>-75.224852330864067</v>
      </c>
      <c r="AD302">
        <f t="shared" si="132"/>
        <v>0</v>
      </c>
      <c r="AE302">
        <f t="shared" si="135"/>
        <v>0</v>
      </c>
    </row>
    <row r="303" spans="1:31" x14ac:dyDescent="0.2">
      <c r="A303" s="373">
        <v>20655</v>
      </c>
      <c r="B303" s="390">
        <f t="shared" si="129"/>
        <v>20.655000000000001</v>
      </c>
      <c r="C303" s="363">
        <f t="shared" si="110"/>
        <v>27.1579085896817</v>
      </c>
      <c r="D303" s="364">
        <f t="shared" si="111"/>
        <v>1.5339663143715081</v>
      </c>
      <c r="E303" s="364">
        <f t="shared" si="112"/>
        <v>1.2626436272348851</v>
      </c>
      <c r="F303" s="365">
        <f t="shared" si="113"/>
        <v>0.6567362051120057</v>
      </c>
      <c r="G303" s="364">
        <f t="shared" si="114"/>
        <v>1.020863527234491</v>
      </c>
      <c r="H303" s="365">
        <f t="shared" si="115"/>
        <v>-0.20251978240201055</v>
      </c>
      <c r="I303" s="363">
        <f t="shared" si="116"/>
        <v>70097.828553747822</v>
      </c>
      <c r="J303" s="366">
        <f t="shared" si="117"/>
        <v>1.5707820610177583</v>
      </c>
      <c r="K303" s="374">
        <f t="shared" si="133"/>
        <v>17.09394120323817</v>
      </c>
      <c r="L303" s="375">
        <f t="shared" si="134"/>
        <v>1.5122626482030486</v>
      </c>
      <c r="M303" s="363">
        <f t="shared" si="118"/>
        <v>1.1337550355952244</v>
      </c>
      <c r="N303" s="366">
        <f t="shared" si="119"/>
        <v>0.49065428060782984</v>
      </c>
      <c r="O303" s="367">
        <f t="shared" si="120"/>
        <v>1.0149741869922819</v>
      </c>
      <c r="P303" s="368">
        <f t="shared" si="121"/>
        <v>0.23305571426500268</v>
      </c>
      <c r="Q303" s="369">
        <f t="shared" si="122"/>
        <v>-13.359392413423894</v>
      </c>
      <c r="R303" s="370">
        <f t="shared" si="123"/>
        <v>-106.68355551533068</v>
      </c>
      <c r="S303" s="372">
        <f t="shared" si="124"/>
        <v>73.316444484669319</v>
      </c>
      <c r="U303" s="345">
        <f t="shared" si="130"/>
        <v>20655</v>
      </c>
      <c r="V303" s="345">
        <f t="shared" si="131"/>
        <v>426629025</v>
      </c>
      <c r="X303" s="371">
        <f t="shared" si="125"/>
        <v>14.749042571206029</v>
      </c>
      <c r="Y303" s="372">
        <f t="shared" si="126"/>
        <v>-31.46533488867729</v>
      </c>
      <c r="AA303" s="371">
        <f t="shared" si="127"/>
        <v>17.912164928649702</v>
      </c>
      <c r="AB303" s="372">
        <f t="shared" si="128"/>
        <v>-75.218220626653419</v>
      </c>
      <c r="AD303">
        <f t="shared" si="132"/>
        <v>0</v>
      </c>
      <c r="AE303">
        <f t="shared" si="135"/>
        <v>0</v>
      </c>
    </row>
    <row r="304" spans="1:31" x14ac:dyDescent="0.2">
      <c r="A304" s="373">
        <v>20774</v>
      </c>
      <c r="B304" s="390">
        <f t="shared" si="129"/>
        <v>20.774000000000001</v>
      </c>
      <c r="C304" s="363">
        <f t="shared" si="110"/>
        <v>27.31416237204196</v>
      </c>
      <c r="D304" s="364">
        <f t="shared" si="111"/>
        <v>1.5341770991581587</v>
      </c>
      <c r="E304" s="364">
        <f t="shared" si="112"/>
        <v>1.2653601060762889</v>
      </c>
      <c r="F304" s="365">
        <f t="shared" si="113"/>
        <v>0.65951603938066938</v>
      </c>
      <c r="G304" s="364">
        <f t="shared" si="114"/>
        <v>1.0211021310028385</v>
      </c>
      <c r="H304" s="365">
        <f t="shared" si="115"/>
        <v>-0.20365465561249052</v>
      </c>
      <c r="I304" s="363">
        <f t="shared" si="116"/>
        <v>70501.684356033147</v>
      </c>
      <c r="J304" s="366">
        <f t="shared" si="117"/>
        <v>1.5707821427366124</v>
      </c>
      <c r="K304" s="374">
        <f t="shared" si="133"/>
        <v>17.192088738621834</v>
      </c>
      <c r="L304" s="375">
        <f t="shared" si="134"/>
        <v>1.5125971887116074</v>
      </c>
      <c r="M304" s="363">
        <f t="shared" si="118"/>
        <v>1.1352085795926619</v>
      </c>
      <c r="N304" s="366">
        <f t="shared" si="119"/>
        <v>0.49304569386472802</v>
      </c>
      <c r="O304" s="367">
        <f t="shared" si="120"/>
        <v>1.0151468297574646</v>
      </c>
      <c r="P304" s="368">
        <f t="shared" si="121"/>
        <v>0.2343828801086579</v>
      </c>
      <c r="Q304" s="369">
        <f t="shared" si="122"/>
        <v>-13.401302688803913</v>
      </c>
      <c r="R304" s="370">
        <f t="shared" si="123"/>
        <v>-106.79527907919781</v>
      </c>
      <c r="S304" s="372">
        <f t="shared" si="124"/>
        <v>73.204720920802188</v>
      </c>
      <c r="U304" s="345">
        <f t="shared" si="130"/>
        <v>20774</v>
      </c>
      <c r="V304" s="345">
        <f t="shared" si="131"/>
        <v>431559076</v>
      </c>
      <c r="X304" s="371">
        <f t="shared" si="125"/>
        <v>14.73774406351647</v>
      </c>
      <c r="Y304" s="372">
        <f t="shared" si="126"/>
        <v>-31.583189698432719</v>
      </c>
      <c r="AA304" s="371">
        <f t="shared" si="127"/>
        <v>17.881553160959239</v>
      </c>
      <c r="AB304" s="372">
        <f t="shared" si="128"/>
        <v>-75.212089380765121</v>
      </c>
      <c r="AD304">
        <f t="shared" si="132"/>
        <v>0</v>
      </c>
      <c r="AE304">
        <f t="shared" si="135"/>
        <v>0</v>
      </c>
    </row>
    <row r="305" spans="1:31" x14ac:dyDescent="0.2">
      <c r="A305" s="373">
        <v>20893</v>
      </c>
      <c r="B305" s="390">
        <f t="shared" si="129"/>
        <v>20.893000000000001</v>
      </c>
      <c r="C305" s="363">
        <f t="shared" si="110"/>
        <v>27.470417354170802</v>
      </c>
      <c r="D305" s="364">
        <f t="shared" si="111"/>
        <v>1.5343854860163992</v>
      </c>
      <c r="E305" s="364">
        <f t="shared" si="112"/>
        <v>1.2680863210240112</v>
      </c>
      <c r="F305" s="365">
        <f t="shared" si="113"/>
        <v>0.66228394242258681</v>
      </c>
      <c r="G305" s="364">
        <f t="shared" si="114"/>
        <v>1.0213420492711525</v>
      </c>
      <c r="H305" s="365">
        <f t="shared" si="115"/>
        <v>-0.20478899710876824</v>
      </c>
      <c r="I305" s="363">
        <f t="shared" si="116"/>
        <v>70905.540158318923</v>
      </c>
      <c r="J305" s="366">
        <f t="shared" si="117"/>
        <v>1.5707822235245767</v>
      </c>
      <c r="K305" s="374">
        <f t="shared" si="133"/>
        <v>17.290238176254302</v>
      </c>
      <c r="L305" s="375">
        <f t="shared" si="134"/>
        <v>1.512927931164239</v>
      </c>
      <c r="M305" s="363">
        <f t="shared" si="118"/>
        <v>1.136668599060553</v>
      </c>
      <c r="N305" s="366">
        <f t="shared" si="119"/>
        <v>0.49543097732483887</v>
      </c>
      <c r="O305" s="367">
        <f t="shared" si="120"/>
        <v>1.0153204553193178</v>
      </c>
      <c r="P305" s="368">
        <f t="shared" si="121"/>
        <v>0.23570978261754147</v>
      </c>
      <c r="Q305" s="369">
        <f t="shared" si="122"/>
        <v>-13.442932239524231</v>
      </c>
      <c r="R305" s="370">
        <f t="shared" si="123"/>
        <v>-106.9073696556279</v>
      </c>
      <c r="S305" s="372">
        <f t="shared" si="124"/>
        <v>73.092630344372097</v>
      </c>
      <c r="U305" s="345">
        <f t="shared" si="130"/>
        <v>20893</v>
      </c>
      <c r="V305" s="345">
        <f t="shared" si="131"/>
        <v>436517449</v>
      </c>
      <c r="X305" s="371">
        <f t="shared" si="125"/>
        <v>14.726413200010471</v>
      </c>
      <c r="Y305" s="372">
        <f t="shared" si="126"/>
        <v>-31.700910855941743</v>
      </c>
      <c r="AA305" s="371">
        <f t="shared" si="127"/>
        <v>17.851254473744923</v>
      </c>
      <c r="AB305" s="372">
        <f t="shared" si="128"/>
        <v>-75.206458799686175</v>
      </c>
      <c r="AD305">
        <f t="shared" si="132"/>
        <v>0</v>
      </c>
      <c r="AE305">
        <f t="shared" si="135"/>
        <v>0</v>
      </c>
    </row>
    <row r="306" spans="1:31" x14ac:dyDescent="0.2">
      <c r="A306" s="373">
        <v>21014.75</v>
      </c>
      <c r="B306" s="390">
        <f t="shared" si="129"/>
        <v>21.014749999999999</v>
      </c>
      <c r="C306" s="363">
        <f t="shared" si="110"/>
        <v>27.630284491210055</v>
      </c>
      <c r="D306" s="364">
        <f t="shared" si="111"/>
        <v>1.5345962492561935</v>
      </c>
      <c r="E306" s="364">
        <f t="shared" si="112"/>
        <v>1.2708855475893412</v>
      </c>
      <c r="F306" s="365">
        <f t="shared" si="113"/>
        <v>0.66510349760941068</v>
      </c>
      <c r="G306" s="364">
        <f t="shared" si="114"/>
        <v>1.0215888713199213</v>
      </c>
      <c r="H306" s="365">
        <f t="shared" si="115"/>
        <v>-0.20594899943905931</v>
      </c>
      <c r="I306" s="363">
        <f t="shared" si="116"/>
        <v>71318.728762758838</v>
      </c>
      <c r="J306" s="366">
        <f t="shared" si="117"/>
        <v>1.5707823052325751</v>
      </c>
      <c r="K306" s="374">
        <f t="shared" si="133"/>
        <v>17.390657708266261</v>
      </c>
      <c r="L306" s="375">
        <f t="shared" si="134"/>
        <v>1.5132624530900014</v>
      </c>
      <c r="M306" s="363">
        <f t="shared" si="118"/>
        <v>1.138169034148897</v>
      </c>
      <c r="N306" s="366">
        <f t="shared" si="119"/>
        <v>0.4978650353173405</v>
      </c>
      <c r="O306" s="367">
        <f t="shared" si="120"/>
        <v>1.015499110206854</v>
      </c>
      <c r="P306" s="368">
        <f t="shared" si="121"/>
        <v>0.23706707486578862</v>
      </c>
      <c r="Q306" s="369">
        <f t="shared" si="122"/>
        <v>-13.48523707105344</v>
      </c>
      <c r="R306" s="370">
        <f t="shared" si="123"/>
        <v>-107.02242647979143</v>
      </c>
      <c r="S306" s="372">
        <f t="shared" si="124"/>
        <v>72.977573520208566</v>
      </c>
      <c r="U306" s="345">
        <f t="shared" si="130"/>
        <v>21014.75</v>
      </c>
      <c r="V306" s="345">
        <f t="shared" si="131"/>
        <v>441619717.5625</v>
      </c>
      <c r="X306" s="371">
        <f t="shared" si="125"/>
        <v>14.714787293964831</v>
      </c>
      <c r="Y306" s="372">
        <f t="shared" si="126"/>
        <v>-31.821210093162321</v>
      </c>
      <c r="AA306" s="371">
        <f t="shared" si="127"/>
        <v>17.820575548261353</v>
      </c>
      <c r="AB306" s="372">
        <f t="shared" si="128"/>
        <v>-75.201216386629099</v>
      </c>
      <c r="AD306">
        <f t="shared" si="132"/>
        <v>0</v>
      </c>
      <c r="AE306">
        <f t="shared" si="135"/>
        <v>0</v>
      </c>
    </row>
    <row r="307" spans="1:31" x14ac:dyDescent="0.2">
      <c r="A307" s="373">
        <v>21136.5</v>
      </c>
      <c r="B307" s="390">
        <f t="shared" si="129"/>
        <v>21.136500000000002</v>
      </c>
      <c r="C307" s="363">
        <f t="shared" si="110"/>
        <v>27.790152841496852</v>
      </c>
      <c r="D307" s="364">
        <f t="shared" si="111"/>
        <v>1.5348045875907146</v>
      </c>
      <c r="E307" s="364">
        <f t="shared" si="112"/>
        <v>1.2736948331011579</v>
      </c>
      <c r="F307" s="365">
        <f t="shared" si="113"/>
        <v>0.66791063730192979</v>
      </c>
      <c r="G307" s="364">
        <f t="shared" si="114"/>
        <v>1.0218370673590309</v>
      </c>
      <c r="H307" s="365">
        <f t="shared" si="115"/>
        <v>-0.20710843981832006</v>
      </c>
      <c r="I307" s="363">
        <f t="shared" si="116"/>
        <v>71731.917367199232</v>
      </c>
      <c r="J307" s="366">
        <f t="shared" si="117"/>
        <v>1.5707823859992684</v>
      </c>
      <c r="K307" s="374">
        <f t="shared" si="133"/>
        <v>17.491079164032389</v>
      </c>
      <c r="L307" s="375">
        <f t="shared" si="134"/>
        <v>1.5135931338738973</v>
      </c>
      <c r="M307" s="363">
        <f t="shared" si="118"/>
        <v>1.139676194698277</v>
      </c>
      <c r="N307" s="366">
        <f t="shared" si="119"/>
        <v>0.50029266983918042</v>
      </c>
      <c r="O307" s="367">
        <f t="shared" si="120"/>
        <v>1.0156787935209937</v>
      </c>
      <c r="P307" s="368">
        <f t="shared" si="121"/>
        <v>0.23842408854429836</v>
      </c>
      <c r="Q307" s="369">
        <f t="shared" si="122"/>
        <v>-13.527255670712734</v>
      </c>
      <c r="R307" s="370">
        <f t="shared" si="123"/>
        <v>-107.13785955377502</v>
      </c>
      <c r="S307" s="372">
        <f t="shared" si="124"/>
        <v>72.862140446224984</v>
      </c>
      <c r="U307" s="345">
        <f t="shared" si="130"/>
        <v>21136.5</v>
      </c>
      <c r="V307" s="345">
        <f t="shared" si="131"/>
        <v>446751632.25</v>
      </c>
      <c r="X307" s="371">
        <f t="shared" si="125"/>
        <v>14.703128111402384</v>
      </c>
      <c r="Y307" s="372">
        <f t="shared" si="126"/>
        <v>-31.941361319908644</v>
      </c>
      <c r="AA307" s="371">
        <f t="shared" si="127"/>
        <v>17.790216131164506</v>
      </c>
      <c r="AB307" s="372">
        <f t="shared" si="128"/>
        <v>-75.196498233866365</v>
      </c>
      <c r="AD307">
        <f t="shared" si="132"/>
        <v>0</v>
      </c>
      <c r="AE307">
        <f t="shared" si="135"/>
        <v>0</v>
      </c>
    </row>
    <row r="308" spans="1:31" x14ac:dyDescent="0.2">
      <c r="A308" s="373">
        <v>21258.25</v>
      </c>
      <c r="B308" s="390">
        <f t="shared" si="129"/>
        <v>21.25825</v>
      </c>
      <c r="C308" s="363">
        <f t="shared" si="110"/>
        <v>27.950022384212602</v>
      </c>
      <c r="D308" s="364">
        <f t="shared" si="111"/>
        <v>1.5350105426119007</v>
      </c>
      <c r="E308" s="364">
        <f t="shared" si="112"/>
        <v>1.2765141111478524</v>
      </c>
      <c r="F308" s="365">
        <f t="shared" si="113"/>
        <v>0.6707053993753791</v>
      </c>
      <c r="G308" s="364">
        <f t="shared" si="114"/>
        <v>1.0220866363875318</v>
      </c>
      <c r="H308" s="365">
        <f t="shared" si="115"/>
        <v>-0.2082673155397948</v>
      </c>
      <c r="I308" s="363">
        <f t="shared" si="116"/>
        <v>72145.105971640092</v>
      </c>
      <c r="J308" s="366">
        <f t="shared" si="117"/>
        <v>1.5707824658408296</v>
      </c>
      <c r="K308" s="374">
        <f t="shared" si="133"/>
        <v>17.591502510607313</v>
      </c>
      <c r="L308" s="375">
        <f t="shared" si="134"/>
        <v>1.5139200392259322</v>
      </c>
      <c r="M308" s="363">
        <f t="shared" si="118"/>
        <v>1.141190054061906</v>
      </c>
      <c r="N308" s="366">
        <f t="shared" si="119"/>
        <v>0.50271387778329468</v>
      </c>
      <c r="O308" s="367">
        <f t="shared" si="120"/>
        <v>1.0158595050995916</v>
      </c>
      <c r="P308" s="368">
        <f t="shared" si="121"/>
        <v>0.23978082217806604</v>
      </c>
      <c r="Q308" s="369">
        <f t="shared" si="122"/>
        <v>-13.568991791649429</v>
      </c>
      <c r="R308" s="370">
        <f t="shared" si="123"/>
        <v>-107.2536649089319</v>
      </c>
      <c r="S308" s="372">
        <f t="shared" si="124"/>
        <v>72.746335091068104</v>
      </c>
      <c r="U308" s="345">
        <f t="shared" si="130"/>
        <v>21258.25</v>
      </c>
      <c r="V308" s="345">
        <f t="shared" si="131"/>
        <v>451913193.0625</v>
      </c>
      <c r="X308" s="371">
        <f t="shared" si="125"/>
        <v>14.691435952764316</v>
      </c>
      <c r="Y308" s="372">
        <f t="shared" si="126"/>
        <v>-32.061360594179696</v>
      </c>
      <c r="AA308" s="371">
        <f t="shared" si="127"/>
        <v>17.760172168865878</v>
      </c>
      <c r="AB308" s="372">
        <f t="shared" si="128"/>
        <v>-75.192304314752192</v>
      </c>
      <c r="AD308">
        <f t="shared" si="132"/>
        <v>0</v>
      </c>
      <c r="AE308">
        <f t="shared" si="135"/>
        <v>0</v>
      </c>
    </row>
    <row r="309" spans="1:31" x14ac:dyDescent="0.2">
      <c r="A309" s="373">
        <v>21380</v>
      </c>
      <c r="B309" s="390">
        <f t="shared" si="129"/>
        <v>21.38</v>
      </c>
      <c r="C309" s="363">
        <f t="shared" si="110"/>
        <v>28.109893099012197</v>
      </c>
      <c r="D309" s="364">
        <f t="shared" si="111"/>
        <v>1.5352141549663185</v>
      </c>
      <c r="E309" s="364">
        <f t="shared" si="112"/>
        <v>1.2793433156680329</v>
      </c>
      <c r="F309" s="365">
        <f t="shared" si="113"/>
        <v>0.67348782214515146</v>
      </c>
      <c r="G309" s="364">
        <f t="shared" si="114"/>
        <v>1.0223375773999179</v>
      </c>
      <c r="H309" s="365">
        <f t="shared" si="115"/>
        <v>-0.20942562390543029</v>
      </c>
      <c r="I309" s="363">
        <f t="shared" si="116"/>
        <v>72558.294576081389</v>
      </c>
      <c r="J309" s="366">
        <f t="shared" si="117"/>
        <v>1.5707825447730634</v>
      </c>
      <c r="K309" s="374">
        <f t="shared" si="133"/>
        <v>17.691927715793071</v>
      </c>
      <c r="L309" s="375">
        <f t="shared" si="134"/>
        <v>1.5142432333674156</v>
      </c>
      <c r="M309" s="363">
        <f t="shared" si="118"/>
        <v>1.1427105856160804</v>
      </c>
      <c r="N309" s="366">
        <f t="shared" si="119"/>
        <v>0.50512865636043935</v>
      </c>
      <c r="O309" s="367">
        <f t="shared" si="120"/>
        <v>1.0160412447797105</v>
      </c>
      <c r="P309" s="368">
        <f t="shared" si="121"/>
        <v>0.241137274294382</v>
      </c>
      <c r="Q309" s="369">
        <f t="shared" si="122"/>
        <v>-13.610449122292245</v>
      </c>
      <c r="R309" s="370">
        <f t="shared" si="123"/>
        <v>-107.36983860134507</v>
      </c>
      <c r="S309" s="372">
        <f t="shared" si="124"/>
        <v>72.630161398654934</v>
      </c>
      <c r="U309" s="345">
        <f t="shared" si="130"/>
        <v>21380</v>
      </c>
      <c r="V309" s="345">
        <f t="shared" si="131"/>
        <v>457104400</v>
      </c>
      <c r="X309" s="371">
        <f t="shared" si="125"/>
        <v>14.679711119085074</v>
      </c>
      <c r="Y309" s="372">
        <f t="shared" si="126"/>
        <v>-32.181204077459142</v>
      </c>
      <c r="AA309" s="371">
        <f t="shared" si="127"/>
        <v>17.730439671902307</v>
      </c>
      <c r="AB309" s="372">
        <f t="shared" si="128"/>
        <v>-75.188634523885923</v>
      </c>
      <c r="AD309">
        <f t="shared" si="132"/>
        <v>0</v>
      </c>
      <c r="AE309">
        <f t="shared" si="135"/>
        <v>0</v>
      </c>
    </row>
    <row r="310" spans="1:31" x14ac:dyDescent="0.2">
      <c r="A310" s="373">
        <v>21504.5</v>
      </c>
      <c r="B310" s="390">
        <f t="shared" si="129"/>
        <v>21.5045</v>
      </c>
      <c r="C310" s="363">
        <f t="shared" si="110"/>
        <v>28.273376048029267</v>
      </c>
      <c r="D310" s="364">
        <f t="shared" si="111"/>
        <v>1.5354199851198107</v>
      </c>
      <c r="E310" s="364">
        <f t="shared" si="112"/>
        <v>1.2822466210527752</v>
      </c>
      <c r="F310" s="365">
        <f t="shared" si="113"/>
        <v>0.67632037209702434</v>
      </c>
      <c r="G310" s="364">
        <f t="shared" si="114"/>
        <v>1.0225956042499598</v>
      </c>
      <c r="H310" s="365">
        <f t="shared" si="115"/>
        <v>-0.21060950576858944</v>
      </c>
      <c r="I310" s="363">
        <f t="shared" si="116"/>
        <v>72980.815982676868</v>
      </c>
      <c r="J310" s="366">
        <f t="shared" si="117"/>
        <v>1.5707826245638847</v>
      </c>
      <c r="K310" s="374">
        <f t="shared" si="133"/>
        <v>17.794623141371694</v>
      </c>
      <c r="L310" s="375">
        <f t="shared" si="134"/>
        <v>1.5145699550832985</v>
      </c>
      <c r="M310" s="363">
        <f t="shared" si="118"/>
        <v>1.1442723340637353</v>
      </c>
      <c r="N310" s="366">
        <f t="shared" si="119"/>
        <v>0.50759132677462471</v>
      </c>
      <c r="O310" s="367">
        <f t="shared" si="120"/>
        <v>1.0162281524890671</v>
      </c>
      <c r="P310" s="368">
        <f t="shared" si="121"/>
        <v>0.24252407230016271</v>
      </c>
      <c r="Q310" s="369">
        <f t="shared" si="122"/>
        <v>-13.652558330436293</v>
      </c>
      <c r="R310" s="370">
        <f t="shared" si="123"/>
        <v>-107.48901316738656</v>
      </c>
      <c r="S310" s="372">
        <f t="shared" si="124"/>
        <v>72.51098683261344</v>
      </c>
      <c r="U310" s="345">
        <f t="shared" si="130"/>
        <v>21504.5</v>
      </c>
      <c r="V310" s="345">
        <f t="shared" si="131"/>
        <v>462443520.25</v>
      </c>
      <c r="X310" s="371">
        <f t="shared" si="125"/>
        <v>14.667687977186453</v>
      </c>
      <c r="Y310" s="372">
        <f t="shared" si="126"/>
        <v>-32.303589494945484</v>
      </c>
      <c r="AA310" s="371">
        <f t="shared" si="127"/>
        <v>17.700353605656876</v>
      </c>
      <c r="AB310" s="372">
        <f t="shared" si="128"/>
        <v>-75.18542367244109</v>
      </c>
      <c r="AD310">
        <f t="shared" si="132"/>
        <v>0</v>
      </c>
      <c r="AE310">
        <f t="shared" si="135"/>
        <v>0</v>
      </c>
    </row>
    <row r="311" spans="1:31" x14ac:dyDescent="0.2">
      <c r="A311" s="373">
        <v>21629</v>
      </c>
      <c r="B311" s="390">
        <f t="shared" si="129"/>
        <v>21.629000000000001</v>
      </c>
      <c r="C311" s="363">
        <f t="shared" si="110"/>
        <v>28.436860181105015</v>
      </c>
      <c r="D311" s="364">
        <f t="shared" si="111"/>
        <v>1.5356234486377038</v>
      </c>
      <c r="E311" s="364">
        <f t="shared" si="112"/>
        <v>1.2851601678063211</v>
      </c>
      <c r="F311" s="365">
        <f t="shared" si="113"/>
        <v>0.67914010141499959</v>
      </c>
      <c r="G311" s="364">
        <f t="shared" si="114"/>
        <v>1.0228550636214533</v>
      </c>
      <c r="H311" s="365">
        <f t="shared" si="115"/>
        <v>-0.21179278867803566</v>
      </c>
      <c r="I311" s="363">
        <f t="shared" si="116"/>
        <v>73403.337389272798</v>
      </c>
      <c r="J311" s="366">
        <f t="shared" si="117"/>
        <v>1.5707827034361286</v>
      </c>
      <c r="K311" s="374">
        <f t="shared" si="133"/>
        <v>17.897320444675188</v>
      </c>
      <c r="L311" s="375">
        <f t="shared" si="134"/>
        <v>1.5148929272844223</v>
      </c>
      <c r="M311" s="363">
        <f t="shared" si="118"/>
        <v>1.1458410032901649</v>
      </c>
      <c r="N311" s="366">
        <f t="shared" si="119"/>
        <v>0.51004726920256338</v>
      </c>
      <c r="O311" s="367">
        <f t="shared" si="120"/>
        <v>1.0164161349213456</v>
      </c>
      <c r="P311" s="368">
        <f t="shared" si="121"/>
        <v>0.24391057282006862</v>
      </c>
      <c r="Q311" s="369">
        <f t="shared" si="122"/>
        <v>-13.694383611602705</v>
      </c>
      <c r="R311" s="370">
        <f t="shared" si="123"/>
        <v>-107.60856463472886</v>
      </c>
      <c r="S311" s="372">
        <f t="shared" si="124"/>
        <v>72.391435365271136</v>
      </c>
      <c r="U311" s="345">
        <f t="shared" si="130"/>
        <v>21629</v>
      </c>
      <c r="V311" s="345">
        <f t="shared" si="131"/>
        <v>467813641</v>
      </c>
      <c r="X311" s="371">
        <f t="shared" si="125"/>
        <v>14.655631305727624</v>
      </c>
      <c r="Y311" s="372">
        <f t="shared" si="126"/>
        <v>-32.42580420595538</v>
      </c>
      <c r="AA311" s="371">
        <f t="shared" si="127"/>
        <v>17.670584995949294</v>
      </c>
      <c r="AB311" s="372">
        <f t="shared" si="128"/>
        <v>-75.182760428773435</v>
      </c>
      <c r="AD311">
        <f t="shared" si="132"/>
        <v>0</v>
      </c>
      <c r="AE311">
        <f t="shared" si="135"/>
        <v>0</v>
      </c>
    </row>
    <row r="312" spans="1:31" x14ac:dyDescent="0.2">
      <c r="A312" s="373">
        <v>21753.5</v>
      </c>
      <c r="B312" s="390">
        <f t="shared" si="129"/>
        <v>21.753499999999999</v>
      </c>
      <c r="C312" s="363">
        <f t="shared" si="110"/>
        <v>28.600345477934631</v>
      </c>
      <c r="D312" s="364">
        <f t="shared" si="111"/>
        <v>1.5358245860874939</v>
      </c>
      <c r="E312" s="364">
        <f t="shared" si="112"/>
        <v>1.288083886433105</v>
      </c>
      <c r="F312" s="365">
        <f t="shared" si="113"/>
        <v>0.68194705241020437</v>
      </c>
      <c r="G312" s="364">
        <f t="shared" si="114"/>
        <v>1.0231159544245485</v>
      </c>
      <c r="H312" s="365">
        <f t="shared" si="115"/>
        <v>-0.21297546977714651</v>
      </c>
      <c r="I312" s="363">
        <f t="shared" si="116"/>
        <v>73825.858795869179</v>
      </c>
      <c r="J312" s="366">
        <f t="shared" si="117"/>
        <v>1.5707827814055664</v>
      </c>
      <c r="K312" s="374">
        <f t="shared" si="133"/>
        <v>18.000019593564037</v>
      </c>
      <c r="L312" s="375">
        <f t="shared" si="134"/>
        <v>1.5152122140814168</v>
      </c>
      <c r="M312" s="363">
        <f t="shared" si="118"/>
        <v>1.1474165649105275</v>
      </c>
      <c r="N312" s="366">
        <f t="shared" si="119"/>
        <v>0.51249648167240491</v>
      </c>
      <c r="O312" s="367">
        <f t="shared" si="120"/>
        <v>1.0166051918997645</v>
      </c>
      <c r="P312" s="368">
        <f t="shared" si="121"/>
        <v>0.24529677428683644</v>
      </c>
      <c r="Q312" s="369">
        <f t="shared" si="122"/>
        <v>-13.7359287087917</v>
      </c>
      <c r="R312" s="370">
        <f t="shared" si="123"/>
        <v>-107.72848886465559</v>
      </c>
      <c r="S312" s="372">
        <f t="shared" si="124"/>
        <v>72.271511135344412</v>
      </c>
      <c r="U312" s="345">
        <f t="shared" si="130"/>
        <v>21753.5</v>
      </c>
      <c r="V312" s="345">
        <f t="shared" si="131"/>
        <v>473214762.25</v>
      </c>
      <c r="X312" s="371">
        <f t="shared" si="125"/>
        <v>14.643541428002214</v>
      </c>
      <c r="Y312" s="372">
        <f t="shared" si="126"/>
        <v>-32.547844425145236</v>
      </c>
      <c r="AA312" s="371">
        <f t="shared" si="127"/>
        <v>17.641129776485712</v>
      </c>
      <c r="AB312" s="372">
        <f t="shared" si="128"/>
        <v>-75.180644439510331</v>
      </c>
      <c r="AD312">
        <f t="shared" si="132"/>
        <v>0</v>
      </c>
      <c r="AE312">
        <f t="shared" si="135"/>
        <v>0</v>
      </c>
    </row>
    <row r="313" spans="1:31" x14ac:dyDescent="0.2">
      <c r="A313" s="373">
        <v>21878</v>
      </c>
      <c r="B313" s="390">
        <f t="shared" si="129"/>
        <v>21.878</v>
      </c>
      <c r="C313" s="363">
        <f t="shared" si="110"/>
        <v>28.763831918674803</v>
      </c>
      <c r="D313" s="364">
        <f t="shared" si="111"/>
        <v>1.5360234371151376</v>
      </c>
      <c r="E313" s="364">
        <f t="shared" si="112"/>
        <v>1.2910177078255671</v>
      </c>
      <c r="F313" s="365">
        <f t="shared" si="113"/>
        <v>0.68474126781659794</v>
      </c>
      <c r="G313" s="364">
        <f t="shared" si="114"/>
        <v>1.0233782755644965</v>
      </c>
      <c r="H313" s="365">
        <f t="shared" si="115"/>
        <v>-0.21415754621893865</v>
      </c>
      <c r="I313" s="363">
        <f t="shared" si="116"/>
        <v>74248.380202466025</v>
      </c>
      <c r="J313" s="366">
        <f t="shared" si="117"/>
        <v>1.5707828584876109</v>
      </c>
      <c r="K313" s="374">
        <f t="shared" si="133"/>
        <v>18.102720556627492</v>
      </c>
      <c r="L313" s="375">
        <f t="shared" si="134"/>
        <v>1.515527878133099</v>
      </c>
      <c r="M313" s="363">
        <f t="shared" si="118"/>
        <v>1.1489989905712961</v>
      </c>
      <c r="N313" s="366">
        <f t="shared" si="119"/>
        <v>0.51493896254605365</v>
      </c>
      <c r="O313" s="367">
        <f t="shared" si="120"/>
        <v>1.0167953232466878</v>
      </c>
      <c r="P313" s="368">
        <f t="shared" si="121"/>
        <v>0.24668267513575678</v>
      </c>
      <c r="Q313" s="369">
        <f t="shared" si="122"/>
        <v>-13.777197300116047</v>
      </c>
      <c r="R313" s="370">
        <f t="shared" si="123"/>
        <v>-107.84878174440726</v>
      </c>
      <c r="S313" s="372">
        <f t="shared" si="124"/>
        <v>72.151218255592738</v>
      </c>
      <c r="U313" s="345">
        <f t="shared" si="130"/>
        <v>21878</v>
      </c>
      <c r="V313" s="345">
        <f t="shared" si="131"/>
        <v>478646884</v>
      </c>
      <c r="X313" s="371">
        <f t="shared" si="125"/>
        <v>14.631418667606271</v>
      </c>
      <c r="Y313" s="372">
        <f t="shared" si="126"/>
        <v>-32.669706469456436</v>
      </c>
      <c r="AA313" s="371">
        <f t="shared" si="127"/>
        <v>17.611983945557309</v>
      </c>
      <c r="AB313" s="372">
        <f t="shared" si="128"/>
        <v>-75.179075274950847</v>
      </c>
      <c r="AD313">
        <f t="shared" si="132"/>
        <v>0</v>
      </c>
      <c r="AE313">
        <f t="shared" si="135"/>
        <v>0</v>
      </c>
    </row>
    <row r="314" spans="1:31" x14ac:dyDescent="0.2">
      <c r="A314" s="373">
        <v>22005.25</v>
      </c>
      <c r="B314" s="390">
        <f t="shared" si="129"/>
        <v>22.00525</v>
      </c>
      <c r="C314" s="363">
        <f t="shared" si="110"/>
        <v>28.930930667599387</v>
      </c>
      <c r="D314" s="364">
        <f t="shared" si="111"/>
        <v>1.5362243580332733</v>
      </c>
      <c r="E314" s="364">
        <f t="shared" si="112"/>
        <v>1.2940267009294995</v>
      </c>
      <c r="F314" s="365">
        <f t="shared" si="113"/>
        <v>0.68758408709552121</v>
      </c>
      <c r="G314" s="364">
        <f t="shared" si="114"/>
        <v>1.0236478678782293</v>
      </c>
      <c r="H314" s="365">
        <f t="shared" si="115"/>
        <v>-0.21536510499074321</v>
      </c>
      <c r="I314" s="363">
        <f t="shared" si="116"/>
        <v>74680.234411217025</v>
      </c>
      <c r="J314" s="366">
        <f t="shared" si="117"/>
        <v>1.5707829363709389</v>
      </c>
      <c r="K314" s="374">
        <f t="shared" si="133"/>
        <v>18.207691857627491</v>
      </c>
      <c r="L314" s="375">
        <f t="shared" si="134"/>
        <v>1.5158468347742655</v>
      </c>
      <c r="M314" s="363">
        <f t="shared" si="118"/>
        <v>1.1506234330659473</v>
      </c>
      <c r="N314" s="366">
        <f t="shared" si="119"/>
        <v>0.51742843616772671</v>
      </c>
      <c r="O314" s="367">
        <f t="shared" si="120"/>
        <v>1.0169907643233291</v>
      </c>
      <c r="P314" s="368">
        <f t="shared" si="121"/>
        <v>0.24809887597485752</v>
      </c>
      <c r="Q314" s="369">
        <f t="shared" si="122"/>
        <v>-13.819095474412961</v>
      </c>
      <c r="R314" s="370">
        <f t="shared" si="123"/>
        <v>-107.97210839546482</v>
      </c>
      <c r="S314" s="372">
        <f t="shared" si="124"/>
        <v>72.027891604535185</v>
      </c>
      <c r="U314" s="345">
        <f t="shared" si="130"/>
        <v>22005.25</v>
      </c>
      <c r="V314" s="345">
        <f t="shared" si="131"/>
        <v>484231027.5625</v>
      </c>
      <c r="X314" s="371">
        <f t="shared" si="125"/>
        <v>14.618994492307246</v>
      </c>
      <c r="Y314" s="372">
        <f t="shared" si="126"/>
        <v>-32.794072394329028</v>
      </c>
      <c r="AA314" s="371">
        <f t="shared" si="127"/>
        <v>17.582509946559416</v>
      </c>
      <c r="AB314" s="372">
        <f t="shared" si="128"/>
        <v>-75.178036001135752</v>
      </c>
      <c r="AD314">
        <f t="shared" si="132"/>
        <v>0</v>
      </c>
      <c r="AE314">
        <f t="shared" si="135"/>
        <v>0</v>
      </c>
    </row>
    <row r="315" spans="1:31" x14ac:dyDescent="0.2">
      <c r="A315" s="373">
        <v>22132.5</v>
      </c>
      <c r="B315" s="390">
        <f t="shared" si="129"/>
        <v>22.1325</v>
      </c>
      <c r="C315" s="363">
        <f t="shared" si="110"/>
        <v>29.098030571029099</v>
      </c>
      <c r="D315" s="364">
        <f t="shared" si="111"/>
        <v>1.5364229713209736</v>
      </c>
      <c r="E315" s="364">
        <f t="shared" si="112"/>
        <v>1.2970461032963407</v>
      </c>
      <c r="F315" s="365">
        <f t="shared" si="113"/>
        <v>0.69041369351742488</v>
      </c>
      <c r="G315" s="364">
        <f t="shared" si="114"/>
        <v>1.023918952086128</v>
      </c>
      <c r="H315" s="365">
        <f t="shared" si="115"/>
        <v>-0.21657202611540569</v>
      </c>
      <c r="I315" s="363">
        <f t="shared" si="116"/>
        <v>75112.088619968505</v>
      </c>
      <c r="J315" s="366">
        <f t="shared" si="117"/>
        <v>1.5707830133586922</v>
      </c>
      <c r="K315" s="374">
        <f t="shared" si="133"/>
        <v>18.312664989720933</v>
      </c>
      <c r="L315" s="375">
        <f t="shared" si="134"/>
        <v>1.5161621347563123</v>
      </c>
      <c r="M315" s="363">
        <f t="shared" si="118"/>
        <v>1.1522549863929379</v>
      </c>
      <c r="N315" s="366">
        <f t="shared" si="119"/>
        <v>0.51991087512044198</v>
      </c>
      <c r="O315" s="367">
        <f t="shared" si="120"/>
        <v>1.0171873273767569</v>
      </c>
      <c r="P315" s="368">
        <f t="shared" si="121"/>
        <v>0.24951475947204413</v>
      </c>
      <c r="Q315" s="369">
        <f t="shared" si="122"/>
        <v>-13.860712361025486</v>
      </c>
      <c r="R315" s="370">
        <f t="shared" si="123"/>
        <v>-108.09581155611869</v>
      </c>
      <c r="S315" s="372">
        <f t="shared" si="124"/>
        <v>71.90418844388131</v>
      </c>
      <c r="U315" s="345">
        <f t="shared" si="130"/>
        <v>22132.5</v>
      </c>
      <c r="V315" s="345">
        <f t="shared" si="131"/>
        <v>489847556.25</v>
      </c>
      <c r="X315" s="371">
        <f t="shared" si="125"/>
        <v>14.606536649838526</v>
      </c>
      <c r="Y315" s="372">
        <f t="shared" si="126"/>
        <v>-32.918244722181889</v>
      </c>
      <c r="AA315" s="371">
        <f t="shared" si="127"/>
        <v>17.553350902415609</v>
      </c>
      <c r="AB315" s="372">
        <f t="shared" si="128"/>
        <v>-75.177566833936837</v>
      </c>
      <c r="AD315">
        <f t="shared" si="132"/>
        <v>0</v>
      </c>
      <c r="AE315">
        <f t="shared" si="135"/>
        <v>0</v>
      </c>
    </row>
    <row r="316" spans="1:31" x14ac:dyDescent="0.2">
      <c r="A316" s="373">
        <v>22259.75</v>
      </c>
      <c r="B316" s="390">
        <f t="shared" si="129"/>
        <v>22.25975</v>
      </c>
      <c r="C316" s="363">
        <f t="shared" si="110"/>
        <v>29.265131609187744</v>
      </c>
      <c r="D316" s="364">
        <f t="shared" si="111"/>
        <v>1.5366193164914652</v>
      </c>
      <c r="E316" s="364">
        <f t="shared" si="112"/>
        <v>1.3000758424001246</v>
      </c>
      <c r="F316" s="365">
        <f t="shared" si="113"/>
        <v>0.69323013398826749</v>
      </c>
      <c r="G316" s="364">
        <f t="shared" si="114"/>
        <v>1.0241915270035642</v>
      </c>
      <c r="H316" s="365">
        <f t="shared" si="115"/>
        <v>-0.21777830658450323</v>
      </c>
      <c r="I316" s="363">
        <f t="shared" si="116"/>
        <v>75543.942828720421</v>
      </c>
      <c r="J316" s="366">
        <f t="shared" si="117"/>
        <v>1.5707830894662296</v>
      </c>
      <c r="K316" s="374">
        <f t="shared" si="133"/>
        <v>18.41763992159834</v>
      </c>
      <c r="L316" s="375">
        <f t="shared" si="134"/>
        <v>1.5164738405415326</v>
      </c>
      <c r="M316" s="363">
        <f t="shared" si="118"/>
        <v>1.1538936203890837</v>
      </c>
      <c r="N316" s="366">
        <f t="shared" si="119"/>
        <v>0.52238627871317667</v>
      </c>
      <c r="O316" s="367">
        <f t="shared" si="120"/>
        <v>1.0173850122145505</v>
      </c>
      <c r="P316" s="368">
        <f t="shared" si="121"/>
        <v>0.25093032396495729</v>
      </c>
      <c r="Q316" s="369">
        <f t="shared" si="122"/>
        <v>-13.902051685981851</v>
      </c>
      <c r="R316" s="370">
        <f t="shared" si="123"/>
        <v>-108.21988691764211</v>
      </c>
      <c r="S316" s="372">
        <f t="shared" si="124"/>
        <v>71.780113082357886</v>
      </c>
      <c r="U316" s="345">
        <f t="shared" si="130"/>
        <v>22259.75</v>
      </c>
      <c r="V316" s="345">
        <f t="shared" si="131"/>
        <v>495496470.0625</v>
      </c>
      <c r="X316" s="371">
        <f t="shared" si="125"/>
        <v>14.594045486185873</v>
      </c>
      <c r="Y316" s="372">
        <f t="shared" si="126"/>
        <v>-33.042219835476516</v>
      </c>
      <c r="AA316" s="371">
        <f t="shared" si="127"/>
        <v>17.524502741111899</v>
      </c>
      <c r="AB316" s="372">
        <f t="shared" si="128"/>
        <v>-75.177667082165613</v>
      </c>
      <c r="AD316">
        <f t="shared" si="132"/>
        <v>0</v>
      </c>
      <c r="AE316">
        <f t="shared" si="135"/>
        <v>0</v>
      </c>
    </row>
    <row r="317" spans="1:31" x14ac:dyDescent="0.2">
      <c r="A317" s="373">
        <v>22387</v>
      </c>
      <c r="B317" s="390">
        <f t="shared" si="129"/>
        <v>22.387</v>
      </c>
      <c r="C317" s="363">
        <f t="shared" si="110"/>
        <v>29.432233762748091</v>
      </c>
      <c r="D317" s="364">
        <f t="shared" si="111"/>
        <v>1.5368134321613347</v>
      </c>
      <c r="E317" s="364">
        <f t="shared" si="112"/>
        <v>1.3031158461422376</v>
      </c>
      <c r="F317" s="365">
        <f t="shared" si="113"/>
        <v>0.6960334558140292</v>
      </c>
      <c r="G317" s="364">
        <f t="shared" si="114"/>
        <v>1.0244655914406589</v>
      </c>
      <c r="H317" s="365">
        <f t="shared" si="115"/>
        <v>-0.21898394340026378</v>
      </c>
      <c r="I317" s="363">
        <f t="shared" si="116"/>
        <v>75975.797037472774</v>
      </c>
      <c r="J317" s="366">
        <f t="shared" si="117"/>
        <v>1.5707831647085611</v>
      </c>
      <c r="K317" s="374">
        <f t="shared" si="133"/>
        <v>18.522616622659456</v>
      </c>
      <c r="L317" s="375">
        <f t="shared" si="134"/>
        <v>1.5167820131790331</v>
      </c>
      <c r="M317" s="363">
        <f t="shared" si="118"/>
        <v>1.155539304931761</v>
      </c>
      <c r="N317" s="366">
        <f t="shared" si="119"/>
        <v>0.52485464660369763</v>
      </c>
      <c r="O317" s="367">
        <f t="shared" si="120"/>
        <v>1.0175838186433681</v>
      </c>
      <c r="P317" s="368">
        <f t="shared" si="121"/>
        <v>0.25234556779407274</v>
      </c>
      <c r="Q317" s="369">
        <f t="shared" si="122"/>
        <v>-13.943117110376267</v>
      </c>
      <c r="R317" s="370">
        <f t="shared" si="123"/>
        <v>-108.34433019872139</v>
      </c>
      <c r="S317" s="372">
        <f t="shared" si="124"/>
        <v>71.655669801278606</v>
      </c>
      <c r="U317" s="345">
        <f t="shared" si="130"/>
        <v>22387</v>
      </c>
      <c r="V317" s="345">
        <f t="shared" si="131"/>
        <v>501177769</v>
      </c>
      <c r="X317" s="371">
        <f t="shared" si="125"/>
        <v>14.581521347331027</v>
      </c>
      <c r="Y317" s="372">
        <f t="shared" si="126"/>
        <v>-33.165994217608258</v>
      </c>
      <c r="AA317" s="371">
        <f t="shared" si="127"/>
        <v>17.495961455572335</v>
      </c>
      <c r="AB317" s="372">
        <f t="shared" si="128"/>
        <v>-75.178335981113122</v>
      </c>
      <c r="AD317">
        <f t="shared" si="132"/>
        <v>0</v>
      </c>
      <c r="AE317">
        <f t="shared" si="135"/>
        <v>0</v>
      </c>
    </row>
    <row r="318" spans="1:31" x14ac:dyDescent="0.2">
      <c r="A318" s="373">
        <v>22517.5</v>
      </c>
      <c r="B318" s="390">
        <f t="shared" si="129"/>
        <v>22.517499999999998</v>
      </c>
      <c r="C318" s="363">
        <f t="shared" si="110"/>
        <v>29.603604889983714</v>
      </c>
      <c r="D318" s="364">
        <f t="shared" si="111"/>
        <v>1.5370102294895689</v>
      </c>
      <c r="E318" s="364">
        <f t="shared" si="112"/>
        <v>1.3062440785742697</v>
      </c>
      <c r="F318" s="365">
        <f t="shared" si="113"/>
        <v>0.69889479970370205</v>
      </c>
      <c r="G318" s="364">
        <f t="shared" si="114"/>
        <v>1.0247482013765581</v>
      </c>
      <c r="H318" s="365">
        <f t="shared" si="115"/>
        <v>-0.22021970086117565</v>
      </c>
      <c r="I318" s="363">
        <f t="shared" si="116"/>
        <v>76418.680921498206</v>
      </c>
      <c r="J318" s="366">
        <f t="shared" si="117"/>
        <v>1.5707832409893321</v>
      </c>
      <c r="K318" s="374">
        <f t="shared" si="133"/>
        <v>18.630276263751732</v>
      </c>
      <c r="L318" s="375">
        <f t="shared" si="134"/>
        <v>1.5170944494740231</v>
      </c>
      <c r="M318" s="363">
        <f t="shared" si="118"/>
        <v>1.1572343121573263</v>
      </c>
      <c r="N318" s="366">
        <f t="shared" si="119"/>
        <v>0.52737874975653998</v>
      </c>
      <c r="O318" s="367">
        <f t="shared" si="120"/>
        <v>1.0177888673650197</v>
      </c>
      <c r="P318" s="368">
        <f t="shared" si="121"/>
        <v>0.25379662255138574</v>
      </c>
      <c r="Q318" s="369">
        <f t="shared" si="122"/>
        <v>-13.984950641803772</v>
      </c>
      <c r="R318" s="370">
        <f t="shared" si="123"/>
        <v>-108.47232947423974</v>
      </c>
      <c r="S318" s="372">
        <f t="shared" si="124"/>
        <v>71.527670525760257</v>
      </c>
      <c r="U318" s="345">
        <f t="shared" si="130"/>
        <v>22517.5</v>
      </c>
      <c r="V318" s="345">
        <f t="shared" si="131"/>
        <v>507037806.25</v>
      </c>
      <c r="X318" s="371">
        <f t="shared" si="125"/>
        <v>14.568643451597097</v>
      </c>
      <c r="Y318" s="372">
        <f t="shared" si="126"/>
        <v>-33.292717764963207</v>
      </c>
      <c r="AA318" s="371">
        <f t="shared" si="127"/>
        <v>17.467005819878754</v>
      </c>
      <c r="AB318" s="372">
        <f t="shared" si="128"/>
        <v>-75.179611709276514</v>
      </c>
      <c r="AD318">
        <f t="shared" si="132"/>
        <v>0</v>
      </c>
      <c r="AE318">
        <f t="shared" si="135"/>
        <v>0</v>
      </c>
    </row>
    <row r="319" spans="1:31" x14ac:dyDescent="0.2">
      <c r="A319" s="373">
        <v>22648</v>
      </c>
      <c r="B319" s="390">
        <f t="shared" si="129"/>
        <v>22.648</v>
      </c>
      <c r="C319" s="363">
        <f t="shared" si="110"/>
        <v>29.774977150545173</v>
      </c>
      <c r="D319" s="364">
        <f t="shared" si="111"/>
        <v>1.5372047614597644</v>
      </c>
      <c r="E319" s="364">
        <f t="shared" si="112"/>
        <v>1.3093829544522615</v>
      </c>
      <c r="F319" s="365">
        <f t="shared" si="113"/>
        <v>0.70174244828705024</v>
      </c>
      <c r="G319" s="364">
        <f t="shared" si="114"/>
        <v>1.0250323753375519</v>
      </c>
      <c r="H319" s="365">
        <f t="shared" si="115"/>
        <v>-0.22145477501900129</v>
      </c>
      <c r="I319" s="363">
        <f t="shared" si="116"/>
        <v>76861.564805524089</v>
      </c>
      <c r="J319" s="366">
        <f t="shared" si="117"/>
        <v>1.5707833163910287</v>
      </c>
      <c r="K319" s="374">
        <f t="shared" si="133"/>
        <v>18.737937702567187</v>
      </c>
      <c r="L319" s="375">
        <f t="shared" si="134"/>
        <v>1.5174032955061112</v>
      </c>
      <c r="M319" s="363">
        <f t="shared" si="118"/>
        <v>1.1589366706408897</v>
      </c>
      <c r="N319" s="366">
        <f t="shared" si="119"/>
        <v>0.52989545360979462</v>
      </c>
      <c r="O319" s="367">
        <f t="shared" si="120"/>
        <v>1.0179950952859618</v>
      </c>
      <c r="P319" s="368">
        <f t="shared" si="121"/>
        <v>0.25524733652992126</v>
      </c>
      <c r="Q319" s="369">
        <f t="shared" si="122"/>
        <v>-14.026503698761692</v>
      </c>
      <c r="R319" s="370">
        <f t="shared" si="123"/>
        <v>-108.6007066698933</v>
      </c>
      <c r="S319" s="372">
        <f t="shared" si="124"/>
        <v>71.399293330106701</v>
      </c>
      <c r="U319" s="345">
        <f t="shared" si="130"/>
        <v>22648</v>
      </c>
      <c r="V319" s="345">
        <f t="shared" si="131"/>
        <v>512931904</v>
      </c>
      <c r="X319" s="371">
        <f t="shared" si="125"/>
        <v>14.55573161147008</v>
      </c>
      <c r="Y319" s="372">
        <f t="shared" si="126"/>
        <v>-33.419223020224528</v>
      </c>
      <c r="AA319" s="371">
        <f t="shared" si="127"/>
        <v>17.438364603047852</v>
      </c>
      <c r="AB319" s="372">
        <f t="shared" si="128"/>
        <v>-75.181483649668763</v>
      </c>
      <c r="AD319">
        <f t="shared" si="132"/>
        <v>0</v>
      </c>
      <c r="AE319">
        <f t="shared" si="135"/>
        <v>0</v>
      </c>
    </row>
    <row r="320" spans="1:31" x14ac:dyDescent="0.2">
      <c r="A320" s="373">
        <v>22778.5</v>
      </c>
      <c r="B320" s="390">
        <f t="shared" si="129"/>
        <v>22.778500000000001</v>
      </c>
      <c r="C320" s="363">
        <f t="shared" si="110"/>
        <v>29.94635052497561</v>
      </c>
      <c r="D320" s="364">
        <f t="shared" si="111"/>
        <v>1.5373970669488255</v>
      </c>
      <c r="E320" s="364">
        <f t="shared" si="112"/>
        <v>1.3125323974159151</v>
      </c>
      <c r="F320" s="365">
        <f t="shared" si="113"/>
        <v>0.70457645380122014</v>
      </c>
      <c r="G320" s="364">
        <f t="shared" si="114"/>
        <v>1.0253181120231991</v>
      </c>
      <c r="H320" s="365">
        <f t="shared" si="115"/>
        <v>-0.2226891626754755</v>
      </c>
      <c r="I320" s="363">
        <f t="shared" si="116"/>
        <v>77304.448689550394</v>
      </c>
      <c r="J320" s="366">
        <f t="shared" si="117"/>
        <v>1.5707833909287598</v>
      </c>
      <c r="K320" s="374">
        <f t="shared" si="133"/>
        <v>18.845600908295637</v>
      </c>
      <c r="L320" s="375">
        <f t="shared" si="134"/>
        <v>1.517708612748405</v>
      </c>
      <c r="M320" s="363">
        <f t="shared" si="118"/>
        <v>1.1606463480354501</v>
      </c>
      <c r="N320" s="366">
        <f t="shared" si="119"/>
        <v>0.53240475891145245</v>
      </c>
      <c r="O320" s="367">
        <f t="shared" si="120"/>
        <v>1.0182025021946588</v>
      </c>
      <c r="P320" s="368">
        <f t="shared" si="121"/>
        <v>0.25669770794909802</v>
      </c>
      <c r="Q320" s="369">
        <f t="shared" si="122"/>
        <v>-14.067780026317108</v>
      </c>
      <c r="R320" s="370">
        <f t="shared" si="123"/>
        <v>-108.72945725650251</v>
      </c>
      <c r="S320" s="372">
        <f t="shared" si="124"/>
        <v>71.270542743497487</v>
      </c>
      <c r="U320" s="345">
        <f t="shared" si="130"/>
        <v>22778.5</v>
      </c>
      <c r="V320" s="345">
        <f t="shared" si="131"/>
        <v>518860062.25</v>
      </c>
      <c r="X320" s="371">
        <f t="shared" si="125"/>
        <v>14.542786199613252</v>
      </c>
      <c r="Y320" s="372">
        <f t="shared" si="126"/>
        <v>-33.545506504965033</v>
      </c>
      <c r="AA320" s="371">
        <f t="shared" si="127"/>
        <v>17.410033687349266</v>
      </c>
      <c r="AB320" s="372">
        <f t="shared" si="128"/>
        <v>-75.183950751537495</v>
      </c>
      <c r="AD320">
        <f t="shared" si="132"/>
        <v>0</v>
      </c>
      <c r="AE320">
        <f t="shared" si="135"/>
        <v>0</v>
      </c>
    </row>
    <row r="321" spans="1:31" x14ac:dyDescent="0.2">
      <c r="A321" s="373">
        <v>22909</v>
      </c>
      <c r="B321" s="390">
        <f t="shared" si="129"/>
        <v>22.908999999999999</v>
      </c>
      <c r="C321" s="363">
        <f t="shared" si="110"/>
        <v>30.117724994260893</v>
      </c>
      <c r="D321" s="364">
        <f t="shared" si="111"/>
        <v>1.5375871839494628</v>
      </c>
      <c r="E321" s="364">
        <f t="shared" si="112"/>
        <v>1.3156923315802418</v>
      </c>
      <c r="F321" s="365">
        <f t="shared" si="113"/>
        <v>0.70739686886063902</v>
      </c>
      <c r="G321" s="364">
        <f t="shared" si="114"/>
        <v>1.0256054101273606</v>
      </c>
      <c r="H321" s="365">
        <f t="shared" si="115"/>
        <v>-0.22392286064425576</v>
      </c>
      <c r="I321" s="363">
        <f t="shared" si="116"/>
        <v>77747.332573577136</v>
      </c>
      <c r="J321" s="366">
        <f t="shared" si="117"/>
        <v>1.5707834646172896</v>
      </c>
      <c r="K321" s="374">
        <f t="shared" si="133"/>
        <v>18.953265850826465</v>
      </c>
      <c r="L321" s="375">
        <f t="shared" si="134"/>
        <v>1.5180104612798737</v>
      </c>
      <c r="M321" s="363">
        <f t="shared" si="118"/>
        <v>1.162363312045658</v>
      </c>
      <c r="N321" s="366">
        <f t="shared" si="119"/>
        <v>0.53490666677779697</v>
      </c>
      <c r="O321" s="367">
        <f t="shared" si="120"/>
        <v>1.0184110878785693</v>
      </c>
      <c r="P321" s="368">
        <f t="shared" si="121"/>
        <v>0.25814773503152511</v>
      </c>
      <c r="Q321" s="369">
        <f t="shared" si="122"/>
        <v>-14.108783303682099</v>
      </c>
      <c r="R321" s="370">
        <f t="shared" si="123"/>
        <v>-108.85857673443661</v>
      </c>
      <c r="S321" s="372">
        <f t="shared" si="124"/>
        <v>71.14142326556339</v>
      </c>
      <c r="U321" s="345">
        <f t="shared" si="130"/>
        <v>22909</v>
      </c>
      <c r="V321" s="345">
        <f t="shared" si="131"/>
        <v>524822281</v>
      </c>
      <c r="X321" s="371">
        <f t="shared" si="125"/>
        <v>14.529807588359025</v>
      </c>
      <c r="Y321" s="372">
        <f t="shared" si="126"/>
        <v>-33.671564841717554</v>
      </c>
      <c r="AA321" s="371">
        <f t="shared" si="127"/>
        <v>17.382009021238499</v>
      </c>
      <c r="AB321" s="372">
        <f t="shared" si="128"/>
        <v>-75.18701189271907</v>
      </c>
      <c r="AD321">
        <f t="shared" si="132"/>
        <v>0</v>
      </c>
      <c r="AE321">
        <f t="shared" si="135"/>
        <v>0</v>
      </c>
    </row>
    <row r="322" spans="1:31" x14ac:dyDescent="0.2">
      <c r="A322" s="373">
        <v>23042.25</v>
      </c>
      <c r="B322" s="390">
        <f t="shared" si="129"/>
        <v>23.042249999999999</v>
      </c>
      <c r="C322" s="363">
        <f t="shared" si="110"/>
        <v>30.292711913334795</v>
      </c>
      <c r="D322" s="364">
        <f t="shared" si="111"/>
        <v>1.5377790876764006</v>
      </c>
      <c r="E322" s="364">
        <f t="shared" si="112"/>
        <v>1.3189296011903842</v>
      </c>
      <c r="F322" s="365">
        <f t="shared" si="113"/>
        <v>0.71026274994633443</v>
      </c>
      <c r="G322" s="364">
        <f t="shared" si="114"/>
        <v>1.0259003721634077</v>
      </c>
      <c r="H322" s="365">
        <f t="shared" si="115"/>
        <v>-0.22518184114013995</v>
      </c>
      <c r="I322" s="363">
        <f t="shared" si="116"/>
        <v>78199.549259758118</v>
      </c>
      <c r="J322" s="366">
        <f t="shared" si="117"/>
        <v>1.570783538997403</v>
      </c>
      <c r="K322" s="374">
        <f t="shared" si="133"/>
        <v>19.063201356337899</v>
      </c>
      <c r="L322" s="375">
        <f t="shared" si="134"/>
        <v>1.5183151524917351</v>
      </c>
      <c r="M322" s="363">
        <f t="shared" si="118"/>
        <v>1.164123942345618</v>
      </c>
      <c r="N322" s="366">
        <f t="shared" si="119"/>
        <v>0.53745366547576578</v>
      </c>
      <c r="O322" s="367">
        <f t="shared" si="120"/>
        <v>1.0186252851214219</v>
      </c>
      <c r="P322" s="368">
        <f t="shared" si="121"/>
        <v>0.25962796109929609</v>
      </c>
      <c r="Q322" s="369">
        <f t="shared" si="122"/>
        <v>-14.150372648756226</v>
      </c>
      <c r="R322" s="370">
        <f t="shared" si="123"/>
        <v>-108.99079310972044</v>
      </c>
      <c r="S322" s="372">
        <f t="shared" si="124"/>
        <v>71.009206890279557</v>
      </c>
      <c r="U322" s="345">
        <f t="shared" si="130"/>
        <v>23042.25</v>
      </c>
      <c r="V322" s="345">
        <f t="shared" si="131"/>
        <v>530945285.0625</v>
      </c>
      <c r="X322" s="371">
        <f t="shared" si="125"/>
        <v>14.51652161174874</v>
      </c>
      <c r="Y322" s="372">
        <f t="shared" si="126"/>
        <v>-33.800043858855503</v>
      </c>
      <c r="AA322" s="371">
        <f t="shared" si="127"/>
        <v>17.353705652774657</v>
      </c>
      <c r="AB322" s="372">
        <f t="shared" si="128"/>
        <v>-75.190749250864954</v>
      </c>
      <c r="AD322">
        <f t="shared" si="132"/>
        <v>0</v>
      </c>
      <c r="AE322">
        <f t="shared" si="135"/>
        <v>0</v>
      </c>
    </row>
    <row r="323" spans="1:31" x14ac:dyDescent="0.2">
      <c r="A323" s="373">
        <v>23175.5</v>
      </c>
      <c r="B323" s="390">
        <f t="shared" si="129"/>
        <v>23.1755</v>
      </c>
      <c r="C323" s="363">
        <f t="shared" si="110"/>
        <v>30.467699935185124</v>
      </c>
      <c r="D323" s="364">
        <f t="shared" si="111"/>
        <v>1.5379687870526177</v>
      </c>
      <c r="E323" s="364">
        <f t="shared" si="112"/>
        <v>1.3221776504329656</v>
      </c>
      <c r="F323" s="365">
        <f t="shared" si="113"/>
        <v>0.71311457376586807</v>
      </c>
      <c r="G323" s="364">
        <f t="shared" si="114"/>
        <v>1.0261969593479783</v>
      </c>
      <c r="H323" s="365">
        <f t="shared" si="115"/>
        <v>-0.22644009589880823</v>
      </c>
      <c r="I323" s="363">
        <f t="shared" si="116"/>
        <v>78651.765945939536</v>
      </c>
      <c r="J323" s="366">
        <f t="shared" si="117"/>
        <v>1.5707836125222037</v>
      </c>
      <c r="K323" s="374">
        <f t="shared" si="133"/>
        <v>19.173138611319541</v>
      </c>
      <c r="L323" s="375">
        <f t="shared" si="134"/>
        <v>1.5186163495808425</v>
      </c>
      <c r="M323" s="363">
        <f t="shared" si="118"/>
        <v>1.1658921017161576</v>
      </c>
      <c r="N323" s="366">
        <f t="shared" si="119"/>
        <v>0.53999295519103363</v>
      </c>
      <c r="O323" s="367">
        <f t="shared" si="120"/>
        <v>1.0188407108920756</v>
      </c>
      <c r="P323" s="368">
        <f t="shared" si="121"/>
        <v>0.26110782443012814</v>
      </c>
      <c r="Q323" s="369">
        <f t="shared" si="122"/>
        <v>-14.191684863320592</v>
      </c>
      <c r="R323" s="370">
        <f t="shared" si="123"/>
        <v>-109.12338469936721</v>
      </c>
      <c r="S323" s="372">
        <f t="shared" si="124"/>
        <v>70.876615300632793</v>
      </c>
      <c r="U323" s="345">
        <f t="shared" si="130"/>
        <v>23175.5</v>
      </c>
      <c r="V323" s="345">
        <f t="shared" si="131"/>
        <v>537103800.25</v>
      </c>
      <c r="X323" s="371">
        <f t="shared" si="125"/>
        <v>14.503201804977252</v>
      </c>
      <c r="Y323" s="372">
        <f t="shared" si="126"/>
        <v>-33.928281333301136</v>
      </c>
      <c r="AA323" s="371">
        <f t="shared" si="127"/>
        <v>17.325713244981781</v>
      </c>
      <c r="AB323" s="372">
        <f t="shared" si="128"/>
        <v>-75.195103366066093</v>
      </c>
      <c r="AD323">
        <f t="shared" si="132"/>
        <v>0</v>
      </c>
      <c r="AE323">
        <f t="shared" si="135"/>
        <v>0</v>
      </c>
    </row>
    <row r="324" spans="1:31" x14ac:dyDescent="0.2">
      <c r="A324" s="373">
        <v>23308.75</v>
      </c>
      <c r="B324" s="390">
        <f t="shared" si="129"/>
        <v>23.30875</v>
      </c>
      <c r="C324" s="363">
        <f t="shared" si="110"/>
        <v>30.64268904091934</v>
      </c>
      <c r="D324" s="364">
        <f t="shared" si="111"/>
        <v>1.5381563198290469</v>
      </c>
      <c r="E324" s="364">
        <f t="shared" si="112"/>
        <v>1.3254364000598773</v>
      </c>
      <c r="F324" s="365">
        <f t="shared" si="113"/>
        <v>0.715952397446323</v>
      </c>
      <c r="G324" s="364">
        <f t="shared" si="114"/>
        <v>1.0264951702724008</v>
      </c>
      <c r="H324" s="365">
        <f t="shared" si="115"/>
        <v>-0.22769762156690951</v>
      </c>
      <c r="I324" s="363">
        <f t="shared" si="116"/>
        <v>79103.982632121377</v>
      </c>
      <c r="J324" s="366">
        <f t="shared" si="117"/>
        <v>1.5707836852063601</v>
      </c>
      <c r="K324" s="374">
        <f t="shared" si="133"/>
        <v>19.283077585848986</v>
      </c>
      <c r="L324" s="375">
        <f t="shared" si="134"/>
        <v>1.5189141122553982</v>
      </c>
      <c r="M324" s="363">
        <f t="shared" si="118"/>
        <v>1.1676677559542348</v>
      </c>
      <c r="N324" s="366">
        <f t="shared" si="119"/>
        <v>0.54252453827172442</v>
      </c>
      <c r="O324" s="367">
        <f t="shared" si="120"/>
        <v>1.0190573649610457</v>
      </c>
      <c r="P324" s="368">
        <f t="shared" si="121"/>
        <v>0.26258732314226524</v>
      </c>
      <c r="Q324" s="369">
        <f t="shared" si="122"/>
        <v>-14.232723660612363</v>
      </c>
      <c r="R324" s="370">
        <f t="shared" si="123"/>
        <v>-109.25634680760579</v>
      </c>
      <c r="S324" s="372">
        <f t="shared" si="124"/>
        <v>70.743653192394206</v>
      </c>
      <c r="U324" s="345">
        <f t="shared" si="130"/>
        <v>23308.75</v>
      </c>
      <c r="V324" s="345">
        <f t="shared" si="131"/>
        <v>543297826.5625</v>
      </c>
      <c r="X324" s="371">
        <f t="shared" si="125"/>
        <v>14.489848562869383</v>
      </c>
      <c r="Y324" s="372">
        <f t="shared" si="126"/>
        <v>-34.05627397940453</v>
      </c>
      <c r="AA324" s="371">
        <f t="shared" si="127"/>
        <v>17.29802768979788</v>
      </c>
      <c r="AB324" s="372">
        <f t="shared" si="128"/>
        <v>-75.200072828201243</v>
      </c>
      <c r="AD324">
        <f t="shared" si="132"/>
        <v>0</v>
      </c>
      <c r="AE324">
        <f t="shared" si="135"/>
        <v>0</v>
      </c>
    </row>
    <row r="325" spans="1:31" x14ac:dyDescent="0.2">
      <c r="A325" s="373">
        <v>23442</v>
      </c>
      <c r="B325" s="390">
        <f t="shared" si="129"/>
        <v>23.442</v>
      </c>
      <c r="C325" s="363">
        <f t="shared" si="110"/>
        <v>30.817679212073905</v>
      </c>
      <c r="D325" s="364">
        <f t="shared" si="111"/>
        <v>1.5383417228998033</v>
      </c>
      <c r="E325" s="364">
        <f t="shared" si="112"/>
        <v>1.3287057713406589</v>
      </c>
      <c r="F325" s="365">
        <f t="shared" si="113"/>
        <v>0.71877627845725311</v>
      </c>
      <c r="G325" s="364">
        <f t="shared" si="114"/>
        <v>1.0267950035219326</v>
      </c>
      <c r="H325" s="365">
        <f t="shared" si="115"/>
        <v>-0.22895441480420142</v>
      </c>
      <c r="I325" s="363">
        <f t="shared" si="116"/>
        <v>79556.199318303625</v>
      </c>
      <c r="J325" s="366">
        <f t="shared" si="117"/>
        <v>1.5707837570642083</v>
      </c>
      <c r="K325" s="374">
        <f t="shared" si="133"/>
        <v>19.393018250681909</v>
      </c>
      <c r="L325" s="375">
        <f t="shared" si="134"/>
        <v>1.5192084988721091</v>
      </c>
      <c r="M325" s="363">
        <f t="shared" si="118"/>
        <v>1.169450870919998</v>
      </c>
      <c r="N325" s="366">
        <f t="shared" si="119"/>
        <v>0.54504841744685784</v>
      </c>
      <c r="O325" s="367">
        <f t="shared" si="120"/>
        <v>1.0192752470977706</v>
      </c>
      <c r="P325" s="368">
        <f t="shared" si="121"/>
        <v>0.2640664553574773</v>
      </c>
      <c r="Q325" s="369">
        <f t="shared" si="122"/>
        <v>-14.273492688244522</v>
      </c>
      <c r="R325" s="370">
        <f t="shared" si="123"/>
        <v>-109.38967477014354</v>
      </c>
      <c r="S325" s="372">
        <f t="shared" si="124"/>
        <v>70.610325229856457</v>
      </c>
      <c r="U325" s="345">
        <f t="shared" si="130"/>
        <v>23442</v>
      </c>
      <c r="V325" s="345">
        <f t="shared" si="131"/>
        <v>549527364</v>
      </c>
      <c r="X325" s="371">
        <f t="shared" si="125"/>
        <v>14.476462279578001</v>
      </c>
      <c r="Y325" s="372">
        <f t="shared" si="126"/>
        <v>-34.184018610755366</v>
      </c>
      <c r="AA325" s="371">
        <f t="shared" si="127"/>
        <v>17.2706449454571</v>
      </c>
      <c r="AB325" s="372">
        <f t="shared" si="128"/>
        <v>-75.205656159388198</v>
      </c>
      <c r="AD325">
        <f t="shared" si="132"/>
        <v>0</v>
      </c>
      <c r="AE325">
        <f t="shared" si="135"/>
        <v>0</v>
      </c>
    </row>
    <row r="326" spans="1:31" x14ac:dyDescent="0.2">
      <c r="A326" s="373">
        <v>23578.5</v>
      </c>
      <c r="B326" s="390">
        <f t="shared" si="129"/>
        <v>23.578499999999998</v>
      </c>
      <c r="C326" s="363">
        <f t="shared" si="110"/>
        <v>30.996938522037695</v>
      </c>
      <c r="D326" s="364">
        <f t="shared" si="111"/>
        <v>1.5385294774317948</v>
      </c>
      <c r="E326" s="364">
        <f t="shared" si="112"/>
        <v>1.3320658150410916</v>
      </c>
      <c r="F326" s="365">
        <f t="shared" si="113"/>
        <v>0.72165463811705299</v>
      </c>
      <c r="G326" s="364">
        <f t="shared" si="114"/>
        <v>1.027103830453364</v>
      </c>
      <c r="H326" s="365">
        <f t="shared" si="115"/>
        <v>-0.23024109861239825</v>
      </c>
      <c r="I326" s="363">
        <f t="shared" si="116"/>
        <v>80019.445679759039</v>
      </c>
      <c r="J326" s="366">
        <f t="shared" si="117"/>
        <v>1.5707838298325454</v>
      </c>
      <c r="K326" s="374">
        <f t="shared" si="133"/>
        <v>19.50564211791497</v>
      </c>
      <c r="L326" s="375">
        <f t="shared" si="134"/>
        <v>1.5195066246936688</v>
      </c>
      <c r="M326" s="363">
        <f t="shared" si="118"/>
        <v>1.171285176776385</v>
      </c>
      <c r="N326" s="366">
        <f t="shared" si="119"/>
        <v>0.54762586985151873</v>
      </c>
      <c r="O326" s="367">
        <f t="shared" si="120"/>
        <v>1.0194997165531561</v>
      </c>
      <c r="P326" s="368">
        <f t="shared" si="121"/>
        <v>0.26558128199420783</v>
      </c>
      <c r="Q326" s="369">
        <f t="shared" si="122"/>
        <v>-14.314980108249307</v>
      </c>
      <c r="R326" s="370">
        <f t="shared" si="123"/>
        <v>-109.52662913955881</v>
      </c>
      <c r="S326" s="372">
        <f t="shared" si="124"/>
        <v>70.473370860441193</v>
      </c>
      <c r="U326" s="345">
        <f t="shared" si="130"/>
        <v>23578.5</v>
      </c>
      <c r="V326" s="345">
        <f t="shared" si="131"/>
        <v>555945662.25</v>
      </c>
      <c r="X326" s="371">
        <f t="shared" si="125"/>
        <v>14.462715652967661</v>
      </c>
      <c r="Y326" s="372">
        <f t="shared" si="126"/>
        <v>-34.314618573566868</v>
      </c>
      <c r="AA326" s="371">
        <f t="shared" si="127"/>
        <v>17.242904152062653</v>
      </c>
      <c r="AB326" s="372">
        <f t="shared" si="128"/>
        <v>-75.212010565991932</v>
      </c>
      <c r="AD326">
        <f t="shared" si="132"/>
        <v>0</v>
      </c>
      <c r="AE326">
        <f t="shared" si="135"/>
        <v>0</v>
      </c>
    </row>
    <row r="327" spans="1:31" x14ac:dyDescent="0.2">
      <c r="A327" s="373">
        <v>23715</v>
      </c>
      <c r="B327" s="390">
        <f t="shared" si="129"/>
        <v>23.715</v>
      </c>
      <c r="C327" s="363">
        <f t="shared" si="110"/>
        <v>31.176198912132488</v>
      </c>
      <c r="D327" s="364">
        <f t="shared" si="111"/>
        <v>1.5387150728263157</v>
      </c>
      <c r="E327" s="364">
        <f t="shared" si="112"/>
        <v>1.3354368392577107</v>
      </c>
      <c r="F327" s="365">
        <f t="shared" si="113"/>
        <v>0.72451848979946887</v>
      </c>
      <c r="G327" s="364">
        <f t="shared" si="114"/>
        <v>1.0274143567880132</v>
      </c>
      <c r="H327" s="365">
        <f t="shared" si="115"/>
        <v>-0.2315270067722375</v>
      </c>
      <c r="I327" s="363">
        <f t="shared" si="116"/>
        <v>80482.692041214847</v>
      </c>
      <c r="J327" s="366">
        <f t="shared" si="117"/>
        <v>1.5707839017631953</v>
      </c>
      <c r="K327" s="374">
        <f t="shared" si="133"/>
        <v>19.618267698885152</v>
      </c>
      <c r="L327" s="375">
        <f t="shared" si="134"/>
        <v>1.519801327548441</v>
      </c>
      <c r="M327" s="363">
        <f t="shared" si="118"/>
        <v>1.1731272394224121</v>
      </c>
      <c r="N327" s="366">
        <f t="shared" si="119"/>
        <v>0.55019524496890582</v>
      </c>
      <c r="O327" s="367">
        <f t="shared" si="120"/>
        <v>1.0197254742193567</v>
      </c>
      <c r="P327" s="368">
        <f t="shared" si="121"/>
        <v>0.2670957200594884</v>
      </c>
      <c r="Q327" s="369">
        <f t="shared" si="122"/>
        <v>-14.356191982350957</v>
      </c>
      <c r="R327" s="370">
        <f t="shared" si="123"/>
        <v>-109.66395761958567</v>
      </c>
      <c r="S327" s="372">
        <f t="shared" si="124"/>
        <v>70.336042380414327</v>
      </c>
      <c r="U327" s="345">
        <f t="shared" si="130"/>
        <v>23715</v>
      </c>
      <c r="V327" s="345">
        <f t="shared" si="131"/>
        <v>562401225</v>
      </c>
      <c r="X327" s="371">
        <f t="shared" si="125"/>
        <v>14.448935188601617</v>
      </c>
      <c r="Y327" s="372">
        <f t="shared" si="126"/>
        <v>-34.444951815461764</v>
      </c>
      <c r="AA327" s="371">
        <f t="shared" si="127"/>
        <v>17.215472742327051</v>
      </c>
      <c r="AB327" s="372">
        <f t="shared" si="128"/>
        <v>-75.219005804123924</v>
      </c>
      <c r="AD327">
        <f t="shared" si="132"/>
        <v>0</v>
      </c>
      <c r="AE327">
        <f t="shared" si="135"/>
        <v>0</v>
      </c>
    </row>
    <row r="328" spans="1:31" x14ac:dyDescent="0.2">
      <c r="A328" s="373">
        <v>23851.5</v>
      </c>
      <c r="B328" s="390">
        <f t="shared" si="129"/>
        <v>23.851500000000001</v>
      </c>
      <c r="C328" s="363">
        <f t="shared" si="110"/>
        <v>31.35546036383283</v>
      </c>
      <c r="D328" s="364">
        <f t="shared" si="111"/>
        <v>1.5388985461023073</v>
      </c>
      <c r="E328" s="364">
        <f t="shared" si="112"/>
        <v>1.3388187610466871</v>
      </c>
      <c r="F328" s="365">
        <f t="shared" si="113"/>
        <v>0.72736789629422038</v>
      </c>
      <c r="G328" s="364">
        <f t="shared" si="114"/>
        <v>1.0277265809854621</v>
      </c>
      <c r="H328" s="365">
        <f t="shared" si="115"/>
        <v>-0.23281213573608575</v>
      </c>
      <c r="I328" s="363">
        <f t="shared" si="116"/>
        <v>80945.93840267109</v>
      </c>
      <c r="J328" s="366">
        <f t="shared" si="117"/>
        <v>1.5707839728705397</v>
      </c>
      <c r="K328" s="374">
        <f t="shared" si="133"/>
        <v>19.730894964245991</v>
      </c>
      <c r="L328" s="375">
        <f t="shared" si="134"/>
        <v>1.5200926660014025</v>
      </c>
      <c r="M328" s="363">
        <f t="shared" si="118"/>
        <v>1.1749770223761089</v>
      </c>
      <c r="N328" s="366">
        <f t="shared" si="119"/>
        <v>0.55275654694374099</v>
      </c>
      <c r="O328" s="367">
        <f t="shared" si="120"/>
        <v>1.019952519845035</v>
      </c>
      <c r="P328" s="368">
        <f t="shared" si="121"/>
        <v>0.26860976754588428</v>
      </c>
      <c r="Q328" s="369">
        <f t="shared" si="122"/>
        <v>-14.397132026524599</v>
      </c>
      <c r="R328" s="370">
        <f t="shared" si="123"/>
        <v>-109.80165529815852</v>
      </c>
      <c r="S328" s="372">
        <f t="shared" si="124"/>
        <v>70.198344701841478</v>
      </c>
      <c r="U328" s="345">
        <f t="shared" si="130"/>
        <v>23851.5</v>
      </c>
      <c r="V328" s="345">
        <f t="shared" si="131"/>
        <v>568894052.25</v>
      </c>
      <c r="X328" s="371">
        <f t="shared" si="125"/>
        <v>14.435121307528389</v>
      </c>
      <c r="Y328" s="372">
        <f t="shared" si="126"/>
        <v>-34.575015219213121</v>
      </c>
      <c r="AA328" s="371">
        <f t="shared" si="127"/>
        <v>17.188346579226636</v>
      </c>
      <c r="AB328" s="372">
        <f t="shared" si="128"/>
        <v>-75.22664007894538</v>
      </c>
      <c r="AD328">
        <f t="shared" si="132"/>
        <v>0</v>
      </c>
      <c r="AE328">
        <f t="shared" si="135"/>
        <v>0</v>
      </c>
    </row>
    <row r="329" spans="1:31" x14ac:dyDescent="0.2">
      <c r="A329" s="373">
        <v>23988</v>
      </c>
      <c r="B329" s="390">
        <f t="shared" si="129"/>
        <v>23.988</v>
      </c>
      <c r="C329" s="363">
        <f t="shared" si="110"/>
        <v>31.534722859034396</v>
      </c>
      <c r="D329" s="364">
        <f t="shared" si="111"/>
        <v>1.5390799334375385</v>
      </c>
      <c r="E329" s="364">
        <f t="shared" si="112"/>
        <v>1.3422114980333659</v>
      </c>
      <c r="F329" s="365">
        <f t="shared" si="113"/>
        <v>0.73020292069748205</v>
      </c>
      <c r="G329" s="364">
        <f t="shared" si="114"/>
        <v>1.0280405014987473</v>
      </c>
      <c r="H329" s="365">
        <f t="shared" si="115"/>
        <v>-0.23409648197090263</v>
      </c>
      <c r="I329" s="363">
        <f t="shared" si="116"/>
        <v>81409.184764127727</v>
      </c>
      <c r="J329" s="366">
        <f t="shared" si="117"/>
        <v>1.5707840431686335</v>
      </c>
      <c r="K329" s="374">
        <f t="shared" si="133"/>
        <v>19.843523885316852</v>
      </c>
      <c r="L329" s="375">
        <f t="shared" si="134"/>
        <v>1.5203806972902192</v>
      </c>
      <c r="M329" s="363">
        <f t="shared" si="118"/>
        <v>1.1768344892324583</v>
      </c>
      <c r="N329" s="366">
        <f t="shared" si="119"/>
        <v>0.55530978031843503</v>
      </c>
      <c r="O329" s="367">
        <f t="shared" si="120"/>
        <v>1.0201808531776844</v>
      </c>
      <c r="P329" s="368">
        <f t="shared" si="121"/>
        <v>0.27012342244990861</v>
      </c>
      <c r="Q329" s="369">
        <f t="shared" si="122"/>
        <v>-14.437803890507038</v>
      </c>
      <c r="R329" s="370">
        <f t="shared" si="123"/>
        <v>-109.93971729733613</v>
      </c>
      <c r="S329" s="372">
        <f t="shared" si="124"/>
        <v>70.060282702663869</v>
      </c>
      <c r="U329" s="345">
        <f t="shared" si="130"/>
        <v>23988</v>
      </c>
      <c r="V329" s="345">
        <f t="shared" si="131"/>
        <v>575424144</v>
      </c>
      <c r="X329" s="371">
        <f t="shared" si="125"/>
        <v>14.421274429755083</v>
      </c>
      <c r="Y329" s="372">
        <f t="shared" si="126"/>
        <v>-34.704805766410523</v>
      </c>
      <c r="AA329" s="371">
        <f t="shared" si="127"/>
        <v>17.1615215930175</v>
      </c>
      <c r="AB329" s="372">
        <f t="shared" si="128"/>
        <v>-75.234911530925615</v>
      </c>
      <c r="AD329">
        <f t="shared" si="132"/>
        <v>0</v>
      </c>
      <c r="AE329">
        <f t="shared" si="135"/>
        <v>0</v>
      </c>
    </row>
    <row r="330" spans="1:31" x14ac:dyDescent="0.2">
      <c r="A330" s="373">
        <v>24127.75</v>
      </c>
      <c r="B330" s="390">
        <f t="shared" si="129"/>
        <v>24.127749999999999</v>
      </c>
      <c r="C330" s="363">
        <f t="shared" si="110"/>
        <v>31.718254571473445</v>
      </c>
      <c r="D330" s="364">
        <f t="shared" si="111"/>
        <v>1.5392635154079597</v>
      </c>
      <c r="E330" s="364">
        <f t="shared" si="112"/>
        <v>1.3456961335724933</v>
      </c>
      <c r="F330" s="365">
        <f t="shared" si="113"/>
        <v>0.73309061205783654</v>
      </c>
      <c r="G330" s="364">
        <f t="shared" si="114"/>
        <v>1.0283636520671178</v>
      </c>
      <c r="H330" s="365">
        <f t="shared" si="115"/>
        <v>-0.23541059329857406</v>
      </c>
      <c r="I330" s="363">
        <f t="shared" si="116"/>
        <v>81883.46080085756</v>
      </c>
      <c r="J330" s="366">
        <f t="shared" si="117"/>
        <v>1.5707841143164518</v>
      </c>
      <c r="K330" s="374">
        <f t="shared" si="133"/>
        <v>19.958836133408123</v>
      </c>
      <c r="L330" s="375">
        <f t="shared" si="134"/>
        <v>1.520672218666193</v>
      </c>
      <c r="M330" s="363">
        <f t="shared" si="118"/>
        <v>1.1787441040637361</v>
      </c>
      <c r="N330" s="366">
        <f t="shared" si="119"/>
        <v>0.55791545106775375</v>
      </c>
      <c r="O330" s="367">
        <f t="shared" si="120"/>
        <v>1.0204159568148603</v>
      </c>
      <c r="P330" s="368">
        <f t="shared" si="121"/>
        <v>0.27167270795404491</v>
      </c>
      <c r="Q330" s="369">
        <f t="shared" si="122"/>
        <v>-14.47917004118664</v>
      </c>
      <c r="R330" s="370">
        <f t="shared" si="123"/>
        <v>-110.08143886437212</v>
      </c>
      <c r="S330" s="372">
        <f t="shared" si="124"/>
        <v>69.918561135627883</v>
      </c>
      <c r="U330" s="345">
        <f t="shared" si="130"/>
        <v>24127.75</v>
      </c>
      <c r="V330" s="345">
        <f t="shared" si="131"/>
        <v>582148320.0625</v>
      </c>
      <c r="X330" s="371">
        <f t="shared" si="125"/>
        <v>14.407064117322268</v>
      </c>
      <c r="Y330" s="372">
        <f t="shared" si="126"/>
        <v>-34.837400835287227</v>
      </c>
      <c r="AA330" s="371">
        <f t="shared" si="127"/>
        <v>17.134365754770716</v>
      </c>
      <c r="AB330" s="372">
        <f t="shared" si="128"/>
        <v>-75.244038029084876</v>
      </c>
      <c r="AD330">
        <f t="shared" si="132"/>
        <v>0</v>
      </c>
      <c r="AE330">
        <f t="shared" si="135"/>
        <v>0</v>
      </c>
    </row>
    <row r="331" spans="1:31" x14ac:dyDescent="0.2">
      <c r="A331" s="373">
        <v>24267.5</v>
      </c>
      <c r="B331" s="390">
        <f t="shared" si="129"/>
        <v>24.267499999999998</v>
      </c>
      <c r="C331" s="363">
        <f t="shared" si="110"/>
        <v>31.90178734059214</v>
      </c>
      <c r="D331" s="364">
        <f t="shared" si="111"/>
        <v>1.5394449850697249</v>
      </c>
      <c r="E331" s="364">
        <f t="shared" si="112"/>
        <v>1.3491919325316535</v>
      </c>
      <c r="F331" s="365">
        <f t="shared" si="113"/>
        <v>0.7359633630709348</v>
      </c>
      <c r="G331" s="364">
        <f t="shared" si="114"/>
        <v>1.0286885773874108</v>
      </c>
      <c r="H331" s="365">
        <f t="shared" si="115"/>
        <v>-0.23672387673296952</v>
      </c>
      <c r="I331" s="363">
        <f t="shared" si="116"/>
        <v>82357.7368375878</v>
      </c>
      <c r="J331" s="366">
        <f t="shared" si="117"/>
        <v>1.5707841846448276</v>
      </c>
      <c r="K331" s="374">
        <f t="shared" si="133"/>
        <v>20.074150058208296</v>
      </c>
      <c r="L331" s="375">
        <f t="shared" si="134"/>
        <v>1.520960390836301</v>
      </c>
      <c r="M331" s="363">
        <f t="shared" si="118"/>
        <v>1.1806616960814886</v>
      </c>
      <c r="N331" s="366">
        <f t="shared" si="119"/>
        <v>0.56051267531336091</v>
      </c>
      <c r="O331" s="367">
        <f t="shared" si="120"/>
        <v>1.020652409668996</v>
      </c>
      <c r="P331" s="368">
        <f t="shared" si="121"/>
        <v>0.27322157772154948</v>
      </c>
      <c r="Q331" s="369">
        <f t="shared" si="122"/>
        <v>-14.520262624838857</v>
      </c>
      <c r="R331" s="370">
        <f t="shared" si="123"/>
        <v>-110.2235320685307</v>
      </c>
      <c r="S331" s="372">
        <f t="shared" si="124"/>
        <v>69.776467931469298</v>
      </c>
      <c r="U331" s="345">
        <f t="shared" si="130"/>
        <v>24267.5</v>
      </c>
      <c r="V331" s="345">
        <f t="shared" si="131"/>
        <v>588911556.25</v>
      </c>
      <c r="X331" s="371">
        <f t="shared" si="125"/>
        <v>14.392820105546026</v>
      </c>
      <c r="Y331" s="372">
        <f t="shared" si="126"/>
        <v>-34.969703803559554</v>
      </c>
      <c r="AA331" s="371">
        <f t="shared" si="127"/>
        <v>17.107517182894743</v>
      </c>
      <c r="AB331" s="372">
        <f t="shared" si="128"/>
        <v>-75.253828264971148</v>
      </c>
      <c r="AD331">
        <f t="shared" si="132"/>
        <v>0</v>
      </c>
      <c r="AE331">
        <f t="shared" si="135"/>
        <v>0</v>
      </c>
    </row>
    <row r="332" spans="1:31" x14ac:dyDescent="0.2">
      <c r="A332" s="373">
        <v>24407.25</v>
      </c>
      <c r="B332" s="390">
        <f t="shared" si="129"/>
        <v>24.407250000000001</v>
      </c>
      <c r="C332" s="363">
        <f t="shared" si="110"/>
        <v>32.085321148257393</v>
      </c>
      <c r="D332" s="364">
        <f t="shared" si="111"/>
        <v>1.5396243786591348</v>
      </c>
      <c r="E332" s="364">
        <f t="shared" si="112"/>
        <v>1.3526988083614893</v>
      </c>
      <c r="F332" s="365">
        <f t="shared" si="113"/>
        <v>0.73882124233587954</v>
      </c>
      <c r="G332" s="364">
        <f t="shared" si="114"/>
        <v>1.0290152757784217</v>
      </c>
      <c r="H332" s="365">
        <f t="shared" si="115"/>
        <v>-0.23803632853042314</v>
      </c>
      <c r="I332" s="363">
        <f t="shared" si="116"/>
        <v>82832.012874318432</v>
      </c>
      <c r="J332" s="366">
        <f t="shared" si="117"/>
        <v>1.570784254167837</v>
      </c>
      <c r="K332" s="374">
        <f t="shared" si="133"/>
        <v>20.189465630987353</v>
      </c>
      <c r="L332" s="375">
        <f t="shared" si="134"/>
        <v>1.5212452711409465</v>
      </c>
      <c r="M332" s="363">
        <f t="shared" si="118"/>
        <v>1.18258722648015</v>
      </c>
      <c r="N332" s="366">
        <f t="shared" si="119"/>
        <v>0.56310145918955656</v>
      </c>
      <c r="O332" s="367">
        <f t="shared" si="120"/>
        <v>1.0208902114653373</v>
      </c>
      <c r="P332" s="368">
        <f t="shared" si="121"/>
        <v>0.27477002961535918</v>
      </c>
      <c r="Q332" s="369">
        <f t="shared" si="122"/>
        <v>-14.56108535157777</v>
      </c>
      <c r="R332" s="370">
        <f t="shared" si="123"/>
        <v>-110.36599178553183</v>
      </c>
      <c r="S332" s="372">
        <f t="shared" si="124"/>
        <v>69.634008214468167</v>
      </c>
      <c r="U332" s="345">
        <f t="shared" si="130"/>
        <v>24407.25</v>
      </c>
      <c r="V332" s="345">
        <f t="shared" si="131"/>
        <v>595713852.5625</v>
      </c>
      <c r="X332" s="371">
        <f t="shared" si="125"/>
        <v>14.378542841318815</v>
      </c>
      <c r="Y332" s="372">
        <f t="shared" si="126"/>
        <v>-35.101711738140345</v>
      </c>
      <c r="AA332" s="371">
        <f t="shared" si="127"/>
        <v>17.08097172038304</v>
      </c>
      <c r="AB332" s="372">
        <f t="shared" si="128"/>
        <v>-75.264280047391495</v>
      </c>
      <c r="AD332">
        <f t="shared" si="132"/>
        <v>0</v>
      </c>
      <c r="AE332">
        <f t="shared" si="135"/>
        <v>0</v>
      </c>
    </row>
    <row r="333" spans="1:31" x14ac:dyDescent="0.2">
      <c r="A333" s="373">
        <v>24547</v>
      </c>
      <c r="B333" s="390">
        <f t="shared" si="129"/>
        <v>24.547000000000001</v>
      </c>
      <c r="C333" s="363">
        <f t="shared" ref="C333:C396" si="136">SQRT(1+(A333/pole1)^2)</f>
        <v>32.268855976748554</v>
      </c>
      <c r="D333" s="364">
        <f t="shared" ref="D333:D396" si="137">ATAN(A333/pole1)</f>
        <v>1.5398017315886297</v>
      </c>
      <c r="E333" s="364">
        <f t="shared" ref="E333:E396" si="138">SQRT(1+(A333/Zero1)^2)</f>
        <v>1.3562166751350035</v>
      </c>
      <c r="F333" s="365">
        <f t="shared" ref="F333:F396" si="139">ATAN(A333/Zero1)</f>
        <v>0.7416643187150993</v>
      </c>
      <c r="G333" s="364">
        <f t="shared" ref="G333:G396" si="140">IF(VIN_nom&gt;Vout, 1, SQRT(1+(A333/z_RHP)^2))</f>
        <v>1.0293437455519114</v>
      </c>
      <c r="H333" s="365">
        <f t="shared" ref="H333:H396" si="141">IF(VIN_nom&gt;Vout, 0, -ATAN(A333/z_RHP))</f>
        <v>-0.23934794496346903</v>
      </c>
      <c r="I333" s="363">
        <f t="shared" ref="I333:I396" si="142">SQRT(1+(A333/Pole2)^2)</f>
        <v>83306.288911049487</v>
      </c>
      <c r="J333" s="366">
        <f t="shared" ref="J333:J396" si="143">ATAN(A333/Pole2)</f>
        <v>1.5707843228992353</v>
      </c>
      <c r="K333" s="374">
        <f t="shared" si="133"/>
        <v>20.304782823667537</v>
      </c>
      <c r="L333" s="375">
        <f t="shared" si="134"/>
        <v>1.5215269156200821</v>
      </c>
      <c r="M333" s="363">
        <f t="shared" ref="M333:M396" si="144">SQRT(1+(A333/pole4)^2)</f>
        <v>1.1845206565463553</v>
      </c>
      <c r="N333" s="366">
        <f t="shared" ref="N333:N396" si="145">ATAN(A333/pole4)</f>
        <v>0.56568180924335887</v>
      </c>
      <c r="O333" s="367">
        <f t="shared" ref="O333:O396" si="146">SQRT((1-(V333/pterm2))^2+(A333/pterm1)^2)</f>
        <v>1.0211293619278667</v>
      </c>
      <c r="P333" s="368">
        <f t="shared" ref="P333:P396" si="147">IF((ATAN((A333/pterm1)/(1-A333^2/pterm2))&gt;0),ATAN((A333/pterm1)/(1-A333^2/pterm2)),PI()+ATAN((A333/pterm1)/(1-A333^2/pterm2)))</f>
        <v>0.27631806150281818</v>
      </c>
      <c r="Q333" s="369">
        <f t="shared" ref="Q333:Q396" si="148">20*LOG10(((E333*K333*G333)/(C333*I333*O333*M333))*Adc)</f>
        <v>-14.601641864832612</v>
      </c>
      <c r="R333" s="370">
        <f t="shared" ref="R333:R396" si="149">((F333+L333+H333)-(D333+J333+P333+N333))*radconv</f>
        <v>-110.50881292812402</v>
      </c>
      <c r="S333" s="372">
        <f t="shared" ref="S333:S396" si="150">IF(R333&gt;0,R333,R333+180)</f>
        <v>69.491187071875984</v>
      </c>
      <c r="U333" s="345">
        <f t="shared" si="130"/>
        <v>24547</v>
      </c>
      <c r="V333" s="345">
        <f t="shared" si="131"/>
        <v>602555209</v>
      </c>
      <c r="X333" s="371">
        <f t="shared" ref="X333:X396" si="151">20*LOG10((K333/(I333*M333))*AEA)</f>
        <v>14.364232770099687</v>
      </c>
      <c r="Y333" s="372">
        <f t="shared" ref="Y333:Y396" si="152">(L333-(J333+N333))*radconv</f>
        <v>-35.233421804081495</v>
      </c>
      <c r="AA333" s="371">
        <f t="shared" ref="AA333:AA396" si="153">20*LOG10((E333*G333/(C333*O333))*Acs*Am)</f>
        <v>17.054725278347327</v>
      </c>
      <c r="AB333" s="372">
        <f t="shared" ref="AB333:AB396" si="154">(F333+H333-(D333+P333))*radconv</f>
        <v>-75.2753911240425</v>
      </c>
      <c r="AD333">
        <f t="shared" si="132"/>
        <v>0</v>
      </c>
      <c r="AE333">
        <f t="shared" si="135"/>
        <v>0</v>
      </c>
    </row>
    <row r="334" spans="1:31" x14ac:dyDescent="0.2">
      <c r="A334" s="373">
        <v>24690</v>
      </c>
      <c r="B334" s="390">
        <f t="shared" ref="B334:B397" si="155">A334/1000</f>
        <v>24.69</v>
      </c>
      <c r="C334" s="363">
        <f t="shared" si="136"/>
        <v>32.456660095711904</v>
      </c>
      <c r="D334" s="364">
        <f t="shared" si="137"/>
        <v>1.5399811327089035</v>
      </c>
      <c r="E334" s="364">
        <f t="shared" si="138"/>
        <v>1.3598276410992316</v>
      </c>
      <c r="F334" s="365">
        <f t="shared" si="139"/>
        <v>0.7445582619747968</v>
      </c>
      <c r="G334" s="364">
        <f t="shared" si="140"/>
        <v>1.0296816860427722</v>
      </c>
      <c r="H334" s="365">
        <f t="shared" si="141"/>
        <v>-0.24068919550196485</v>
      </c>
      <c r="I334" s="363">
        <f t="shared" si="142"/>
        <v>83791.594623053737</v>
      </c>
      <c r="J334" s="366">
        <f t="shared" si="143"/>
        <v>1.5707843924236209</v>
      </c>
      <c r="K334" s="374">
        <f t="shared" si="133"/>
        <v>20.422783459748533</v>
      </c>
      <c r="L334" s="375">
        <f t="shared" si="134"/>
        <v>1.5218118175264572</v>
      </c>
      <c r="M334" s="363">
        <f t="shared" si="144"/>
        <v>1.1865071871897368</v>
      </c>
      <c r="N334" s="366">
        <f t="shared" si="145"/>
        <v>0.56831344438815046</v>
      </c>
      <c r="O334" s="367">
        <f t="shared" si="146"/>
        <v>1.0213754698171873</v>
      </c>
      <c r="P334" s="368">
        <f t="shared" si="147"/>
        <v>0.27790165714043669</v>
      </c>
      <c r="Q334" s="369">
        <f t="shared" si="148"/>
        <v>-14.642869713122098</v>
      </c>
      <c r="R334" s="370">
        <f t="shared" si="149"/>
        <v>-110.65532435566656</v>
      </c>
      <c r="S334" s="372">
        <f t="shared" si="150"/>
        <v>69.344675644333435</v>
      </c>
      <c r="U334" s="345">
        <f t="shared" ref="U334:U397" si="156">IF(Q334&lt;0,A334,1000000000)</f>
        <v>24690</v>
      </c>
      <c r="V334" s="345">
        <f t="shared" ref="V334:V397" si="157">A334^2</f>
        <v>609596100</v>
      </c>
      <c r="X334" s="371">
        <f t="shared" si="151"/>
        <v>14.34955640935301</v>
      </c>
      <c r="Y334" s="372">
        <f t="shared" si="152"/>
        <v>-35.36788369789334</v>
      </c>
      <c r="AA334" s="371">
        <f t="shared" si="153"/>
        <v>17.028173790804512</v>
      </c>
      <c r="AB334" s="372">
        <f t="shared" si="154"/>
        <v>-75.287440657773189</v>
      </c>
      <c r="AD334">
        <f t="shared" ref="AD334:AD397" si="158">SUM((Q335&lt;0)*(Q334&gt;0))*A334</f>
        <v>0</v>
      </c>
      <c r="AE334">
        <f t="shared" si="135"/>
        <v>0</v>
      </c>
    </row>
    <row r="335" spans="1:31" x14ac:dyDescent="0.2">
      <c r="A335" s="373">
        <v>24833</v>
      </c>
      <c r="B335" s="390">
        <f t="shared" si="155"/>
        <v>24.832999999999998</v>
      </c>
      <c r="C335" s="363">
        <f t="shared" si="136"/>
        <v>32.644465247265792</v>
      </c>
      <c r="D335" s="364">
        <f t="shared" si="137"/>
        <v>1.5401584696285811</v>
      </c>
      <c r="E335" s="364">
        <f t="shared" si="138"/>
        <v>1.3634499351164999</v>
      </c>
      <c r="F335" s="365">
        <f t="shared" si="139"/>
        <v>0.74743685248746461</v>
      </c>
      <c r="G335" s="364">
        <f t="shared" si="140"/>
        <v>1.0300214776651784</v>
      </c>
      <c r="H335" s="365">
        <f t="shared" si="141"/>
        <v>-0.24202956352574989</v>
      </c>
      <c r="I335" s="363">
        <f t="shared" si="142"/>
        <v>84276.90033505841</v>
      </c>
      <c r="J335" s="366">
        <f t="shared" si="143"/>
        <v>1.5707844611472987</v>
      </c>
      <c r="K335" s="374">
        <f t="shared" si="133"/>
        <v>20.540785734482373</v>
      </c>
      <c r="L335" s="375">
        <f t="shared" si="134"/>
        <v>1.5220934460584903</v>
      </c>
      <c r="M335" s="363">
        <f t="shared" si="144"/>
        <v>1.1885019074904362</v>
      </c>
      <c r="N335" s="366">
        <f t="shared" si="145"/>
        <v>0.57093626404522257</v>
      </c>
      <c r="O335" s="367">
        <f t="shared" si="146"/>
        <v>1.0216229892419963</v>
      </c>
      <c r="P335" s="368">
        <f t="shared" si="147"/>
        <v>0.27948480850564478</v>
      </c>
      <c r="Q335" s="369">
        <f t="shared" si="148"/>
        <v>-14.683826332712302</v>
      </c>
      <c r="R335" s="370">
        <f t="shared" si="149"/>
        <v>-110.80220355595041</v>
      </c>
      <c r="S335" s="372">
        <f t="shared" si="150"/>
        <v>69.197796444049587</v>
      </c>
      <c r="U335" s="345">
        <f t="shared" si="156"/>
        <v>24833</v>
      </c>
      <c r="V335" s="345">
        <f t="shared" si="157"/>
        <v>616677889</v>
      </c>
      <c r="X335" s="371">
        <f t="shared" si="151"/>
        <v>14.334846636772355</v>
      </c>
      <c r="Y335" s="372">
        <f t="shared" si="152"/>
        <v>-35.502028006121542</v>
      </c>
      <c r="AA335" s="371">
        <f t="shared" si="153"/>
        <v>17.00192694379497</v>
      </c>
      <c r="AB335" s="372">
        <f t="shared" si="154"/>
        <v>-75.300175549828836</v>
      </c>
      <c r="AD335">
        <f t="shared" si="158"/>
        <v>0</v>
      </c>
      <c r="AE335">
        <f t="shared" si="135"/>
        <v>0</v>
      </c>
    </row>
    <row r="336" spans="1:31" x14ac:dyDescent="0.2">
      <c r="A336" s="373">
        <v>24976</v>
      </c>
      <c r="B336" s="390">
        <f t="shared" si="155"/>
        <v>24.975999999999999</v>
      </c>
      <c r="C336" s="363">
        <f t="shared" si="136"/>
        <v>32.832271413690549</v>
      </c>
      <c r="D336" s="364">
        <f t="shared" si="137"/>
        <v>1.5403337777591453</v>
      </c>
      <c r="E336" s="364">
        <f t="shared" si="138"/>
        <v>1.3670834671406513</v>
      </c>
      <c r="F336" s="365">
        <f t="shared" si="139"/>
        <v>0.75030016477481642</v>
      </c>
      <c r="G336" s="364">
        <f t="shared" si="140"/>
        <v>1.0303631185877393</v>
      </c>
      <c r="H336" s="365">
        <f t="shared" si="141"/>
        <v>-0.24336904509414495</v>
      </c>
      <c r="I336" s="363">
        <f t="shared" si="142"/>
        <v>84762.206047063446</v>
      </c>
      <c r="J336" s="366">
        <f t="shared" si="143"/>
        <v>1.5707845290840221</v>
      </c>
      <c r="K336" s="374">
        <f t="shared" si="133"/>
        <v>20.658789619789268</v>
      </c>
      <c r="L336" s="375">
        <f t="shared" si="134"/>
        <v>1.5223718572640801</v>
      </c>
      <c r="M336" s="363">
        <f t="shared" si="144"/>
        <v>1.1905047762825314</v>
      </c>
      <c r="N336" s="366">
        <f t="shared" si="145"/>
        <v>0.57355027653126611</v>
      </c>
      <c r="O336" s="367">
        <f t="shared" si="146"/>
        <v>1.021871919902491</v>
      </c>
      <c r="P336" s="368">
        <f t="shared" si="147"/>
        <v>0.28106751332795565</v>
      </c>
      <c r="Q336" s="369">
        <f t="shared" si="148"/>
        <v>-14.724515419643971</v>
      </c>
      <c r="R336" s="370">
        <f t="shared" si="149"/>
        <v>-110.94944519824193</v>
      </c>
      <c r="S336" s="372">
        <f t="shared" si="150"/>
        <v>69.050554801758068</v>
      </c>
      <c r="U336" s="345">
        <f t="shared" si="156"/>
        <v>24976</v>
      </c>
      <c r="V336" s="345">
        <f t="shared" si="157"/>
        <v>623800576</v>
      </c>
      <c r="X336" s="371">
        <f t="shared" si="151"/>
        <v>14.320103924541511</v>
      </c>
      <c r="Y336" s="372">
        <f t="shared" si="152"/>
        <v>-35.63585199475731</v>
      </c>
      <c r="AA336" s="371">
        <f t="shared" si="153"/>
        <v>16.975980569094141</v>
      </c>
      <c r="AB336" s="372">
        <f t="shared" si="154"/>
        <v>-75.313593203484629</v>
      </c>
      <c r="AD336">
        <f t="shared" si="158"/>
        <v>0</v>
      </c>
      <c r="AE336">
        <f t="shared" si="135"/>
        <v>0</v>
      </c>
    </row>
    <row r="337" spans="1:31" x14ac:dyDescent="0.2">
      <c r="A337" s="373">
        <v>25119</v>
      </c>
      <c r="B337" s="390">
        <f t="shared" si="155"/>
        <v>25.119</v>
      </c>
      <c r="C337" s="363">
        <f t="shared" si="136"/>
        <v>33.020078577669516</v>
      </c>
      <c r="D337" s="364">
        <f t="shared" si="137"/>
        <v>1.5405070917069494</v>
      </c>
      <c r="E337" s="364">
        <f t="shared" si="138"/>
        <v>1.3707281478024191</v>
      </c>
      <c r="F337" s="365">
        <f t="shared" si="139"/>
        <v>0.7531482735717121</v>
      </c>
      <c r="G337" s="364">
        <f t="shared" si="140"/>
        <v>1.0307066069715327</v>
      </c>
      <c r="H337" s="365">
        <f t="shared" si="141"/>
        <v>-0.24470763628440537</v>
      </c>
      <c r="I337" s="363">
        <f t="shared" si="142"/>
        <v>85247.51175906889</v>
      </c>
      <c r="J337" s="366">
        <f t="shared" si="143"/>
        <v>1.5707845962472315</v>
      </c>
      <c r="K337" s="374">
        <f t="shared" si="133"/>
        <v>20.776795088226979</v>
      </c>
      <c r="L337" s="375">
        <f t="shared" si="134"/>
        <v>1.522647105919811</v>
      </c>
      <c r="M337" s="363">
        <f t="shared" si="144"/>
        <v>1.1925157525090588</v>
      </c>
      <c r="N337" s="366">
        <f t="shared" si="145"/>
        <v>0.57615549058865045</v>
      </c>
      <c r="O337" s="367">
        <f t="shared" si="146"/>
        <v>1.0221222614975058</v>
      </c>
      <c r="P337" s="368">
        <f t="shared" si="147"/>
        <v>0.28264976934179192</v>
      </c>
      <c r="Q337" s="369">
        <f t="shared" si="148"/>
        <v>-14.764940602991658</v>
      </c>
      <c r="R337" s="370">
        <f t="shared" si="149"/>
        <v>-111.09704399198634</v>
      </c>
      <c r="S337" s="372">
        <f t="shared" si="150"/>
        <v>68.90295600801366</v>
      </c>
      <c r="U337" s="345">
        <f t="shared" si="156"/>
        <v>25119</v>
      </c>
      <c r="V337" s="345">
        <f t="shared" si="157"/>
        <v>630964161</v>
      </c>
      <c r="X337" s="371">
        <f t="shared" si="151"/>
        <v>14.305328742997901</v>
      </c>
      <c r="Y337" s="372">
        <f t="shared" si="152"/>
        <v>-35.769353027004549</v>
      </c>
      <c r="AA337" s="371">
        <f t="shared" si="153"/>
        <v>16.950330567290063</v>
      </c>
      <c r="AB337" s="372">
        <f t="shared" si="154"/>
        <v>-75.327690964981798</v>
      </c>
      <c r="AD337">
        <f t="shared" si="158"/>
        <v>0</v>
      </c>
      <c r="AE337">
        <f t="shared" si="135"/>
        <v>0</v>
      </c>
    </row>
    <row r="338" spans="1:31" x14ac:dyDescent="0.2">
      <c r="A338" s="373">
        <v>25265.25</v>
      </c>
      <c r="B338" s="390">
        <f t="shared" si="155"/>
        <v>25.265250000000002</v>
      </c>
      <c r="C338" s="363">
        <f t="shared" si="136"/>
        <v>33.212155100467037</v>
      </c>
      <c r="D338" s="364">
        <f t="shared" si="137"/>
        <v>1.540682317173135</v>
      </c>
      <c r="E338" s="364">
        <f t="shared" si="138"/>
        <v>1.3744671012680674</v>
      </c>
      <c r="F338" s="365">
        <f t="shared" si="139"/>
        <v>0.75604546448816234</v>
      </c>
      <c r="G338" s="364">
        <f t="shared" si="140"/>
        <v>1.031059810905157</v>
      </c>
      <c r="H338" s="365">
        <f t="shared" si="141"/>
        <v>-0.24607572497044441</v>
      </c>
      <c r="I338" s="363">
        <f t="shared" si="142"/>
        <v>85743.847146347558</v>
      </c>
      <c r="J338" s="366">
        <f t="shared" si="143"/>
        <v>1.5707846641504819</v>
      </c>
      <c r="K338" s="374">
        <f t="shared" si="133"/>
        <v>20.897484108688648</v>
      </c>
      <c r="L338" s="375">
        <f t="shared" si="134"/>
        <v>1.5229253948385493</v>
      </c>
      <c r="M338" s="363">
        <f t="shared" si="144"/>
        <v>1.1945807759860587</v>
      </c>
      <c r="N338" s="366">
        <f t="shared" si="145"/>
        <v>0.57881082295928532</v>
      </c>
      <c r="O338" s="367">
        <f t="shared" si="146"/>
        <v>1.022379751757887</v>
      </c>
      <c r="P338" s="368">
        <f t="shared" si="147"/>
        <v>0.28426751913891801</v>
      </c>
      <c r="Q338" s="369">
        <f t="shared" si="148"/>
        <v>-14.806015285561573</v>
      </c>
      <c r="R338" s="370">
        <f t="shared" si="149"/>
        <v>-111.24836125135431</v>
      </c>
      <c r="S338" s="372">
        <f t="shared" si="150"/>
        <v>68.751638748645689</v>
      </c>
      <c r="U338" s="345">
        <f t="shared" si="156"/>
        <v>25265.25</v>
      </c>
      <c r="V338" s="345">
        <f t="shared" si="157"/>
        <v>638332857.5625</v>
      </c>
      <c r="X338" s="371">
        <f t="shared" si="151"/>
        <v>14.290184665444745</v>
      </c>
      <c r="Y338" s="372">
        <f t="shared" si="152"/>
        <v>-35.905551475242738</v>
      </c>
      <c r="AA338" s="371">
        <f t="shared" si="153"/>
        <v>16.924399962273306</v>
      </c>
      <c r="AB338" s="372">
        <f t="shared" si="154"/>
        <v>-75.342809776111579</v>
      </c>
      <c r="AD338">
        <f t="shared" si="158"/>
        <v>0</v>
      </c>
      <c r="AE338">
        <f t="shared" si="135"/>
        <v>0</v>
      </c>
    </row>
    <row r="339" spans="1:31" x14ac:dyDescent="0.2">
      <c r="A339" s="373">
        <v>25411.5</v>
      </c>
      <c r="B339" s="390">
        <f t="shared" si="155"/>
        <v>25.4115</v>
      </c>
      <c r="C339" s="363">
        <f t="shared" si="136"/>
        <v>33.404232631282149</v>
      </c>
      <c r="D339" s="364">
        <f t="shared" si="137"/>
        <v>1.5408555275182265</v>
      </c>
      <c r="E339" s="364">
        <f t="shared" si="138"/>
        <v>1.3782175289661955</v>
      </c>
      <c r="F339" s="365">
        <f t="shared" si="139"/>
        <v>0.7589269117162345</v>
      </c>
      <c r="G339" s="364">
        <f t="shared" si="140"/>
        <v>1.0314149433152353</v>
      </c>
      <c r="H339" s="365">
        <f t="shared" si="141"/>
        <v>-0.24744287410490151</v>
      </c>
      <c r="I339" s="363">
        <f t="shared" si="142"/>
        <v>86240.182533626634</v>
      </c>
      <c r="J339" s="366">
        <f t="shared" si="143"/>
        <v>1.5707847312721293</v>
      </c>
      <c r="K339" s="374">
        <f t="shared" si="133"/>
        <v>21.018174728963981</v>
      </c>
      <c r="L339" s="375">
        <f t="shared" si="134"/>
        <v>1.5232004877956116</v>
      </c>
      <c r="M339" s="363">
        <f t="shared" si="144"/>
        <v>1.1966541930970351</v>
      </c>
      <c r="N339" s="366">
        <f t="shared" si="145"/>
        <v>0.58145697225847515</v>
      </c>
      <c r="O339" s="367">
        <f t="shared" si="146"/>
        <v>1.0226387171734441</v>
      </c>
      <c r="P339" s="368">
        <f t="shared" si="147"/>
        <v>0.285884794717846</v>
      </c>
      <c r="Q339" s="369">
        <f t="shared" si="148"/>
        <v>-14.846821402504816</v>
      </c>
      <c r="R339" s="370">
        <f t="shared" si="149"/>
        <v>-111.40004101574145</v>
      </c>
      <c r="S339" s="372">
        <f t="shared" si="150"/>
        <v>68.599958984258549</v>
      </c>
      <c r="U339" s="345">
        <f t="shared" si="156"/>
        <v>25411.5</v>
      </c>
      <c r="V339" s="345">
        <f t="shared" si="157"/>
        <v>645744332.25</v>
      </c>
      <c r="X339" s="371">
        <f t="shared" si="151"/>
        <v>14.275007614852564</v>
      </c>
      <c r="Y339" s="372">
        <f t="shared" si="152"/>
        <v>-36.041406842576713</v>
      </c>
      <c r="AA339" s="371">
        <f t="shared" si="153"/>
        <v>16.898770895922247</v>
      </c>
      <c r="AB339" s="372">
        <f t="shared" si="154"/>
        <v>-75.358634173164717</v>
      </c>
      <c r="AD339">
        <f t="shared" si="158"/>
        <v>0</v>
      </c>
      <c r="AE339">
        <f t="shared" si="135"/>
        <v>0</v>
      </c>
    </row>
    <row r="340" spans="1:31" x14ac:dyDescent="0.2">
      <c r="A340" s="373">
        <v>25557.75</v>
      </c>
      <c r="B340" s="390">
        <f t="shared" si="155"/>
        <v>25.557749999999999</v>
      </c>
      <c r="C340" s="363">
        <f t="shared" si="136"/>
        <v>33.596311152825685</v>
      </c>
      <c r="D340" s="364">
        <f t="shared" si="137"/>
        <v>1.5410267572945957</v>
      </c>
      <c r="E340" s="364">
        <f t="shared" si="138"/>
        <v>1.3819793374801872</v>
      </c>
      <c r="F340" s="365">
        <f t="shared" si="139"/>
        <v>0.76179269577840913</v>
      </c>
      <c r="G340" s="364">
        <f t="shared" si="140"/>
        <v>1.0317720022104429</v>
      </c>
      <c r="H340" s="365">
        <f t="shared" si="141"/>
        <v>-0.24880907954992865</v>
      </c>
      <c r="I340" s="363">
        <f t="shared" si="142"/>
        <v>86736.517920906088</v>
      </c>
      <c r="J340" s="366">
        <f t="shared" si="143"/>
        <v>1.5707847976255918</v>
      </c>
      <c r="K340" s="374">
        <f t="shared" si="133"/>
        <v>21.138866921650969</v>
      </c>
      <c r="L340" s="375">
        <f t="shared" si="134"/>
        <v>1.5234724394909547</v>
      </c>
      <c r="M340" s="363">
        <f t="shared" si="144"/>
        <v>1.1987359602873489</v>
      </c>
      <c r="N340" s="366">
        <f t="shared" si="145"/>
        <v>0.58409394917615542</v>
      </c>
      <c r="O340" s="367">
        <f t="shared" si="146"/>
        <v>1.0228991574176212</v>
      </c>
      <c r="P340" s="368">
        <f t="shared" si="147"/>
        <v>0.28750159367104772</v>
      </c>
      <c r="Q340" s="369">
        <f t="shared" si="148"/>
        <v>-14.887362627998685</v>
      </c>
      <c r="R340" s="370">
        <f t="shared" si="149"/>
        <v>-111.55207775541234</v>
      </c>
      <c r="S340" s="372">
        <f t="shared" si="150"/>
        <v>68.447922244587659</v>
      </c>
      <c r="U340" s="345">
        <f t="shared" si="156"/>
        <v>25557.75</v>
      </c>
      <c r="V340" s="345">
        <f t="shared" si="157"/>
        <v>653198585.0625</v>
      </c>
      <c r="X340" s="371">
        <f t="shared" si="151"/>
        <v>14.259798087971905</v>
      </c>
      <c r="Y340" s="372">
        <f t="shared" si="152"/>
        <v>-36.176916608186815</v>
      </c>
      <c r="AA340" s="371">
        <f t="shared" si="153"/>
        <v>16.873439197309036</v>
      </c>
      <c r="AB340" s="372">
        <f t="shared" si="154"/>
        <v>-75.375161147225526</v>
      </c>
      <c r="AD340">
        <f t="shared" si="158"/>
        <v>0</v>
      </c>
      <c r="AE340">
        <f t="shared" si="135"/>
        <v>0</v>
      </c>
    </row>
    <row r="341" spans="1:31" x14ac:dyDescent="0.2">
      <c r="A341" s="373">
        <v>25704</v>
      </c>
      <c r="B341" s="390">
        <f t="shared" si="155"/>
        <v>25.704000000000001</v>
      </c>
      <c r="C341" s="363">
        <f t="shared" si="136"/>
        <v>33.788390648201513</v>
      </c>
      <c r="D341" s="364">
        <f t="shared" si="137"/>
        <v>1.5411960402693952</v>
      </c>
      <c r="E341" s="364">
        <f t="shared" si="138"/>
        <v>1.3857524341258494</v>
      </c>
      <c r="F341" s="365">
        <f t="shared" si="139"/>
        <v>0.76464289735325253</v>
      </c>
      <c r="G341" s="364">
        <f t="shared" si="140"/>
        <v>1.0321309855914151</v>
      </c>
      <c r="H341" s="365">
        <f t="shared" si="141"/>
        <v>-0.25017433718747956</v>
      </c>
      <c r="I341" s="363">
        <f t="shared" si="142"/>
        <v>87232.85330818592</v>
      </c>
      <c r="J341" s="366">
        <f t="shared" si="143"/>
        <v>1.5707848632239816</v>
      </c>
      <c r="K341" s="374">
        <f t="shared" si="133"/>
        <v>21.259560659969498</v>
      </c>
      <c r="L341" s="375">
        <f t="shared" si="134"/>
        <v>1.5237413033842586</v>
      </c>
      <c r="M341" s="363">
        <f t="shared" si="144"/>
        <v>1.2008260341295913</v>
      </c>
      <c r="N341" s="366">
        <f t="shared" si="145"/>
        <v>0.58672176483853233</v>
      </c>
      <c r="O341" s="367">
        <f t="shared" si="146"/>
        <v>1.0231610721623972</v>
      </c>
      <c r="P341" s="368">
        <f t="shared" si="147"/>
        <v>0.28911791359644989</v>
      </c>
      <c r="Q341" s="369">
        <f t="shared" si="148"/>
        <v>-14.927642569135084</v>
      </c>
      <c r="R341" s="370">
        <f t="shared" si="149"/>
        <v>-111.70446598418765</v>
      </c>
      <c r="S341" s="372">
        <f t="shared" si="150"/>
        <v>68.295534015812351</v>
      </c>
      <c r="U341" s="345">
        <f t="shared" si="156"/>
        <v>25704</v>
      </c>
      <c r="V341" s="345">
        <f t="shared" si="157"/>
        <v>660695616</v>
      </c>
      <c r="X341" s="371">
        <f t="shared" si="151"/>
        <v>14.244556579274846</v>
      </c>
      <c r="Y341" s="372">
        <f t="shared" si="152"/>
        <v>-36.312078347294928</v>
      </c>
      <c r="AA341" s="371">
        <f t="shared" si="153"/>
        <v>16.848400764869695</v>
      </c>
      <c r="AB341" s="372">
        <f t="shared" si="154"/>
        <v>-75.392387636892693</v>
      </c>
      <c r="AD341">
        <f t="shared" si="158"/>
        <v>0</v>
      </c>
      <c r="AE341">
        <f t="shared" si="135"/>
        <v>0</v>
      </c>
    </row>
    <row r="342" spans="1:31" x14ac:dyDescent="0.2">
      <c r="A342" s="373">
        <v>25853.75</v>
      </c>
      <c r="B342" s="390">
        <f t="shared" si="155"/>
        <v>25.853750000000002</v>
      </c>
      <c r="C342" s="363">
        <f t="shared" si="136"/>
        <v>33.985067909649004</v>
      </c>
      <c r="D342" s="364">
        <f t="shared" si="137"/>
        <v>1.5413673916829094</v>
      </c>
      <c r="E342" s="364">
        <f t="shared" si="138"/>
        <v>1.3896274276437293</v>
      </c>
      <c r="F342" s="365">
        <f t="shared" si="139"/>
        <v>0.76754524696875415</v>
      </c>
      <c r="G342" s="364">
        <f t="shared" si="140"/>
        <v>1.0325005520519976</v>
      </c>
      <c r="H342" s="365">
        <f t="shared" si="141"/>
        <v>-0.25157128127439154</v>
      </c>
      <c r="I342" s="363">
        <f t="shared" si="142"/>
        <v>87741.066807298484</v>
      </c>
      <c r="J342" s="366">
        <f t="shared" si="143"/>
        <v>1.5707849296232368</v>
      </c>
      <c r="K342" s="374">
        <f t="shared" si="133"/>
        <v>21.383144369667171</v>
      </c>
      <c r="L342" s="375">
        <f t="shared" si="134"/>
        <v>1.5240134566663615</v>
      </c>
      <c r="M342" s="363">
        <f t="shared" si="144"/>
        <v>1.2029746888291046</v>
      </c>
      <c r="N342" s="366">
        <f t="shared" si="145"/>
        <v>0.58940298772419042</v>
      </c>
      <c r="O342" s="367">
        <f t="shared" si="146"/>
        <v>1.023430782461842</v>
      </c>
      <c r="P342" s="368">
        <f t="shared" si="147"/>
        <v>0.29077241581852398</v>
      </c>
      <c r="Q342" s="369">
        <f t="shared" si="148"/>
        <v>-14.968619434539224</v>
      </c>
      <c r="R342" s="370">
        <f t="shared" si="149"/>
        <v>-111.86085963368436</v>
      </c>
      <c r="S342" s="372">
        <f t="shared" si="150"/>
        <v>68.139140366315644</v>
      </c>
      <c r="U342" s="345">
        <f t="shared" si="156"/>
        <v>25853.75</v>
      </c>
      <c r="V342" s="345">
        <f t="shared" si="157"/>
        <v>668416389.0625</v>
      </c>
      <c r="X342" s="371">
        <f t="shared" si="151"/>
        <v>14.228917691479282</v>
      </c>
      <c r="Y342" s="372">
        <f t="shared" si="152"/>
        <v>-36.45011167268671</v>
      </c>
      <c r="AA342" s="371">
        <f t="shared" si="153"/>
        <v>16.823062787261119</v>
      </c>
      <c r="AB342" s="372">
        <f t="shared" si="154"/>
        <v>-75.410747960997668</v>
      </c>
      <c r="AD342">
        <f t="shared" si="158"/>
        <v>0</v>
      </c>
      <c r="AE342">
        <f t="shared" si="135"/>
        <v>0</v>
      </c>
    </row>
    <row r="343" spans="1:31" x14ac:dyDescent="0.2">
      <c r="A343" s="373">
        <v>26003.5</v>
      </c>
      <c r="B343" s="390">
        <f t="shared" si="155"/>
        <v>26.003499999999999</v>
      </c>
      <c r="C343" s="363">
        <f t="shared" si="136"/>
        <v>34.181746157459521</v>
      </c>
      <c r="D343" s="364">
        <f t="shared" si="137"/>
        <v>1.5415367712245693</v>
      </c>
      <c r="E343" s="364">
        <f t="shared" si="138"/>
        <v>1.3935140617151671</v>
      </c>
      <c r="F343" s="365">
        <f t="shared" si="139"/>
        <v>0.77043143096368971</v>
      </c>
      <c r="G343" s="364">
        <f t="shared" si="140"/>
        <v>1.0328721319444982</v>
      </c>
      <c r="H343" s="365">
        <f t="shared" si="141"/>
        <v>-0.25296722297131136</v>
      </c>
      <c r="I343" s="363">
        <f t="shared" si="142"/>
        <v>88249.280306411427</v>
      </c>
      <c r="J343" s="366">
        <f t="shared" si="143"/>
        <v>1.5707849952577266</v>
      </c>
      <c r="K343" s="374">
        <f t="shared" ref="K343:K406" si="159">SQRT(1+(A343/Zero2)^2)</f>
        <v>21.506729644957023</v>
      </c>
      <c r="L343" s="375">
        <f t="shared" ref="L343:L406" si="160">ATAN(A343/Zero2)</f>
        <v>1.5242824821901653</v>
      </c>
      <c r="M343" s="363">
        <f t="shared" si="144"/>
        <v>1.2051319607868607</v>
      </c>
      <c r="N343" s="366">
        <f t="shared" si="145"/>
        <v>0.59207463059953347</v>
      </c>
      <c r="O343" s="367">
        <f t="shared" si="146"/>
        <v>1.0237020379800252</v>
      </c>
      <c r="P343" s="368">
        <f t="shared" si="147"/>
        <v>0.29242641073112485</v>
      </c>
      <c r="Q343" s="369">
        <f t="shared" si="148"/>
        <v>-15.009329804888583</v>
      </c>
      <c r="R343" s="370">
        <f t="shared" si="149"/>
        <v>-112.01761029504377</v>
      </c>
      <c r="S343" s="372">
        <f t="shared" si="150"/>
        <v>67.982389704956233</v>
      </c>
      <c r="U343" s="345">
        <f t="shared" si="156"/>
        <v>26003.5</v>
      </c>
      <c r="V343" s="345">
        <f t="shared" si="157"/>
        <v>676182012.25</v>
      </c>
      <c r="X343" s="371">
        <f t="shared" si="151"/>
        <v>14.213246314480175</v>
      </c>
      <c r="Y343" s="372">
        <f t="shared" si="152"/>
        <v>-36.587775267451399</v>
      </c>
      <c r="AA343" s="371">
        <f t="shared" si="153"/>
        <v>16.798023793910868</v>
      </c>
      <c r="AB343" s="372">
        <f t="shared" si="154"/>
        <v>-75.429835027592404</v>
      </c>
      <c r="AD343">
        <f t="shared" si="158"/>
        <v>0</v>
      </c>
      <c r="AE343">
        <f t="shared" si="135"/>
        <v>0</v>
      </c>
    </row>
    <row r="344" spans="1:31" x14ac:dyDescent="0.2">
      <c r="A344" s="373">
        <v>26153.25</v>
      </c>
      <c r="B344" s="390">
        <f t="shared" si="155"/>
        <v>26.15325</v>
      </c>
      <c r="C344" s="363">
        <f t="shared" si="136"/>
        <v>34.378425374704207</v>
      </c>
      <c r="D344" s="364">
        <f t="shared" si="137"/>
        <v>1.5417042127278509</v>
      </c>
      <c r="E344" s="364">
        <f t="shared" si="138"/>
        <v>1.3974122392122661</v>
      </c>
      <c r="F344" s="365">
        <f t="shared" si="139"/>
        <v>0.77330153633859466</v>
      </c>
      <c r="G344" s="364">
        <f t="shared" si="140"/>
        <v>1.0332457230966816</v>
      </c>
      <c r="H344" s="365">
        <f t="shared" si="141"/>
        <v>-0.25436215792222272</v>
      </c>
      <c r="I344" s="363">
        <f t="shared" si="142"/>
        <v>88757.493805524733</v>
      </c>
      <c r="J344" s="366">
        <f t="shared" si="143"/>
        <v>1.5707850601405879</v>
      </c>
      <c r="K344" s="374">
        <f t="shared" si="159"/>
        <v>21.630316459003922</v>
      </c>
      <c r="L344" s="375">
        <f t="shared" si="160"/>
        <v>1.5245484335286004</v>
      </c>
      <c r="M344" s="363">
        <f t="shared" si="144"/>
        <v>1.2072978038093627</v>
      </c>
      <c r="N344" s="366">
        <f t="shared" si="145"/>
        <v>0.59473670678252266</v>
      </c>
      <c r="O344" s="367">
        <f t="shared" si="146"/>
        <v>1.0239748383600746</v>
      </c>
      <c r="P344" s="368">
        <f t="shared" si="147"/>
        <v>0.29407989577347554</v>
      </c>
      <c r="Q344" s="369">
        <f t="shared" si="148"/>
        <v>-15.049777343306394</v>
      </c>
      <c r="R344" s="370">
        <f t="shared" si="149"/>
        <v>-112.17471222002754</v>
      </c>
      <c r="S344" s="372">
        <f t="shared" si="150"/>
        <v>67.825287779972456</v>
      </c>
      <c r="U344" s="345">
        <f t="shared" si="156"/>
        <v>26153.25</v>
      </c>
      <c r="V344" s="345">
        <f t="shared" si="157"/>
        <v>683992485.5625</v>
      </c>
      <c r="X344" s="371">
        <f t="shared" si="151"/>
        <v>14.197542971309121</v>
      </c>
      <c r="Y344" s="372">
        <f t="shared" si="152"/>
        <v>-36.725066825901784</v>
      </c>
      <c r="AA344" s="371">
        <f t="shared" si="153"/>
        <v>16.773279598664107</v>
      </c>
      <c r="AB344" s="372">
        <f t="shared" si="154"/>
        <v>-75.449645394125739</v>
      </c>
      <c r="AD344">
        <f t="shared" si="158"/>
        <v>0</v>
      </c>
      <c r="AE344">
        <f t="shared" si="135"/>
        <v>0</v>
      </c>
    </row>
    <row r="345" spans="1:31" x14ac:dyDescent="0.2">
      <c r="A345" s="373">
        <v>26303</v>
      </c>
      <c r="B345" s="390">
        <f t="shared" si="155"/>
        <v>26.303000000000001</v>
      </c>
      <c r="C345" s="363">
        <f t="shared" si="136"/>
        <v>34.575105544839275</v>
      </c>
      <c r="D345" s="364">
        <f t="shared" si="137"/>
        <v>1.5418697492568245</v>
      </c>
      <c r="E345" s="364">
        <f t="shared" si="138"/>
        <v>1.4013218638010112</v>
      </c>
      <c r="F345" s="365">
        <f t="shared" si="139"/>
        <v>0.77615565018697719</v>
      </c>
      <c r="G345" s="364">
        <f t="shared" si="140"/>
        <v>1.0336213233277043</v>
      </c>
      <c r="H345" s="365">
        <f t="shared" si="141"/>
        <v>-0.25575608179306158</v>
      </c>
      <c r="I345" s="363">
        <f t="shared" si="142"/>
        <v>89265.707304638418</v>
      </c>
      <c r="J345" s="366">
        <f t="shared" si="143"/>
        <v>1.5707851242846582</v>
      </c>
      <c r="K345" s="374">
        <f t="shared" si="159"/>
        <v>21.753904785582215</v>
      </c>
      <c r="L345" s="375">
        <f t="shared" si="160"/>
        <v>1.5248113630389246</v>
      </c>
      <c r="M345" s="363">
        <f t="shared" si="144"/>
        <v>1.2094721718511183</v>
      </c>
      <c r="N345" s="366">
        <f t="shared" si="145"/>
        <v>0.59738923003827749</v>
      </c>
      <c r="O345" s="367">
        <f t="shared" si="146"/>
        <v>1.024249183243537</v>
      </c>
      <c r="P345" s="368">
        <f t="shared" si="147"/>
        <v>0.2957328683908868</v>
      </c>
      <c r="Q345" s="369">
        <f t="shared" si="148"/>
        <v>-15.089965645425057</v>
      </c>
      <c r="R345" s="370">
        <f t="shared" si="149"/>
        <v>-112.3321597078492</v>
      </c>
      <c r="S345" s="372">
        <f t="shared" si="150"/>
        <v>67.6678402921508</v>
      </c>
      <c r="U345" s="345">
        <f t="shared" si="156"/>
        <v>26303</v>
      </c>
      <c r="V345" s="345">
        <f t="shared" si="157"/>
        <v>691847809</v>
      </c>
      <c r="X345" s="371">
        <f t="shared" si="151"/>
        <v>14.181808182251658</v>
      </c>
      <c r="Y345" s="372">
        <f t="shared" si="152"/>
        <v>-36.861984137606768</v>
      </c>
      <c r="AA345" s="371">
        <f t="shared" si="153"/>
        <v>16.748826085602907</v>
      </c>
      <c r="AB345" s="372">
        <f t="shared" si="154"/>
        <v>-75.470175570242446</v>
      </c>
      <c r="AD345">
        <f t="shared" si="158"/>
        <v>0</v>
      </c>
      <c r="AE345">
        <f t="shared" si="135"/>
        <v>0</v>
      </c>
    </row>
    <row r="346" spans="1:31" x14ac:dyDescent="0.2">
      <c r="A346" s="373">
        <v>26456</v>
      </c>
      <c r="B346" s="390">
        <f t="shared" si="155"/>
        <v>26.456</v>
      </c>
      <c r="C346" s="363">
        <f t="shared" si="136"/>
        <v>34.776055200174028</v>
      </c>
      <c r="D346" s="364">
        <f t="shared" si="137"/>
        <v>1.5420369445736966</v>
      </c>
      <c r="E346" s="364">
        <f t="shared" si="138"/>
        <v>1.4053280613926629</v>
      </c>
      <c r="F346" s="365">
        <f t="shared" si="139"/>
        <v>0.77905528119879808</v>
      </c>
      <c r="G346" s="364">
        <f t="shared" si="140"/>
        <v>1.0340071478281871</v>
      </c>
      <c r="H346" s="365">
        <f t="shared" si="141"/>
        <v>-0.25717920904924108</v>
      </c>
      <c r="I346" s="363">
        <f t="shared" si="142"/>
        <v>89784.9504790254</v>
      </c>
      <c r="J346" s="366">
        <f t="shared" si="143"/>
        <v>1.5707851890708717</v>
      </c>
      <c r="K346" s="374">
        <f t="shared" si="159"/>
        <v>21.880176865063596</v>
      </c>
      <c r="L346" s="375">
        <f t="shared" si="160"/>
        <v>1.5250769311824297</v>
      </c>
      <c r="M346" s="363">
        <f t="shared" si="144"/>
        <v>1.2117024866604755</v>
      </c>
      <c r="N346" s="366">
        <f t="shared" si="145"/>
        <v>0.60008946918978179</v>
      </c>
      <c r="O346" s="367">
        <f t="shared" si="146"/>
        <v>1.0245310769623626</v>
      </c>
      <c r="P346" s="368">
        <f t="shared" si="147"/>
        <v>0.29742118332695083</v>
      </c>
      <c r="Q346" s="369">
        <f t="shared" si="148"/>
        <v>-15.130762082522608</v>
      </c>
      <c r="R346" s="370">
        <f t="shared" si="149"/>
        <v>-112.49337526597429</v>
      </c>
      <c r="S346" s="372">
        <f t="shared" si="150"/>
        <v>67.506624734025706</v>
      </c>
      <c r="U346" s="345">
        <f t="shared" si="156"/>
        <v>26456</v>
      </c>
      <c r="V346" s="345">
        <f t="shared" si="157"/>
        <v>699919936</v>
      </c>
      <c r="X346" s="371">
        <f t="shared" si="151"/>
        <v>14.165699964929789</v>
      </c>
      <c r="Y346" s="372">
        <f t="shared" si="152"/>
        <v>-37.001484223003985</v>
      </c>
      <c r="AA346" s="371">
        <f t="shared" si="153"/>
        <v>16.724137865827228</v>
      </c>
      <c r="AB346" s="372">
        <f t="shared" si="154"/>
        <v>-75.491891042970281</v>
      </c>
      <c r="AD346">
        <f t="shared" si="158"/>
        <v>0</v>
      </c>
      <c r="AE346">
        <f t="shared" ref="AE346:AE409" si="161">IF(AD346&gt;0,S346,0)</f>
        <v>0</v>
      </c>
    </row>
    <row r="347" spans="1:31" x14ac:dyDescent="0.2">
      <c r="A347" s="373">
        <v>26609</v>
      </c>
      <c r="B347" s="390">
        <f t="shared" si="155"/>
        <v>26.609000000000002</v>
      </c>
      <c r="C347" s="363">
        <f t="shared" si="136"/>
        <v>34.977005816477885</v>
      </c>
      <c r="D347" s="364">
        <f t="shared" si="137"/>
        <v>1.5422022187471685</v>
      </c>
      <c r="E347" s="364">
        <f t="shared" si="138"/>
        <v>1.4093460075531163</v>
      </c>
      <c r="F347" s="365">
        <f t="shared" si="139"/>
        <v>0.78193840304920992</v>
      </c>
      <c r="G347" s="364">
        <f t="shared" si="140"/>
        <v>1.0343950649295333</v>
      </c>
      <c r="H347" s="365">
        <f t="shared" si="141"/>
        <v>-0.25860127178612546</v>
      </c>
      <c r="I347" s="363">
        <f t="shared" si="142"/>
        <v>90304.193653412745</v>
      </c>
      <c r="J347" s="366">
        <f t="shared" si="143"/>
        <v>1.5707852531120523</v>
      </c>
      <c r="K347" s="374">
        <f t="shared" si="159"/>
        <v>22.006450469967028</v>
      </c>
      <c r="L347" s="375">
        <f t="shared" si="160"/>
        <v>1.525339451669967</v>
      </c>
      <c r="M347" s="363">
        <f t="shared" si="144"/>
        <v>1.2139416038445865</v>
      </c>
      <c r="N347" s="366">
        <f t="shared" si="145"/>
        <v>0.60277976670621436</v>
      </c>
      <c r="O347" s="367">
        <f t="shared" si="146"/>
        <v>1.0248145821907988</v>
      </c>
      <c r="P347" s="368">
        <f t="shared" si="147"/>
        <v>0.29910895798265646</v>
      </c>
      <c r="Q347" s="369">
        <f t="shared" si="148"/>
        <v>-15.17129528798943</v>
      </c>
      <c r="R347" s="370">
        <f t="shared" si="149"/>
        <v>-112.65493966912197</v>
      </c>
      <c r="S347" s="372">
        <f t="shared" si="150"/>
        <v>67.345060330878027</v>
      </c>
      <c r="U347" s="345">
        <f t="shared" si="156"/>
        <v>26609</v>
      </c>
      <c r="V347" s="345">
        <f t="shared" si="157"/>
        <v>708038881</v>
      </c>
      <c r="X347" s="371">
        <f t="shared" si="151"/>
        <v>14.149560011000268</v>
      </c>
      <c r="Y347" s="372">
        <f t="shared" si="152"/>
        <v>-37.140589269806803</v>
      </c>
      <c r="AA347" s="371">
        <f t="shared" si="153"/>
        <v>16.699744614289923</v>
      </c>
      <c r="AB347" s="372">
        <f t="shared" si="154"/>
        <v>-75.514350399315219</v>
      </c>
      <c r="AD347">
        <f t="shared" si="158"/>
        <v>0</v>
      </c>
      <c r="AE347">
        <f t="shared" si="161"/>
        <v>0</v>
      </c>
    </row>
    <row r="348" spans="1:31" x14ac:dyDescent="0.2">
      <c r="A348" s="373">
        <v>26762</v>
      </c>
      <c r="B348" s="390">
        <f t="shared" si="155"/>
        <v>26.762</v>
      </c>
      <c r="C348" s="363">
        <f t="shared" si="136"/>
        <v>35.17795737728251</v>
      </c>
      <c r="D348" s="364">
        <f t="shared" si="137"/>
        <v>1.5423656046913148</v>
      </c>
      <c r="E348" s="364">
        <f t="shared" si="138"/>
        <v>1.4133756020858306</v>
      </c>
      <c r="F348" s="365">
        <f t="shared" si="139"/>
        <v>0.78480510880745158</v>
      </c>
      <c r="G348" s="364">
        <f t="shared" si="140"/>
        <v>1.0347850722783389</v>
      </c>
      <c r="H348" s="365">
        <f t="shared" si="141"/>
        <v>-0.26002226545258433</v>
      </c>
      <c r="I348" s="363">
        <f t="shared" si="142"/>
        <v>90823.436827800469</v>
      </c>
      <c r="J348" s="366">
        <f t="shared" si="143"/>
        <v>1.5707853164209784</v>
      </c>
      <c r="K348" s="374">
        <f t="shared" si="159"/>
        <v>22.132725574183592</v>
      </c>
      <c r="L348" s="375">
        <f t="shared" si="160"/>
        <v>1.5255989766289366</v>
      </c>
      <c r="M348" s="363">
        <f t="shared" si="144"/>
        <v>1.2161894747854967</v>
      </c>
      <c r="N348" s="366">
        <f t="shared" si="145"/>
        <v>0.60546013866234472</v>
      </c>
      <c r="O348" s="367">
        <f t="shared" si="146"/>
        <v>1.0250996985414786</v>
      </c>
      <c r="P348" s="368">
        <f t="shared" si="147"/>
        <v>0.30079618965318128</v>
      </c>
      <c r="Q348" s="369">
        <f t="shared" si="148"/>
        <v>-15.211568887883262</v>
      </c>
      <c r="R348" s="370">
        <f t="shared" si="149"/>
        <v>-112.81684698998853</v>
      </c>
      <c r="S348" s="372">
        <f t="shared" si="150"/>
        <v>67.183153010011466</v>
      </c>
      <c r="U348" s="345">
        <f t="shared" si="156"/>
        <v>26762</v>
      </c>
      <c r="V348" s="345">
        <f t="shared" si="157"/>
        <v>716204644</v>
      </c>
      <c r="X348" s="371">
        <f t="shared" si="151"/>
        <v>14.133388866141726</v>
      </c>
      <c r="Y348" s="372">
        <f t="shared" si="152"/>
        <v>-37.279297213083808</v>
      </c>
      <c r="AA348" s="371">
        <f t="shared" si="153"/>
        <v>16.675642159254632</v>
      </c>
      <c r="AB348" s="372">
        <f t="shared" si="154"/>
        <v>-75.537549776904768</v>
      </c>
      <c r="AD348">
        <f t="shared" si="158"/>
        <v>0</v>
      </c>
      <c r="AE348">
        <f t="shared" si="161"/>
        <v>0</v>
      </c>
    </row>
    <row r="349" spans="1:31" x14ac:dyDescent="0.2">
      <c r="A349" s="373">
        <v>26915</v>
      </c>
      <c r="B349" s="390">
        <f t="shared" si="155"/>
        <v>26.914999999999999</v>
      </c>
      <c r="C349" s="363">
        <f t="shared" si="136"/>
        <v>35.378909866493679</v>
      </c>
      <c r="D349" s="364">
        <f t="shared" si="137"/>
        <v>1.54252713457281</v>
      </c>
      <c r="E349" s="364">
        <f t="shared" si="138"/>
        <v>1.4174167456448323</v>
      </c>
      <c r="F349" s="365">
        <f t="shared" si="139"/>
        <v>0.78765549156522763</v>
      </c>
      <c r="G349" s="364">
        <f t="shared" si="140"/>
        <v>1.0351771675120756</v>
      </c>
      <c r="H349" s="365">
        <f t="shared" si="141"/>
        <v>-0.26144218552159693</v>
      </c>
      <c r="I349" s="363">
        <f t="shared" si="142"/>
        <v>91342.680002188543</v>
      </c>
      <c r="J349" s="366">
        <f t="shared" si="143"/>
        <v>1.5707853790101372</v>
      </c>
      <c r="K349" s="374">
        <f t="shared" si="159"/>
        <v>22.259002152196516</v>
      </c>
      <c r="L349" s="375">
        <f t="shared" si="160"/>
        <v>1.5258555570054866</v>
      </c>
      <c r="M349" s="363">
        <f t="shared" si="144"/>
        <v>1.2184460510346551</v>
      </c>
      <c r="N349" s="366">
        <f t="shared" si="145"/>
        <v>0.60813060158502241</v>
      </c>
      <c r="O349" s="367">
        <f t="shared" si="146"/>
        <v>1.0253864256253453</v>
      </c>
      <c r="P349" s="368">
        <f t="shared" si="147"/>
        <v>0.3024828756404348</v>
      </c>
      <c r="Q349" s="369">
        <f t="shared" si="148"/>
        <v>-15.251586440984973</v>
      </c>
      <c r="R349" s="370">
        <f t="shared" si="149"/>
        <v>-112.97909135249334</v>
      </c>
      <c r="S349" s="372">
        <f t="shared" si="150"/>
        <v>67.020908647506658</v>
      </c>
      <c r="U349" s="345">
        <f t="shared" si="156"/>
        <v>26915</v>
      </c>
      <c r="V349" s="345">
        <f t="shared" si="157"/>
        <v>724417225</v>
      </c>
      <c r="X349" s="371">
        <f t="shared" si="151"/>
        <v>14.117187072819959</v>
      </c>
      <c r="Y349" s="372">
        <f t="shared" si="152"/>
        <v>-37.417606081469899</v>
      </c>
      <c r="AA349" s="371">
        <f t="shared" si="153"/>
        <v>16.651826399474693</v>
      </c>
      <c r="AB349" s="372">
        <f t="shared" si="154"/>
        <v>-75.561485271023443</v>
      </c>
      <c r="AD349">
        <f t="shared" si="158"/>
        <v>0</v>
      </c>
      <c r="AE349">
        <f t="shared" si="161"/>
        <v>0</v>
      </c>
    </row>
    <row r="350" spans="1:31" x14ac:dyDescent="0.2">
      <c r="A350" s="373">
        <v>27071.75</v>
      </c>
      <c r="B350" s="390">
        <f t="shared" si="155"/>
        <v>27.071750000000002</v>
      </c>
      <c r="C350" s="363">
        <f t="shared" si="136"/>
        <v>35.584788608186166</v>
      </c>
      <c r="D350" s="364">
        <f t="shared" si="137"/>
        <v>1.5426907315298244</v>
      </c>
      <c r="E350" s="364">
        <f t="shared" si="138"/>
        <v>1.4215688109524527</v>
      </c>
      <c r="F350" s="365">
        <f t="shared" si="139"/>
        <v>0.79055890596674494</v>
      </c>
      <c r="G350" s="364">
        <f t="shared" si="140"/>
        <v>1.0355810357160007</v>
      </c>
      <c r="H350" s="365">
        <f t="shared" si="141"/>
        <v>-0.26289578945491116</v>
      </c>
      <c r="I350" s="363">
        <f t="shared" si="142"/>
        <v>91874.64972496884</v>
      </c>
      <c r="J350" s="366">
        <f t="shared" si="143"/>
        <v>1.5707854423996579</v>
      </c>
      <c r="K350" s="374">
        <f t="shared" si="159"/>
        <v>22.388375246725687</v>
      </c>
      <c r="L350" s="375">
        <f t="shared" si="160"/>
        <v>1.5261154244518369</v>
      </c>
      <c r="M350" s="363">
        <f t="shared" si="144"/>
        <v>1.2207669130217564</v>
      </c>
      <c r="N350" s="366">
        <f t="shared" si="145"/>
        <v>0.61085625846361469</v>
      </c>
      <c r="O350" s="367">
        <f t="shared" si="146"/>
        <v>1.0256818503604006</v>
      </c>
      <c r="P350" s="368">
        <f t="shared" si="147"/>
        <v>0.30421033324760416</v>
      </c>
      <c r="Q350" s="369">
        <f t="shared" si="148"/>
        <v>-15.292322930916761</v>
      </c>
      <c r="R350" s="370">
        <f t="shared" si="149"/>
        <v>-113.14565573670585</v>
      </c>
      <c r="S350" s="372">
        <f t="shared" si="150"/>
        <v>66.854344263294152</v>
      </c>
      <c r="U350" s="345">
        <f t="shared" si="156"/>
        <v>27071.75</v>
      </c>
      <c r="V350" s="345">
        <f t="shared" si="157"/>
        <v>732879648.0625</v>
      </c>
      <c r="X350" s="371">
        <f t="shared" si="151"/>
        <v>14.100556956007324</v>
      </c>
      <c r="Y350" s="372">
        <f t="shared" si="152"/>
        <v>-37.558889041218769</v>
      </c>
      <c r="AA350" s="371">
        <f t="shared" si="153"/>
        <v>16.627720026355533</v>
      </c>
      <c r="AB350" s="372">
        <f t="shared" si="154"/>
        <v>-75.5867666954871</v>
      </c>
      <c r="AD350">
        <f t="shared" si="158"/>
        <v>0</v>
      </c>
      <c r="AE350">
        <f t="shared" si="161"/>
        <v>0</v>
      </c>
    </row>
    <row r="351" spans="1:31" x14ac:dyDescent="0.2">
      <c r="A351" s="373">
        <v>27228.5</v>
      </c>
      <c r="B351" s="390">
        <f t="shared" si="155"/>
        <v>27.2285</v>
      </c>
      <c r="C351" s="363">
        <f t="shared" si="136"/>
        <v>35.790668291311789</v>
      </c>
      <c r="D351" s="364">
        <f t="shared" si="137"/>
        <v>1.5428524463642315</v>
      </c>
      <c r="E351" s="364">
        <f t="shared" si="138"/>
        <v>1.4257327899658567</v>
      </c>
      <c r="F351" s="365">
        <f t="shared" si="139"/>
        <v>0.79344538522426544</v>
      </c>
      <c r="G351" s="364">
        <f t="shared" si="140"/>
        <v>1.0359870903570374</v>
      </c>
      <c r="H351" s="365">
        <f t="shared" si="141"/>
        <v>-0.26434825697651487</v>
      </c>
      <c r="I351" s="363">
        <f t="shared" si="142"/>
        <v>92406.619447749516</v>
      </c>
      <c r="J351" s="366">
        <f t="shared" si="143"/>
        <v>1.5707855050593327</v>
      </c>
      <c r="K351" s="374">
        <f t="shared" si="159"/>
        <v>22.517749835793158</v>
      </c>
      <c r="L351" s="375">
        <f t="shared" si="160"/>
        <v>1.5263723058049157</v>
      </c>
      <c r="M351" s="363">
        <f t="shared" si="144"/>
        <v>1.2230968098791755</v>
      </c>
      <c r="N351" s="366">
        <f t="shared" si="145"/>
        <v>0.61357155115521389</v>
      </c>
      <c r="O351" s="367">
        <f t="shared" si="146"/>
        <v>1.0259789649216344</v>
      </c>
      <c r="P351" s="368">
        <f t="shared" si="147"/>
        <v>0.30593721238292809</v>
      </c>
      <c r="Q351" s="369">
        <f t="shared" si="148"/>
        <v>-15.332798021097942</v>
      </c>
      <c r="R351" s="370">
        <f t="shared" si="149"/>
        <v>-113.31256156447499</v>
      </c>
      <c r="S351" s="372">
        <f t="shared" si="150"/>
        <v>66.68743843552501</v>
      </c>
      <c r="U351" s="345">
        <f t="shared" si="156"/>
        <v>27228.5</v>
      </c>
      <c r="V351" s="345">
        <f t="shared" si="157"/>
        <v>741391212.25</v>
      </c>
      <c r="X351" s="371">
        <f t="shared" si="151"/>
        <v>14.083895812120071</v>
      </c>
      <c r="Y351" s="372">
        <f t="shared" si="152"/>
        <v>-37.699749225518964</v>
      </c>
      <c r="AA351" s="371">
        <f t="shared" si="153"/>
        <v>16.603906080061613</v>
      </c>
      <c r="AB351" s="372">
        <f t="shared" si="154"/>
        <v>-75.612812338956033</v>
      </c>
      <c r="AD351">
        <f t="shared" si="158"/>
        <v>0</v>
      </c>
      <c r="AE351">
        <f t="shared" si="161"/>
        <v>0</v>
      </c>
    </row>
    <row r="352" spans="1:31" x14ac:dyDescent="0.2">
      <c r="A352" s="373">
        <v>27385.25</v>
      </c>
      <c r="B352" s="390">
        <f t="shared" si="155"/>
        <v>27.385249999999999</v>
      </c>
      <c r="C352" s="363">
        <f t="shared" si="136"/>
        <v>35.996548899717155</v>
      </c>
      <c r="D352" s="364">
        <f t="shared" si="137"/>
        <v>1.5430123113616414</v>
      </c>
      <c r="E352" s="364">
        <f t="shared" si="138"/>
        <v>1.4299085786047845</v>
      </c>
      <c r="F352" s="365">
        <f t="shared" si="139"/>
        <v>0.79631502939668108</v>
      </c>
      <c r="G352" s="364">
        <f t="shared" si="140"/>
        <v>1.0363953288652794</v>
      </c>
      <c r="H352" s="365">
        <f t="shared" si="141"/>
        <v>-0.26579958329731407</v>
      </c>
      <c r="I352" s="363">
        <f t="shared" si="142"/>
        <v>92938.589170530555</v>
      </c>
      <c r="J352" s="366">
        <f t="shared" si="143"/>
        <v>1.5707855670016939</v>
      </c>
      <c r="K352" s="374">
        <f t="shared" si="159"/>
        <v>22.647125893785706</v>
      </c>
      <c r="L352" s="375">
        <f t="shared" si="160"/>
        <v>1.5266262522064216</v>
      </c>
      <c r="M352" s="363">
        <f t="shared" si="144"/>
        <v>1.2254356900734475</v>
      </c>
      <c r="N352" s="366">
        <f t="shared" si="145"/>
        <v>0.61627649885091695</v>
      </c>
      <c r="O352" s="367">
        <f t="shared" si="146"/>
        <v>1.0262777688852125</v>
      </c>
      <c r="P352" s="368">
        <f t="shared" si="147"/>
        <v>0.30766351016716803</v>
      </c>
      <c r="Q352" s="369">
        <f t="shared" si="148"/>
        <v>-15.373015328358955</v>
      </c>
      <c r="R352" s="370">
        <f t="shared" si="149"/>
        <v>-113.47980268339803</v>
      </c>
      <c r="S352" s="372">
        <f t="shared" si="150"/>
        <v>66.520197316601966</v>
      </c>
      <c r="U352" s="345">
        <f t="shared" si="156"/>
        <v>27385.25</v>
      </c>
      <c r="V352" s="345">
        <f t="shared" si="157"/>
        <v>749951917.5625</v>
      </c>
      <c r="X352" s="371">
        <f t="shared" si="151"/>
        <v>14.067204213695428</v>
      </c>
      <c r="Y352" s="372">
        <f t="shared" si="152"/>
        <v>-37.840184804453905</v>
      </c>
      <c r="AA352" s="371">
        <f t="shared" si="153"/>
        <v>16.580380371225242</v>
      </c>
      <c r="AB352" s="372">
        <f t="shared" si="154"/>
        <v>-75.639617878944179</v>
      </c>
      <c r="AD352">
        <f t="shared" si="158"/>
        <v>0</v>
      </c>
      <c r="AE352">
        <f t="shared" si="161"/>
        <v>0</v>
      </c>
    </row>
    <row r="353" spans="1:31" x14ac:dyDescent="0.2">
      <c r="A353" s="373">
        <v>27542</v>
      </c>
      <c r="B353" s="390">
        <f t="shared" si="155"/>
        <v>27.542000000000002</v>
      </c>
      <c r="C353" s="363">
        <f t="shared" si="136"/>
        <v>36.202430417616284</v>
      </c>
      <c r="D353" s="364">
        <f t="shared" si="137"/>
        <v>1.54317035807362</v>
      </c>
      <c r="E353" s="364">
        <f t="shared" si="138"/>
        <v>1.4340960737077406</v>
      </c>
      <c r="F353" s="365">
        <f t="shared" si="139"/>
        <v>0.79916793848823631</v>
      </c>
      <c r="G353" s="364">
        <f t="shared" si="140"/>
        <v>1.0368057486610571</v>
      </c>
      <c r="H353" s="365">
        <f t="shared" si="141"/>
        <v>-0.26724976365496722</v>
      </c>
      <c r="I353" s="363">
        <f t="shared" si="142"/>
        <v>93470.558893311929</v>
      </c>
      <c r="J353" s="366">
        <f t="shared" si="143"/>
        <v>1.5707856282389892</v>
      </c>
      <c r="K353" s="374">
        <f t="shared" si="159"/>
        <v>22.776503395671782</v>
      </c>
      <c r="L353" s="375">
        <f t="shared" si="160"/>
        <v>1.5268773136375853</v>
      </c>
      <c r="M353" s="363">
        <f t="shared" si="144"/>
        <v>1.2277835022658437</v>
      </c>
      <c r="N353" s="366">
        <f t="shared" si="145"/>
        <v>0.61897112120140207</v>
      </c>
      <c r="O353" s="367">
        <f t="shared" si="146"/>
        <v>1.0265782618254782</v>
      </c>
      <c r="P353" s="368">
        <f t="shared" si="147"/>
        <v>0.30938922372860939</v>
      </c>
      <c r="Q353" s="369">
        <f t="shared" si="148"/>
        <v>-15.412978401765692</v>
      </c>
      <c r="R353" s="370">
        <f t="shared" si="149"/>
        <v>-113.64737299691539</v>
      </c>
      <c r="S353" s="372">
        <f t="shared" si="150"/>
        <v>66.352627003084606</v>
      </c>
      <c r="U353" s="345">
        <f t="shared" si="156"/>
        <v>27542</v>
      </c>
      <c r="V353" s="345">
        <f t="shared" si="157"/>
        <v>758561764</v>
      </c>
      <c r="X353" s="371">
        <f t="shared" si="151"/>
        <v>14.050482729531272</v>
      </c>
      <c r="Y353" s="372">
        <f t="shared" si="152"/>
        <v>-37.980194040912664</v>
      </c>
      <c r="AA353" s="371">
        <f t="shared" si="153"/>
        <v>16.557138781982662</v>
      </c>
      <c r="AB353" s="372">
        <f t="shared" si="154"/>
        <v>-75.667178956002715</v>
      </c>
      <c r="AD353">
        <f t="shared" si="158"/>
        <v>0</v>
      </c>
      <c r="AE353">
        <f t="shared" si="161"/>
        <v>0</v>
      </c>
    </row>
    <row r="354" spans="1:31" x14ac:dyDescent="0.2">
      <c r="A354" s="373">
        <v>27702.5</v>
      </c>
      <c r="B354" s="390">
        <f t="shared" si="155"/>
        <v>27.702500000000001</v>
      </c>
      <c r="C354" s="363">
        <f t="shared" si="136"/>
        <v>36.41323825695941</v>
      </c>
      <c r="D354" s="364">
        <f t="shared" si="137"/>
        <v>1.5433303339563587</v>
      </c>
      <c r="E354" s="364">
        <f t="shared" si="138"/>
        <v>1.43839577123657</v>
      </c>
      <c r="F354" s="365">
        <f t="shared" si="139"/>
        <v>0.80207186295317834</v>
      </c>
      <c r="G354" s="364">
        <f t="shared" si="140"/>
        <v>1.0372282445953744</v>
      </c>
      <c r="H354" s="365">
        <f t="shared" si="141"/>
        <v>-0.26873344496265444</v>
      </c>
      <c r="I354" s="363">
        <f t="shared" si="142"/>
        <v>94015.25516448557</v>
      </c>
      <c r="J354" s="366">
        <f t="shared" si="143"/>
        <v>1.5707856902232225</v>
      </c>
      <c r="K354" s="374">
        <f t="shared" si="159"/>
        <v>22.908977523676466</v>
      </c>
      <c r="L354" s="375">
        <f t="shared" si="160"/>
        <v>1.5271314430168725</v>
      </c>
      <c r="M354" s="363">
        <f t="shared" si="144"/>
        <v>1.2301966838811114</v>
      </c>
      <c r="N354" s="366">
        <f t="shared" si="145"/>
        <v>0.62171953037134831</v>
      </c>
      <c r="O354" s="367">
        <f t="shared" si="146"/>
        <v>1.0268876932148143</v>
      </c>
      <c r="P354" s="368">
        <f t="shared" si="147"/>
        <v>0.31115561395718222</v>
      </c>
      <c r="Q354" s="369">
        <f t="shared" si="148"/>
        <v>-15.453637736884005</v>
      </c>
      <c r="R354" s="370">
        <f t="shared" si="149"/>
        <v>-113.81928696265848</v>
      </c>
      <c r="S354" s="372">
        <f t="shared" si="150"/>
        <v>66.180713037341519</v>
      </c>
      <c r="U354" s="345">
        <f t="shared" si="156"/>
        <v>27702.5</v>
      </c>
      <c r="V354" s="345">
        <f t="shared" si="157"/>
        <v>767428506.25</v>
      </c>
      <c r="X354" s="371">
        <f t="shared" si="151"/>
        <v>14.03333083321143</v>
      </c>
      <c r="Y354" s="372">
        <f t="shared" si="152"/>
        <v>-38.123109297440479</v>
      </c>
      <c r="AA354" s="371">
        <f t="shared" si="153"/>
        <v>16.53363134318419</v>
      </c>
      <c r="AB354" s="372">
        <f t="shared" si="154"/>
        <v>-75.696177665218002</v>
      </c>
      <c r="AD354">
        <f t="shared" si="158"/>
        <v>0</v>
      </c>
      <c r="AE354">
        <f t="shared" si="161"/>
        <v>0</v>
      </c>
    </row>
    <row r="355" spans="1:31" x14ac:dyDescent="0.2">
      <c r="A355" s="373">
        <v>27863</v>
      </c>
      <c r="B355" s="390">
        <f t="shared" si="155"/>
        <v>27.863</v>
      </c>
      <c r="C355" s="363">
        <f t="shared" si="136"/>
        <v>36.624047017472428</v>
      </c>
      <c r="D355" s="364">
        <f t="shared" si="137"/>
        <v>1.5434884681942271</v>
      </c>
      <c r="E355" s="364">
        <f t="shared" si="138"/>
        <v>1.4427075260770872</v>
      </c>
      <c r="F355" s="365">
        <f t="shared" si="139"/>
        <v>0.80495845398329235</v>
      </c>
      <c r="G355" s="364">
        <f t="shared" si="140"/>
        <v>1.0376530219285716</v>
      </c>
      <c r="H355" s="365">
        <f t="shared" si="141"/>
        <v>-0.27021591480137841</v>
      </c>
      <c r="I355" s="363">
        <f t="shared" si="142"/>
        <v>94559.951435659561</v>
      </c>
      <c r="J355" s="366">
        <f t="shared" si="143"/>
        <v>1.5707857514933568</v>
      </c>
      <c r="K355" s="374">
        <f t="shared" si="159"/>
        <v>23.04145311417032</v>
      </c>
      <c r="L355" s="375">
        <f t="shared" si="160"/>
        <v>1.5273826502059404</v>
      </c>
      <c r="M355" s="363">
        <f t="shared" si="144"/>
        <v>1.2326191216718665</v>
      </c>
      <c r="N355" s="366">
        <f t="shared" si="145"/>
        <v>0.62445715738340712</v>
      </c>
      <c r="O355" s="367">
        <f t="shared" si="146"/>
        <v>1.0271988944507455</v>
      </c>
      <c r="P355" s="368">
        <f t="shared" si="147"/>
        <v>0.31292138560607874</v>
      </c>
      <c r="Q355" s="369">
        <f t="shared" si="148"/>
        <v>-15.494037847935827</v>
      </c>
      <c r="R355" s="370">
        <f t="shared" si="149"/>
        <v>-113.99153330463093</v>
      </c>
      <c r="S355" s="372">
        <f t="shared" si="150"/>
        <v>66.008466695369066</v>
      </c>
      <c r="U355" s="345">
        <f t="shared" si="156"/>
        <v>27863</v>
      </c>
      <c r="V355" s="345">
        <f t="shared" si="157"/>
        <v>776346769</v>
      </c>
      <c r="X355" s="371">
        <f t="shared" si="151"/>
        <v>14.016148798854061</v>
      </c>
      <c r="Y355" s="372">
        <f t="shared" si="152"/>
        <v>-38.265574170078423</v>
      </c>
      <c r="AA355" s="371">
        <f t="shared" si="153"/>
        <v>16.510413266489739</v>
      </c>
      <c r="AB355" s="372">
        <f t="shared" si="154"/>
        <v>-75.725959134552511</v>
      </c>
      <c r="AD355">
        <f t="shared" si="158"/>
        <v>0</v>
      </c>
      <c r="AE355">
        <f t="shared" si="161"/>
        <v>0</v>
      </c>
    </row>
    <row r="356" spans="1:31" x14ac:dyDescent="0.2">
      <c r="A356" s="373">
        <v>28023.5</v>
      </c>
      <c r="B356" s="390">
        <f t="shared" si="155"/>
        <v>28.023499999999999</v>
      </c>
      <c r="C356" s="363">
        <f t="shared" si="136"/>
        <v>36.834856683339545</v>
      </c>
      <c r="D356" s="364">
        <f t="shared" si="137"/>
        <v>1.5436447923990162</v>
      </c>
      <c r="E356" s="364">
        <f t="shared" si="138"/>
        <v>1.4470312304468844</v>
      </c>
      <c r="F356" s="365">
        <f t="shared" si="139"/>
        <v>0.8078278186348814</v>
      </c>
      <c r="G356" s="364">
        <f t="shared" si="140"/>
        <v>1.0380800778600363</v>
      </c>
      <c r="H356" s="365">
        <f t="shared" si="141"/>
        <v>-0.27169716814623696</v>
      </c>
      <c r="I356" s="363">
        <f t="shared" si="142"/>
        <v>95104.647706833915</v>
      </c>
      <c r="J356" s="366">
        <f t="shared" si="143"/>
        <v>1.570785812061662</v>
      </c>
      <c r="K356" s="374">
        <f t="shared" si="159"/>
        <v>23.173930142072027</v>
      </c>
      <c r="L356" s="375">
        <f t="shared" si="160"/>
        <v>1.527630985288142</v>
      </c>
      <c r="M356" s="363">
        <f t="shared" si="144"/>
        <v>1.2350507611727155</v>
      </c>
      <c r="N356" s="366">
        <f t="shared" si="145"/>
        <v>0.62718402476798152</v>
      </c>
      <c r="O356" s="367">
        <f t="shared" si="146"/>
        <v>1.0275118650704476</v>
      </c>
      <c r="P356" s="368">
        <f t="shared" si="147"/>
        <v>0.31468653561720489</v>
      </c>
      <c r="Q356" s="369">
        <f t="shared" si="148"/>
        <v>-15.534182333733316</v>
      </c>
      <c r="R356" s="370">
        <f t="shared" si="149"/>
        <v>-114.16410565909429</v>
      </c>
      <c r="S356" s="372">
        <f t="shared" si="150"/>
        <v>65.83589434090571</v>
      </c>
      <c r="U356" s="345">
        <f t="shared" si="156"/>
        <v>28023.5</v>
      </c>
      <c r="V356" s="345">
        <f t="shared" si="157"/>
        <v>785316552.25</v>
      </c>
      <c r="X356" s="371">
        <f t="shared" si="151"/>
        <v>13.998937224602894</v>
      </c>
      <c r="Y356" s="372">
        <f t="shared" si="152"/>
        <v>-38.407587080861752</v>
      </c>
      <c r="AA356" s="371">
        <f t="shared" si="153"/>
        <v>16.487480354943415</v>
      </c>
      <c r="AB356" s="372">
        <f t="shared" si="154"/>
        <v>-75.75651857823253</v>
      </c>
      <c r="AD356">
        <f t="shared" si="158"/>
        <v>0</v>
      </c>
      <c r="AE356">
        <f t="shared" si="161"/>
        <v>0</v>
      </c>
    </row>
    <row r="357" spans="1:31" x14ac:dyDescent="0.2">
      <c r="A357" s="373">
        <v>28184</v>
      </c>
      <c r="B357" s="390">
        <f t="shared" si="155"/>
        <v>28.184000000000001</v>
      </c>
      <c r="C357" s="363">
        <f t="shared" si="136"/>
        <v>37.04566723910493</v>
      </c>
      <c r="D357" s="364">
        <f t="shared" si="137"/>
        <v>1.5437993374633199</v>
      </c>
      <c r="E357" s="364">
        <f t="shared" si="138"/>
        <v>1.4513667775509786</v>
      </c>
      <c r="F357" s="365">
        <f t="shared" si="139"/>
        <v>0.81068006382497171</v>
      </c>
      <c r="G357" s="364">
        <f t="shared" si="140"/>
        <v>1.038509409578753</v>
      </c>
      <c r="H357" s="365">
        <f t="shared" si="141"/>
        <v>-0.27317720000192441</v>
      </c>
      <c r="I357" s="363">
        <f t="shared" si="142"/>
        <v>95649.343978008605</v>
      </c>
      <c r="J357" s="366">
        <f t="shared" si="143"/>
        <v>1.5707858719401278</v>
      </c>
      <c r="K357" s="374">
        <f t="shared" si="159"/>
        <v>23.306408582870297</v>
      </c>
      <c r="L357" s="375">
        <f t="shared" si="160"/>
        <v>1.5278764972095296</v>
      </c>
      <c r="M357" s="363">
        <f t="shared" si="144"/>
        <v>1.2374915481402786</v>
      </c>
      <c r="N357" s="366">
        <f t="shared" si="145"/>
        <v>0.62990015551877598</v>
      </c>
      <c r="O357" s="367">
        <f t="shared" si="146"/>
        <v>1.0278266046091351</v>
      </c>
      <c r="P357" s="368">
        <f t="shared" si="147"/>
        <v>0.3164510609408529</v>
      </c>
      <c r="Q357" s="369">
        <f t="shared" si="148"/>
        <v>-15.574074725039061</v>
      </c>
      <c r="R357" s="370">
        <f t="shared" si="149"/>
        <v>-114.33699772295108</v>
      </c>
      <c r="S357" s="372">
        <f t="shared" si="150"/>
        <v>65.663002277048918</v>
      </c>
      <c r="U357" s="345">
        <f t="shared" si="156"/>
        <v>28184</v>
      </c>
      <c r="V357" s="345">
        <f t="shared" si="157"/>
        <v>794337856</v>
      </c>
      <c r="X357" s="371">
        <f t="shared" si="151"/>
        <v>13.981696704315389</v>
      </c>
      <c r="Y357" s="372">
        <f t="shared" si="152"/>
        <v>-38.549146543517452</v>
      </c>
      <c r="AA357" s="371">
        <f t="shared" si="153"/>
        <v>16.464828483925171</v>
      </c>
      <c r="AB357" s="372">
        <f t="shared" si="154"/>
        <v>-75.787851179433645</v>
      </c>
      <c r="AD357">
        <f t="shared" si="158"/>
        <v>0</v>
      </c>
      <c r="AE357">
        <f t="shared" si="161"/>
        <v>0</v>
      </c>
    </row>
    <row r="358" spans="1:31" x14ac:dyDescent="0.2">
      <c r="A358" s="373">
        <v>28348</v>
      </c>
      <c r="B358" s="390">
        <f t="shared" si="155"/>
        <v>28.347999999999999</v>
      </c>
      <c r="C358" s="363">
        <f t="shared" si="136"/>
        <v>37.26107581329692</v>
      </c>
      <c r="D358" s="364">
        <f t="shared" si="137"/>
        <v>1.5439554463209064</v>
      </c>
      <c r="E358" s="364">
        <f t="shared" si="138"/>
        <v>1.4558089921364705</v>
      </c>
      <c r="F358" s="365">
        <f t="shared" si="139"/>
        <v>0.81357693507131768</v>
      </c>
      <c r="G358" s="364">
        <f t="shared" si="140"/>
        <v>1.0389504515058645</v>
      </c>
      <c r="H358" s="365">
        <f t="shared" si="141"/>
        <v>-0.27468823979433854</v>
      </c>
      <c r="I358" s="363">
        <f t="shared" si="142"/>
        <v>96205.918361016127</v>
      </c>
      <c r="J358" s="366">
        <f t="shared" si="143"/>
        <v>1.5707859324239779</v>
      </c>
      <c r="K358" s="374">
        <f t="shared" si="159"/>
        <v>23.441777396155064</v>
      </c>
      <c r="L358" s="375">
        <f t="shared" si="160"/>
        <v>1.5281244965651597</v>
      </c>
      <c r="M358" s="363">
        <f t="shared" si="144"/>
        <v>1.2399949536460808</v>
      </c>
      <c r="N358" s="366">
        <f t="shared" si="145"/>
        <v>0.63266445054799147</v>
      </c>
      <c r="O358" s="367">
        <f t="shared" si="146"/>
        <v>1.0281500343426464</v>
      </c>
      <c r="P358" s="368">
        <f t="shared" si="147"/>
        <v>0.31825341657587997</v>
      </c>
      <c r="Q358" s="369">
        <f t="shared" si="148"/>
        <v>-15.61458024738446</v>
      </c>
      <c r="R358" s="370">
        <f t="shared" si="149"/>
        <v>-114.51398376705235</v>
      </c>
      <c r="S358" s="372">
        <f t="shared" si="150"/>
        <v>65.486016232947648</v>
      </c>
      <c r="U358" s="345">
        <f t="shared" si="156"/>
        <v>28348</v>
      </c>
      <c r="V358" s="345">
        <f t="shared" si="157"/>
        <v>803609104</v>
      </c>
      <c r="X358" s="371">
        <f t="shared" si="151"/>
        <v>13.964050936133923</v>
      </c>
      <c r="Y358" s="372">
        <f t="shared" si="152"/>
        <v>-38.693323131255013</v>
      </c>
      <c r="AA358" s="371">
        <f t="shared" si="153"/>
        <v>16.441968729761239</v>
      </c>
      <c r="AB358" s="372">
        <f t="shared" si="154"/>
        <v>-75.820660635797339</v>
      </c>
      <c r="AD358">
        <f t="shared" si="158"/>
        <v>0</v>
      </c>
      <c r="AE358">
        <f t="shared" si="161"/>
        <v>0</v>
      </c>
    </row>
    <row r="359" spans="1:31" x14ac:dyDescent="0.2">
      <c r="A359" s="373">
        <v>28512</v>
      </c>
      <c r="B359" s="390">
        <f t="shared" si="155"/>
        <v>28.512</v>
      </c>
      <c r="C359" s="363">
        <f t="shared" si="136"/>
        <v>37.476485285101738</v>
      </c>
      <c r="D359" s="364">
        <f t="shared" si="137"/>
        <v>1.5441097605994916</v>
      </c>
      <c r="E359" s="364">
        <f t="shared" si="138"/>
        <v>1.4602633492825243</v>
      </c>
      <c r="F359" s="365">
        <f t="shared" si="139"/>
        <v>0.81645615724478371</v>
      </c>
      <c r="G359" s="364">
        <f t="shared" si="140"/>
        <v>1.039393863591199</v>
      </c>
      <c r="H359" s="365">
        <f t="shared" si="141"/>
        <v>-0.27619799379291643</v>
      </c>
      <c r="I359" s="363">
        <f t="shared" si="142"/>
        <v>96762.492744023999</v>
      </c>
      <c r="J359" s="366">
        <f t="shared" si="143"/>
        <v>1.5707859922120262</v>
      </c>
      <c r="K359" s="374">
        <f t="shared" si="159"/>
        <v>23.577147634639616</v>
      </c>
      <c r="L359" s="375">
        <f t="shared" si="160"/>
        <v>1.5283696481160949</v>
      </c>
      <c r="M359" s="363">
        <f t="shared" si="144"/>
        <v>1.2425077961353701</v>
      </c>
      <c r="N359" s="366">
        <f t="shared" si="145"/>
        <v>0.63541758554702688</v>
      </c>
      <c r="O359" s="367">
        <f t="shared" si="146"/>
        <v>1.0284753099980934</v>
      </c>
      <c r="P359" s="368">
        <f t="shared" si="147"/>
        <v>0.32005511357056282</v>
      </c>
      <c r="Q359" s="369">
        <f t="shared" si="148"/>
        <v>-15.654829803021846</v>
      </c>
      <c r="R359" s="370">
        <f t="shared" si="149"/>
        <v>-114.6912905035623</v>
      </c>
      <c r="S359" s="372">
        <f t="shared" si="150"/>
        <v>65.3087094964377</v>
      </c>
      <c r="U359" s="345">
        <f t="shared" si="156"/>
        <v>28512</v>
      </c>
      <c r="V359" s="345">
        <f t="shared" si="157"/>
        <v>812934144</v>
      </c>
      <c r="X359" s="371">
        <f t="shared" si="151"/>
        <v>13.946376185463494</v>
      </c>
      <c r="Y359" s="372">
        <f t="shared" si="152"/>
        <v>-38.837023423686851</v>
      </c>
      <c r="AA359" s="371">
        <f t="shared" si="153"/>
        <v>16.419393924794285</v>
      </c>
      <c r="AB359" s="372">
        <f t="shared" si="154"/>
        <v>-75.854267079875441</v>
      </c>
      <c r="AD359">
        <f t="shared" si="158"/>
        <v>0</v>
      </c>
      <c r="AE359">
        <f t="shared" si="161"/>
        <v>0</v>
      </c>
    </row>
    <row r="360" spans="1:31" x14ac:dyDescent="0.2">
      <c r="A360" s="373">
        <v>28676</v>
      </c>
      <c r="B360" s="390">
        <f t="shared" si="155"/>
        <v>28.675999999999998</v>
      </c>
      <c r="C360" s="363">
        <f t="shared" si="136"/>
        <v>37.691895639129797</v>
      </c>
      <c r="D360" s="364">
        <f t="shared" si="137"/>
        <v>1.544262311059887</v>
      </c>
      <c r="E360" s="364">
        <f t="shared" si="138"/>
        <v>1.4647297382097282</v>
      </c>
      <c r="F360" s="365">
        <f t="shared" si="139"/>
        <v>0.81931784384185224</v>
      </c>
      <c r="G360" s="364">
        <f t="shared" si="140"/>
        <v>1.0398396428026828</v>
      </c>
      <c r="H360" s="365">
        <f t="shared" si="141"/>
        <v>-0.27770645676441746</v>
      </c>
      <c r="I360" s="363">
        <f t="shared" si="142"/>
        <v>97319.067127032191</v>
      </c>
      <c r="J360" s="366">
        <f t="shared" si="143"/>
        <v>1.5707860513162104</v>
      </c>
      <c r="K360" s="374">
        <f t="shared" si="159"/>
        <v>23.712519273915362</v>
      </c>
      <c r="L360" s="375">
        <f t="shared" si="160"/>
        <v>1.5286120006058346</v>
      </c>
      <c r="M360" s="363">
        <f t="shared" si="144"/>
        <v>1.2450300184681922</v>
      </c>
      <c r="N360" s="366">
        <f t="shared" si="145"/>
        <v>0.63815958647877835</v>
      </c>
      <c r="O360" s="367">
        <f t="shared" si="146"/>
        <v>1.0288024310733415</v>
      </c>
      <c r="P360" s="368">
        <f t="shared" si="147"/>
        <v>0.32185614869861984</v>
      </c>
      <c r="Q360" s="369">
        <f t="shared" si="148"/>
        <v>-15.694826948374224</v>
      </c>
      <c r="R360" s="370">
        <f t="shared" si="149"/>
        <v>-114.86891140283279</v>
      </c>
      <c r="S360" s="372">
        <f t="shared" si="150"/>
        <v>65.131088597167206</v>
      </c>
      <c r="U360" s="345">
        <f t="shared" si="156"/>
        <v>28676</v>
      </c>
      <c r="V360" s="345">
        <f t="shared" si="157"/>
        <v>822312976</v>
      </c>
      <c r="X360" s="371">
        <f t="shared" si="151"/>
        <v>13.92867307176399</v>
      </c>
      <c r="Y360" s="372">
        <f t="shared" si="152"/>
        <v>-38.980246116264546</v>
      </c>
      <c r="AA360" s="371">
        <f t="shared" si="153"/>
        <v>16.397099893141402</v>
      </c>
      <c r="AB360" s="372">
        <f t="shared" si="154"/>
        <v>-75.888665286568241</v>
      </c>
      <c r="AD360">
        <f t="shared" si="158"/>
        <v>0</v>
      </c>
      <c r="AE360">
        <f t="shared" si="161"/>
        <v>0</v>
      </c>
    </row>
    <row r="361" spans="1:31" x14ac:dyDescent="0.2">
      <c r="A361" s="373">
        <v>28840</v>
      </c>
      <c r="B361" s="390">
        <f t="shared" si="155"/>
        <v>28.84</v>
      </c>
      <c r="C361" s="363">
        <f t="shared" si="136"/>
        <v>37.907306860341251</v>
      </c>
      <c r="D361" s="364">
        <f t="shared" si="137"/>
        <v>1.5444131277640334</v>
      </c>
      <c r="E361" s="364">
        <f t="shared" si="138"/>
        <v>1.4692080491883301</v>
      </c>
      <c r="F361" s="365">
        <f t="shared" si="139"/>
        <v>0.8221621081296121</v>
      </c>
      <c r="G361" s="364">
        <f t="shared" si="140"/>
        <v>1.0402877860972668</v>
      </c>
      <c r="H361" s="365">
        <f t="shared" si="141"/>
        <v>-0.27921362350804829</v>
      </c>
      <c r="I361" s="363">
        <f t="shared" si="142"/>
        <v>97875.641510040732</v>
      </c>
      <c r="J361" s="366">
        <f t="shared" si="143"/>
        <v>1.5707861097481974</v>
      </c>
      <c r="K361" s="374">
        <f t="shared" si="159"/>
        <v>23.847892290127703</v>
      </c>
      <c r="L361" s="375">
        <f t="shared" si="160"/>
        <v>1.5288516016724378</v>
      </c>
      <c r="M361" s="363">
        <f t="shared" si="144"/>
        <v>1.2475615637542479</v>
      </c>
      <c r="N361" s="366">
        <f t="shared" si="145"/>
        <v>0.64089047976627311</v>
      </c>
      <c r="O361" s="367">
        <f t="shared" si="146"/>
        <v>1.0291313970641665</v>
      </c>
      <c r="P361" s="368">
        <f t="shared" si="147"/>
        <v>0.32365651874303664</v>
      </c>
      <c r="Q361" s="369">
        <f t="shared" si="148"/>
        <v>-15.734575172138189</v>
      </c>
      <c r="R361" s="370">
        <f t="shared" si="149"/>
        <v>-115.0468400003918</v>
      </c>
      <c r="S361" s="372">
        <f t="shared" si="150"/>
        <v>64.953159999608204</v>
      </c>
      <c r="U361" s="345">
        <f t="shared" si="156"/>
        <v>28840</v>
      </c>
      <c r="V361" s="345">
        <f t="shared" si="157"/>
        <v>831745600</v>
      </c>
      <c r="X361" s="371">
        <f t="shared" si="151"/>
        <v>13.910942209674781</v>
      </c>
      <c r="Y361" s="372">
        <f t="shared" si="152"/>
        <v>-39.122989994124765</v>
      </c>
      <c r="AA361" s="371">
        <f t="shared" si="153"/>
        <v>16.375082531466653</v>
      </c>
      <c r="AB361" s="372">
        <f t="shared" si="154"/>
        <v>-75.923850006267074</v>
      </c>
      <c r="AD361">
        <f t="shared" si="158"/>
        <v>0</v>
      </c>
      <c r="AE361">
        <f t="shared" si="161"/>
        <v>0</v>
      </c>
    </row>
    <row r="362" spans="1:31" x14ac:dyDescent="0.2">
      <c r="A362" s="373">
        <v>29008</v>
      </c>
      <c r="B362" s="390">
        <f t="shared" si="155"/>
        <v>29.007999999999999</v>
      </c>
      <c r="C362" s="363">
        <f t="shared" si="136"/>
        <v>38.127972897580975</v>
      </c>
      <c r="D362" s="364">
        <f t="shared" si="137"/>
        <v>1.5445658559323177</v>
      </c>
      <c r="E362" s="364">
        <f t="shared" si="138"/>
        <v>1.4738078354287156</v>
      </c>
      <c r="F362" s="365">
        <f t="shared" si="139"/>
        <v>0.82505779796335854</v>
      </c>
      <c r="G362" s="364">
        <f t="shared" si="140"/>
        <v>1.040749307800849</v>
      </c>
      <c r="H362" s="365">
        <f t="shared" si="141"/>
        <v>-0.28075620097747822</v>
      </c>
      <c r="I362" s="363">
        <f t="shared" si="142"/>
        <v>98445.790878001048</v>
      </c>
      <c r="J362" s="366">
        <f t="shared" si="143"/>
        <v>1.5707861689202827</v>
      </c>
      <c r="K362" s="374">
        <f t="shared" si="159"/>
        <v>23.986568490575706</v>
      </c>
      <c r="L362" s="375">
        <f t="shared" si="160"/>
        <v>1.5290942424311476</v>
      </c>
      <c r="M362" s="363">
        <f t="shared" si="144"/>
        <v>1.2501644616534453</v>
      </c>
      <c r="N362" s="366">
        <f t="shared" si="145"/>
        <v>0.64367649097430635</v>
      </c>
      <c r="O362" s="367">
        <f t="shared" si="146"/>
        <v>1.0294702990477294</v>
      </c>
      <c r="P362" s="368">
        <f t="shared" si="147"/>
        <v>0.32550010728515227</v>
      </c>
      <c r="Q362" s="369">
        <f t="shared" si="148"/>
        <v>-15.775038339424192</v>
      </c>
      <c r="R362" s="370">
        <f t="shared" si="149"/>
        <v>-115.22942067779081</v>
      </c>
      <c r="S362" s="372">
        <f t="shared" si="150"/>
        <v>64.770579322209187</v>
      </c>
      <c r="U362" s="345">
        <f t="shared" si="156"/>
        <v>29008</v>
      </c>
      <c r="V362" s="345">
        <f t="shared" si="157"/>
        <v>841464064</v>
      </c>
      <c r="X362" s="371">
        <f t="shared" si="151"/>
        <v>13.8927507530949</v>
      </c>
      <c r="Y362" s="372">
        <f t="shared" si="152"/>
        <v>-39.268717777086543</v>
      </c>
      <c r="AA362" s="371">
        <f t="shared" si="153"/>
        <v>16.352810820760531</v>
      </c>
      <c r="AB362" s="372">
        <f t="shared" si="154"/>
        <v>-75.96070290070422</v>
      </c>
      <c r="AD362">
        <f t="shared" si="158"/>
        <v>0</v>
      </c>
      <c r="AE362">
        <f t="shared" si="161"/>
        <v>0</v>
      </c>
    </row>
    <row r="363" spans="1:31" x14ac:dyDescent="0.2">
      <c r="A363" s="373">
        <v>29176</v>
      </c>
      <c r="B363" s="390">
        <f t="shared" si="155"/>
        <v>29.175999999999998</v>
      </c>
      <c r="C363" s="363">
        <f t="shared" si="136"/>
        <v>38.348639813954485</v>
      </c>
      <c r="D363" s="364">
        <f t="shared" si="137"/>
        <v>1.5447168264378934</v>
      </c>
      <c r="E363" s="364">
        <f t="shared" si="138"/>
        <v>1.4784199026185247</v>
      </c>
      <c r="F363" s="365">
        <f t="shared" si="139"/>
        <v>0.82793544505827188</v>
      </c>
      <c r="G363" s="364">
        <f t="shared" si="140"/>
        <v>1.0412133038156217</v>
      </c>
      <c r="H363" s="365">
        <f t="shared" si="141"/>
        <v>-0.28229740727358027</v>
      </c>
      <c r="I363" s="363">
        <f t="shared" si="142"/>
        <v>99015.940245961683</v>
      </c>
      <c r="J363" s="366">
        <f t="shared" si="143"/>
        <v>1.5707862274109234</v>
      </c>
      <c r="K363" s="374">
        <f t="shared" si="159"/>
        <v>24.125246086986664</v>
      </c>
      <c r="L363" s="375">
        <f t="shared" si="160"/>
        <v>1.5293340936913893</v>
      </c>
      <c r="M363" s="363">
        <f t="shared" si="144"/>
        <v>1.2527770227860195</v>
      </c>
      <c r="N363" s="366">
        <f t="shared" si="145"/>
        <v>0.64645090365809066</v>
      </c>
      <c r="O363" s="367">
        <f t="shared" si="146"/>
        <v>1.0298111359624458</v>
      </c>
      <c r="P363" s="368">
        <f t="shared" si="147"/>
        <v>0.32734299110077086</v>
      </c>
      <c r="Q363" s="369">
        <f t="shared" si="148"/>
        <v>-15.815247494418028</v>
      </c>
      <c r="R363" s="370">
        <f t="shared" si="149"/>
        <v>-115.41231072197968</v>
      </c>
      <c r="S363" s="372">
        <f t="shared" si="150"/>
        <v>64.587689278020321</v>
      </c>
      <c r="U363" s="345">
        <f t="shared" si="156"/>
        <v>29176</v>
      </c>
      <c r="V363" s="345">
        <f t="shared" si="157"/>
        <v>851238976</v>
      </c>
      <c r="X363" s="371">
        <f t="shared" si="151"/>
        <v>13.874531468109446</v>
      </c>
      <c r="Y363" s="372">
        <f t="shared" si="152"/>
        <v>-39.413940801005019</v>
      </c>
      <c r="AA363" s="371">
        <f t="shared" si="153"/>
        <v>16.330820950752155</v>
      </c>
      <c r="AB363" s="372">
        <f t="shared" si="154"/>
        <v>-75.998369920974653</v>
      </c>
      <c r="AD363">
        <f t="shared" si="158"/>
        <v>0</v>
      </c>
      <c r="AE363">
        <f t="shared" si="161"/>
        <v>0</v>
      </c>
    </row>
    <row r="364" spans="1:31" x14ac:dyDescent="0.2">
      <c r="A364" s="373">
        <v>29344</v>
      </c>
      <c r="B364" s="390">
        <f t="shared" si="155"/>
        <v>29.344000000000001</v>
      </c>
      <c r="C364" s="363">
        <f t="shared" si="136"/>
        <v>38.569307594372397</v>
      </c>
      <c r="D364" s="364">
        <f t="shared" si="137"/>
        <v>1.5448660694423302</v>
      </c>
      <c r="E364" s="364">
        <f t="shared" si="138"/>
        <v>1.4830441361814732</v>
      </c>
      <c r="F364" s="365">
        <f t="shared" si="139"/>
        <v>0.83079517030847294</v>
      </c>
      <c r="G364" s="364">
        <f t="shared" si="140"/>
        <v>1.041679770835183</v>
      </c>
      <c r="H364" s="365">
        <f t="shared" si="141"/>
        <v>-0.28383723691184481</v>
      </c>
      <c r="I364" s="363">
        <f t="shared" si="142"/>
        <v>99586.089613922668</v>
      </c>
      <c r="J364" s="366">
        <f t="shared" si="143"/>
        <v>1.570786285231824</v>
      </c>
      <c r="K364" s="374">
        <f t="shared" si="159"/>
        <v>24.26392505542519</v>
      </c>
      <c r="L364" s="375">
        <f t="shared" si="160"/>
        <v>1.5295712032549467</v>
      </c>
      <c r="M364" s="363">
        <f t="shared" si="144"/>
        <v>1.2553991868226639</v>
      </c>
      <c r="N364" s="366">
        <f t="shared" si="145"/>
        <v>0.64921374765114381</v>
      </c>
      <c r="O364" s="367">
        <f t="shared" si="146"/>
        <v>1.0301539072595491</v>
      </c>
      <c r="P364" s="368">
        <f t="shared" si="147"/>
        <v>0.3291851667621522</v>
      </c>
      <c r="Q364" s="369">
        <f t="shared" si="148"/>
        <v>-15.855206176179667</v>
      </c>
      <c r="R364" s="370">
        <f t="shared" si="149"/>
        <v>-115.59550339489671</v>
      </c>
      <c r="S364" s="372">
        <f t="shared" si="150"/>
        <v>64.40449660510329</v>
      </c>
      <c r="U364" s="345">
        <f t="shared" si="156"/>
        <v>29344</v>
      </c>
      <c r="V364" s="345">
        <f t="shared" si="157"/>
        <v>861070336</v>
      </c>
      <c r="X364" s="371">
        <f t="shared" si="151"/>
        <v>13.856284999512798</v>
      </c>
      <c r="Y364" s="372">
        <f t="shared" si="152"/>
        <v>-39.558658037044921</v>
      </c>
      <c r="AA364" s="371">
        <f t="shared" si="153"/>
        <v>16.30910873758716</v>
      </c>
      <c r="AB364" s="372">
        <f t="shared" si="154"/>
        <v>-76.03684535785176</v>
      </c>
      <c r="AD364">
        <f t="shared" si="158"/>
        <v>0</v>
      </c>
      <c r="AE364">
        <f t="shared" si="161"/>
        <v>0</v>
      </c>
    </row>
    <row r="365" spans="1:31" x14ac:dyDescent="0.2">
      <c r="A365" s="373">
        <v>29512</v>
      </c>
      <c r="B365" s="390">
        <f t="shared" si="155"/>
        <v>29.512</v>
      </c>
      <c r="C365" s="363">
        <f t="shared" si="136"/>
        <v>38.789976224088626</v>
      </c>
      <c r="D365" s="364">
        <f t="shared" si="137"/>
        <v>1.5450136144211761</v>
      </c>
      <c r="E365" s="364">
        <f t="shared" si="138"/>
        <v>1.4876804226654765</v>
      </c>
      <c r="F365" s="365">
        <f t="shared" si="139"/>
        <v>0.83363709427949872</v>
      </c>
      <c r="G365" s="364">
        <f t="shared" si="140"/>
        <v>1.0421487055414591</v>
      </c>
      <c r="H365" s="365">
        <f t="shared" si="141"/>
        <v>-0.28537568444366873</v>
      </c>
      <c r="I365" s="363">
        <f t="shared" si="142"/>
        <v>100156.238981884</v>
      </c>
      <c r="J365" s="366">
        <f t="shared" si="143"/>
        <v>1.5707863423944222</v>
      </c>
      <c r="K365" s="374">
        <f t="shared" si="159"/>
        <v>24.402605372499767</v>
      </c>
      <c r="L365" s="375">
        <f t="shared" si="160"/>
        <v>1.5298056178382207</v>
      </c>
      <c r="M365" s="363">
        <f t="shared" si="144"/>
        <v>1.2580308937162306</v>
      </c>
      <c r="N365" s="366">
        <f t="shared" si="145"/>
        <v>0.65196505324516751</v>
      </c>
      <c r="O365" s="367">
        <f t="shared" si="146"/>
        <v>1.0304986123880282</v>
      </c>
      <c r="P365" s="368">
        <f t="shared" si="147"/>
        <v>0.33102663085189621</v>
      </c>
      <c r="Q365" s="369">
        <f t="shared" si="148"/>
        <v>-15.894917855731794</v>
      </c>
      <c r="R365" s="370">
        <f t="shared" si="149"/>
        <v>-115.77899202907479</v>
      </c>
      <c r="S365" s="372">
        <f t="shared" si="150"/>
        <v>64.221007970925214</v>
      </c>
      <c r="U365" s="345">
        <f t="shared" si="156"/>
        <v>29512</v>
      </c>
      <c r="V365" s="345">
        <f t="shared" si="157"/>
        <v>870958144</v>
      </c>
      <c r="X365" s="371">
        <f t="shared" si="151"/>
        <v>13.838011986672679</v>
      </c>
      <c r="Y365" s="372">
        <f t="shared" si="152"/>
        <v>-39.702868544795713</v>
      </c>
      <c r="AA365" s="371">
        <f t="shared" si="153"/>
        <v>16.287670070875148</v>
      </c>
      <c r="AB365" s="372">
        <f t="shared" si="154"/>
        <v>-76.07612348427908</v>
      </c>
      <c r="AD365">
        <f t="shared" si="158"/>
        <v>0</v>
      </c>
      <c r="AE365">
        <f t="shared" si="161"/>
        <v>0</v>
      </c>
    </row>
    <row r="366" spans="1:31" x14ac:dyDescent="0.2">
      <c r="A366" s="373">
        <v>29684</v>
      </c>
      <c r="B366" s="390">
        <f t="shared" si="155"/>
        <v>29.684000000000001</v>
      </c>
      <c r="C366" s="363">
        <f t="shared" si="136"/>
        <v>39.015899733621453</v>
      </c>
      <c r="D366" s="364">
        <f t="shared" si="137"/>
        <v>1.545162943303843</v>
      </c>
      <c r="E366" s="364">
        <f t="shared" si="138"/>
        <v>1.4924394664250908</v>
      </c>
      <c r="F366" s="365">
        <f t="shared" si="139"/>
        <v>0.83652836655541818</v>
      </c>
      <c r="G366" s="364">
        <f t="shared" si="140"/>
        <v>1.0426313584006801</v>
      </c>
      <c r="H366" s="365">
        <f t="shared" si="141"/>
        <v>-0.28694932416771213</v>
      </c>
      <c r="I366" s="363">
        <f t="shared" si="142"/>
        <v>100739.9633347971</v>
      </c>
      <c r="J366" s="366">
        <f t="shared" si="143"/>
        <v>1.5707864002477061</v>
      </c>
      <c r="K366" s="374">
        <f t="shared" si="159"/>
        <v>24.544588975198717</v>
      </c>
      <c r="L366" s="375">
        <f t="shared" si="160"/>
        <v>1.530042869402013</v>
      </c>
      <c r="M366" s="363">
        <f t="shared" si="144"/>
        <v>1.2607350842715468</v>
      </c>
      <c r="N366" s="366">
        <f t="shared" si="145"/>
        <v>0.65476994445991288</v>
      </c>
      <c r="O366" s="367">
        <f t="shared" si="146"/>
        <v>1.0308535276486686</v>
      </c>
      <c r="P366" s="368">
        <f t="shared" si="147"/>
        <v>0.33291119858050661</v>
      </c>
      <c r="Q366" s="369">
        <f t="shared" si="148"/>
        <v>-15.935322712411551</v>
      </c>
      <c r="R366" s="370">
        <f t="shared" si="149"/>
        <v>-115.96714916696946</v>
      </c>
      <c r="S366" s="372">
        <f t="shared" si="150"/>
        <v>64.032850833030537</v>
      </c>
      <c r="U366" s="345">
        <f t="shared" si="156"/>
        <v>29684</v>
      </c>
      <c r="V366" s="345">
        <f t="shared" si="157"/>
        <v>881139856</v>
      </c>
      <c r="X366" s="371">
        <f t="shared" si="151"/>
        <v>13.819277064238149</v>
      </c>
      <c r="Y366" s="372">
        <f t="shared" si="152"/>
        <v>-39.849986775022877</v>
      </c>
      <c r="AA366" s="371">
        <f t="shared" si="153"/>
        <v>16.266000136629927</v>
      </c>
      <c r="AB366" s="372">
        <f t="shared" si="154"/>
        <v>-76.117162391946593</v>
      </c>
      <c r="AD366">
        <f t="shared" si="158"/>
        <v>0</v>
      </c>
      <c r="AE366">
        <f t="shared" si="161"/>
        <v>0</v>
      </c>
    </row>
    <row r="367" spans="1:31" x14ac:dyDescent="0.2">
      <c r="A367" s="373">
        <v>29856</v>
      </c>
      <c r="B367" s="390">
        <f t="shared" si="155"/>
        <v>29.856000000000002</v>
      </c>
      <c r="C367" s="363">
        <f t="shared" si="136"/>
        <v>39.241824103156524</v>
      </c>
      <c r="D367" s="364">
        <f t="shared" si="137"/>
        <v>1.5453105527470863</v>
      </c>
      <c r="E367" s="364">
        <f t="shared" si="138"/>
        <v>1.4972109067927488</v>
      </c>
      <c r="F367" s="365">
        <f t="shared" si="139"/>
        <v>0.83940123440985037</v>
      </c>
      <c r="G367" s="364">
        <f t="shared" si="140"/>
        <v>1.0431165907786621</v>
      </c>
      <c r="H367" s="365">
        <f t="shared" si="141"/>
        <v>-0.2885215037444176</v>
      </c>
      <c r="I367" s="363">
        <f t="shared" si="142"/>
        <v>101323.68768771054</v>
      </c>
      <c r="J367" s="366">
        <f t="shared" si="143"/>
        <v>1.5707864574344061</v>
      </c>
      <c r="K367" s="374">
        <f t="shared" si="159"/>
        <v>24.686573943578825</v>
      </c>
      <c r="L367" s="375">
        <f t="shared" si="160"/>
        <v>1.5302773918714825</v>
      </c>
      <c r="M367" s="363">
        <f t="shared" si="144"/>
        <v>1.2634491510486494</v>
      </c>
      <c r="N367" s="366">
        <f t="shared" si="145"/>
        <v>0.65756280696580394</v>
      </c>
      <c r="O367" s="367">
        <f t="shared" si="146"/>
        <v>1.0312104687481392</v>
      </c>
      <c r="P367" s="368">
        <f t="shared" si="147"/>
        <v>0.33479501323365307</v>
      </c>
      <c r="Q367" s="369">
        <f t="shared" si="148"/>
        <v>-15.975475816166425</v>
      </c>
      <c r="R367" s="370">
        <f t="shared" si="149"/>
        <v>-116.1556026087361</v>
      </c>
      <c r="S367" s="372">
        <f t="shared" si="150"/>
        <v>63.844397391263897</v>
      </c>
      <c r="U367" s="345">
        <f t="shared" si="156"/>
        <v>29856</v>
      </c>
      <c r="V367" s="345">
        <f t="shared" si="157"/>
        <v>891380736</v>
      </c>
      <c r="X367" s="371">
        <f t="shared" si="151"/>
        <v>13.800515657286102</v>
      </c>
      <c r="Y367" s="372">
        <f t="shared" si="152"/>
        <v>-39.996572138393219</v>
      </c>
      <c r="AA367" s="371">
        <f t="shared" si="153"/>
        <v>16.2446084398271</v>
      </c>
      <c r="AB367" s="372">
        <f t="shared" si="154"/>
        <v>-76.159030470342856</v>
      </c>
      <c r="AD367">
        <f t="shared" si="158"/>
        <v>0</v>
      </c>
      <c r="AE367">
        <f t="shared" si="161"/>
        <v>0</v>
      </c>
    </row>
    <row r="368" spans="1:31" x14ac:dyDescent="0.2">
      <c r="A368" s="373">
        <v>30028</v>
      </c>
      <c r="B368" s="390">
        <f t="shared" si="155"/>
        <v>30.027999999999999</v>
      </c>
      <c r="C368" s="363">
        <f t="shared" si="136"/>
        <v>39.467749317925175</v>
      </c>
      <c r="D368" s="364">
        <f t="shared" si="137"/>
        <v>1.5454564722721764</v>
      </c>
      <c r="E368" s="364">
        <f t="shared" si="138"/>
        <v>1.5019946256262029</v>
      </c>
      <c r="F368" s="365">
        <f t="shared" si="139"/>
        <v>0.84225582604408444</v>
      </c>
      <c r="G368" s="364">
        <f t="shared" si="140"/>
        <v>1.0436043990772998</v>
      </c>
      <c r="H368" s="365">
        <f t="shared" si="141"/>
        <v>-0.29009221744388164</v>
      </c>
      <c r="I368" s="363">
        <f t="shared" si="142"/>
        <v>101907.41204062432</v>
      </c>
      <c r="J368" s="366">
        <f t="shared" si="143"/>
        <v>1.5707865139659769</v>
      </c>
      <c r="K368" s="374">
        <f t="shared" si="159"/>
        <v>24.828560254210675</v>
      </c>
      <c r="L368" s="375">
        <f t="shared" si="160"/>
        <v>1.5305092320409663</v>
      </c>
      <c r="M368" s="363">
        <f t="shared" si="144"/>
        <v>1.2661730305379137</v>
      </c>
      <c r="N368" s="366">
        <f t="shared" si="145"/>
        <v>0.66034367468496047</v>
      </c>
      <c r="O368" s="367">
        <f t="shared" si="146"/>
        <v>1.0315694350879017</v>
      </c>
      <c r="P368" s="368">
        <f t="shared" si="147"/>
        <v>0.33667807117788096</v>
      </c>
      <c r="Q368" s="369">
        <f t="shared" si="148"/>
        <v>-16.015380680262147</v>
      </c>
      <c r="R368" s="370">
        <f t="shared" si="149"/>
        <v>-116.34434542707771</v>
      </c>
      <c r="S368" s="372">
        <f t="shared" si="150"/>
        <v>63.655654572922288</v>
      </c>
      <c r="U368" s="345">
        <f t="shared" si="156"/>
        <v>30028</v>
      </c>
      <c r="V368" s="345">
        <f t="shared" si="157"/>
        <v>901680784</v>
      </c>
      <c r="X368" s="371">
        <f t="shared" si="151"/>
        <v>13.781728434130871</v>
      </c>
      <c r="Y368" s="372">
        <f t="shared" si="152"/>
        <v>-40.142623898039346</v>
      </c>
      <c r="AA368" s="371">
        <f t="shared" si="153"/>
        <v>16.223490798886605</v>
      </c>
      <c r="AB368" s="372">
        <f t="shared" si="154"/>
        <v>-76.201721529038394</v>
      </c>
      <c r="AD368">
        <f t="shared" si="158"/>
        <v>0</v>
      </c>
      <c r="AE368">
        <f t="shared" si="161"/>
        <v>0</v>
      </c>
    </row>
    <row r="369" spans="1:31" x14ac:dyDescent="0.2">
      <c r="A369" s="373">
        <v>30200</v>
      </c>
      <c r="B369" s="390">
        <f t="shared" si="155"/>
        <v>30.2</v>
      </c>
      <c r="C369" s="363">
        <f t="shared" si="136"/>
        <v>39.693675363494911</v>
      </c>
      <c r="D369" s="364">
        <f t="shared" si="137"/>
        <v>1.5456007307285653</v>
      </c>
      <c r="E369" s="364">
        <f t="shared" si="138"/>
        <v>1.5067905059814071</v>
      </c>
      <c r="F369" s="365">
        <f t="shared" si="139"/>
        <v>0.84509226922492309</v>
      </c>
      <c r="G369" s="364">
        <f t="shared" si="140"/>
        <v>1.04409477968613</v>
      </c>
      <c r="H369" s="365">
        <f t="shared" si="141"/>
        <v>-0.29166145957581241</v>
      </c>
      <c r="I369" s="363">
        <f t="shared" si="142"/>
        <v>102491.13639353841</v>
      </c>
      <c r="J369" s="366">
        <f t="shared" si="143"/>
        <v>1.5707865698536116</v>
      </c>
      <c r="K369" s="374">
        <f t="shared" si="159"/>
        <v>24.970547884197522</v>
      </c>
      <c r="L369" s="375">
        <f t="shared" si="160"/>
        <v>1.5307384356416418</v>
      </c>
      <c r="M369" s="363">
        <f t="shared" si="144"/>
        <v>1.2689066595464065</v>
      </c>
      <c r="N369" s="366">
        <f t="shared" si="145"/>
        <v>0.66311258199082435</v>
      </c>
      <c r="O369" s="367">
        <f t="shared" si="146"/>
        <v>1.0319304260670124</v>
      </c>
      <c r="P369" s="368">
        <f t="shared" si="147"/>
        <v>0.33856036879124229</v>
      </c>
      <c r="Q369" s="369">
        <f t="shared" si="148"/>
        <v>-16.055040749831473</v>
      </c>
      <c r="R369" s="370">
        <f t="shared" si="149"/>
        <v>-116.53337077078669</v>
      </c>
      <c r="S369" s="372">
        <f t="shared" si="150"/>
        <v>63.466629229213311</v>
      </c>
      <c r="U369" s="345">
        <f t="shared" si="156"/>
        <v>30200</v>
      </c>
      <c r="V369" s="345">
        <f t="shared" si="157"/>
        <v>912040000</v>
      </c>
      <c r="X369" s="371">
        <f t="shared" si="151"/>
        <v>13.76291605703952</v>
      </c>
      <c r="Y369" s="372">
        <f t="shared" si="152"/>
        <v>-40.288141403852244</v>
      </c>
      <c r="AA369" s="371">
        <f t="shared" si="153"/>
        <v>16.20264310640863</v>
      </c>
      <c r="AB369" s="372">
        <f t="shared" si="154"/>
        <v>-76.245229366934453</v>
      </c>
      <c r="AD369">
        <f t="shared" si="158"/>
        <v>0</v>
      </c>
      <c r="AE369">
        <f t="shared" si="161"/>
        <v>0</v>
      </c>
    </row>
    <row r="370" spans="1:31" x14ac:dyDescent="0.2">
      <c r="A370" s="373">
        <v>30375.75</v>
      </c>
      <c r="B370" s="390">
        <f t="shared" si="155"/>
        <v>30.37575</v>
      </c>
      <c r="C370" s="363">
        <f t="shared" si="136"/>
        <v>39.924527965761548</v>
      </c>
      <c r="D370" s="364">
        <f t="shared" si="137"/>
        <v>1.5457464479020713</v>
      </c>
      <c r="E370" s="364">
        <f t="shared" si="138"/>
        <v>1.5117033893872149</v>
      </c>
      <c r="F370" s="365">
        <f t="shared" si="139"/>
        <v>0.84797193964154727</v>
      </c>
      <c r="G370" s="364">
        <f t="shared" si="140"/>
        <v>1.0445985050084188</v>
      </c>
      <c r="H370" s="365">
        <f t="shared" si="141"/>
        <v>-0.2932633889139693</v>
      </c>
      <c r="I370" s="363">
        <f t="shared" si="142"/>
        <v>103087.58729484485</v>
      </c>
      <c r="J370" s="366">
        <f t="shared" si="143"/>
        <v>1.5707866263059604</v>
      </c>
      <c r="K370" s="374">
        <f t="shared" si="159"/>
        <v>25.115632514256525</v>
      </c>
      <c r="L370" s="375">
        <f t="shared" si="160"/>
        <v>1.5309699594936463</v>
      </c>
      <c r="M370" s="363">
        <f t="shared" si="144"/>
        <v>1.2717098932881314</v>
      </c>
      <c r="N370" s="366">
        <f t="shared" si="145"/>
        <v>0.66592953973460689</v>
      </c>
      <c r="O370" s="367">
        <f t="shared" si="146"/>
        <v>1.0323013781945476</v>
      </c>
      <c r="P370" s="368">
        <f t="shared" si="147"/>
        <v>0.34048291573659006</v>
      </c>
      <c r="Q370" s="369">
        <f t="shared" si="148"/>
        <v>-16.095316157659941</v>
      </c>
      <c r="R370" s="370">
        <f t="shared" si="149"/>
        <v>-116.72680208952001</v>
      </c>
      <c r="S370" s="372">
        <f t="shared" si="150"/>
        <v>63.273197910479993</v>
      </c>
      <c r="U370" s="345">
        <f t="shared" si="156"/>
        <v>30375.75</v>
      </c>
      <c r="V370" s="345">
        <f t="shared" si="157"/>
        <v>922686188.0625</v>
      </c>
      <c r="X370" s="371">
        <f t="shared" si="151"/>
        <v>13.743668226554853</v>
      </c>
      <c r="Y370" s="372">
        <f t="shared" si="152"/>
        <v>-40.436279088711828</v>
      </c>
      <c r="AA370" s="371">
        <f t="shared" si="153"/>
        <v>16.181615529064832</v>
      </c>
      <c r="AB370" s="372">
        <f t="shared" si="154"/>
        <v>-76.290523000808193</v>
      </c>
      <c r="AD370">
        <f t="shared" si="158"/>
        <v>0</v>
      </c>
      <c r="AE370">
        <f t="shared" si="161"/>
        <v>0</v>
      </c>
    </row>
    <row r="371" spans="1:31" x14ac:dyDescent="0.2">
      <c r="A371" s="373">
        <v>30551.5</v>
      </c>
      <c r="B371" s="390">
        <f t="shared" si="155"/>
        <v>30.551500000000001</v>
      </c>
      <c r="C371" s="363">
        <f t="shared" si="136"/>
        <v>40.155381406018165</v>
      </c>
      <c r="D371" s="364">
        <f t="shared" si="137"/>
        <v>1.5458904896214383</v>
      </c>
      <c r="E371" s="364">
        <f t="shared" si="138"/>
        <v>1.5166287273199732</v>
      </c>
      <c r="F371" s="365">
        <f t="shared" si="139"/>
        <v>0.85083292986836512</v>
      </c>
      <c r="G371" s="364">
        <f t="shared" si="140"/>
        <v>1.0451049083679418</v>
      </c>
      <c r="H371" s="365">
        <f t="shared" si="141"/>
        <v>-0.29486376993277574</v>
      </c>
      <c r="I371" s="363">
        <f t="shared" si="142"/>
        <v>103684.03819615163</v>
      </c>
      <c r="J371" s="366">
        <f t="shared" si="143"/>
        <v>1.5707866821088157</v>
      </c>
      <c r="K371" s="374">
        <f t="shared" si="159"/>
        <v>25.26071847513143</v>
      </c>
      <c r="L371" s="375">
        <f t="shared" si="160"/>
        <v>1.5311988238245373</v>
      </c>
      <c r="M371" s="363">
        <f t="shared" si="144"/>
        <v>1.2745231739298515</v>
      </c>
      <c r="N371" s="366">
        <f t="shared" si="145"/>
        <v>0.6687340837964868</v>
      </c>
      <c r="O371" s="367">
        <f t="shared" si="146"/>
        <v>1.0326744429313623</v>
      </c>
      <c r="P371" s="368">
        <f t="shared" si="147"/>
        <v>0.34240466122693136</v>
      </c>
      <c r="Q371" s="369">
        <f t="shared" si="148"/>
        <v>-16.135343041937141</v>
      </c>
      <c r="R371" s="370">
        <f t="shared" si="149"/>
        <v>-116.92051416622652</v>
      </c>
      <c r="S371" s="372">
        <f t="shared" si="150"/>
        <v>63.079485833773475</v>
      </c>
      <c r="U371" s="345">
        <f t="shared" si="156"/>
        <v>30551.5</v>
      </c>
      <c r="V371" s="345">
        <f t="shared" si="157"/>
        <v>933394152.25</v>
      </c>
      <c r="X371" s="371">
        <f t="shared" si="151"/>
        <v>13.724395511973563</v>
      </c>
      <c r="Y371" s="372">
        <f t="shared" si="152"/>
        <v>-40.5838578641116</v>
      </c>
      <c r="AA371" s="371">
        <f t="shared" si="153"/>
        <v>16.160861359368916</v>
      </c>
      <c r="AB371" s="372">
        <f t="shared" si="154"/>
        <v>-76.336656302114918</v>
      </c>
      <c r="AD371">
        <f t="shared" si="158"/>
        <v>0</v>
      </c>
      <c r="AE371">
        <f t="shared" si="161"/>
        <v>0</v>
      </c>
    </row>
    <row r="372" spans="1:31" x14ac:dyDescent="0.2">
      <c r="A372" s="373">
        <v>30727.25</v>
      </c>
      <c r="B372" s="390">
        <f t="shared" si="155"/>
        <v>30.727250000000002</v>
      </c>
      <c r="C372" s="363">
        <f t="shared" si="136"/>
        <v>40.38623566989456</v>
      </c>
      <c r="D372" s="364">
        <f t="shared" si="137"/>
        <v>1.5460328846121392</v>
      </c>
      <c r="E372" s="364">
        <f t="shared" si="138"/>
        <v>1.5215663988331001</v>
      </c>
      <c r="F372" s="365">
        <f t="shared" si="139"/>
        <v>0.85367537470018928</v>
      </c>
      <c r="G372" s="364">
        <f t="shared" si="140"/>
        <v>1.0456139858736826</v>
      </c>
      <c r="H372" s="365">
        <f t="shared" si="141"/>
        <v>-0.29646259668996267</v>
      </c>
      <c r="I372" s="363">
        <f t="shared" si="142"/>
        <v>104280.4890974587</v>
      </c>
      <c r="J372" s="366">
        <f t="shared" si="143"/>
        <v>1.570786737273322</v>
      </c>
      <c r="K372" s="374">
        <f t="shared" si="159"/>
        <v>25.405805744022402</v>
      </c>
      <c r="L372" s="375">
        <f t="shared" si="160"/>
        <v>1.5314250741740461</v>
      </c>
      <c r="M372" s="363">
        <f t="shared" si="144"/>
        <v>1.2773464350884436</v>
      </c>
      <c r="N372" s="366">
        <f t="shared" si="145"/>
        <v>0.67152625222512186</v>
      </c>
      <c r="O372" s="367">
        <f t="shared" si="146"/>
        <v>1.0330496196286685</v>
      </c>
      <c r="P372" s="368">
        <f t="shared" si="147"/>
        <v>0.34432560143567331</v>
      </c>
      <c r="Q372" s="369">
        <f t="shared" si="148"/>
        <v>-16.17512486768695</v>
      </c>
      <c r="R372" s="370">
        <f t="shared" si="149"/>
        <v>-117.11449993529779</v>
      </c>
      <c r="S372" s="372">
        <f t="shared" si="150"/>
        <v>62.885500064702214</v>
      </c>
      <c r="U372" s="345">
        <f t="shared" si="156"/>
        <v>30727.25</v>
      </c>
      <c r="V372" s="345">
        <f t="shared" si="157"/>
        <v>944163892.5625</v>
      </c>
      <c r="X372" s="371">
        <f t="shared" si="151"/>
        <v>13.705098600181284</v>
      </c>
      <c r="Y372" s="372">
        <f t="shared" si="152"/>
        <v>-40.730877301483233</v>
      </c>
      <c r="AA372" s="371">
        <f t="shared" si="153"/>
        <v>16.140376445411388</v>
      </c>
      <c r="AB372" s="372">
        <f t="shared" si="154"/>
        <v>-76.383622633814554</v>
      </c>
      <c r="AD372">
        <f t="shared" si="158"/>
        <v>0</v>
      </c>
      <c r="AE372">
        <f t="shared" si="161"/>
        <v>0</v>
      </c>
    </row>
    <row r="373" spans="1:31" x14ac:dyDescent="0.2">
      <c r="A373" s="373">
        <v>30903</v>
      </c>
      <c r="B373" s="390">
        <f t="shared" si="155"/>
        <v>30.902999999999999</v>
      </c>
      <c r="C373" s="363">
        <f t="shared" si="136"/>
        <v>40.617090743347177</v>
      </c>
      <c r="D373" s="364">
        <f t="shared" si="137"/>
        <v>1.5461736609468497</v>
      </c>
      <c r="E373" s="364">
        <f t="shared" si="138"/>
        <v>1.5265162842439561</v>
      </c>
      <c r="F373" s="365">
        <f t="shared" si="139"/>
        <v>0.85649940838872896</v>
      </c>
      <c r="G373" s="364">
        <f t="shared" si="140"/>
        <v>1.0461257336216714</v>
      </c>
      <c r="H373" s="365">
        <f t="shared" si="141"/>
        <v>-0.29805986328658146</v>
      </c>
      <c r="I373" s="363">
        <f t="shared" si="142"/>
        <v>104876.93999876612</v>
      </c>
      <c r="J373" s="366">
        <f t="shared" si="143"/>
        <v>1.5707867918103706</v>
      </c>
      <c r="K373" s="374">
        <f t="shared" si="159"/>
        <v>25.550894298647268</v>
      </c>
      <c r="L373" s="375">
        <f t="shared" si="160"/>
        <v>1.5316487550486149</v>
      </c>
      <c r="M373" s="363">
        <f t="shared" si="144"/>
        <v>1.2801796107319121</v>
      </c>
      <c r="N373" s="366">
        <f t="shared" si="145"/>
        <v>0.67430608350598698</v>
      </c>
      <c r="O373" s="367">
        <f t="shared" si="146"/>
        <v>1.0334269076351261</v>
      </c>
      <c r="P373" s="368">
        <f t="shared" si="147"/>
        <v>0.34624573254891994</v>
      </c>
      <c r="Q373" s="369">
        <f t="shared" si="148"/>
        <v>-16.214665032294821</v>
      </c>
      <c r="R373" s="370">
        <f t="shared" si="149"/>
        <v>-117.30875241226633</v>
      </c>
      <c r="S373" s="372">
        <f t="shared" si="150"/>
        <v>62.69124758773367</v>
      </c>
      <c r="U373" s="345">
        <f t="shared" si="156"/>
        <v>30903</v>
      </c>
      <c r="V373" s="345">
        <f t="shared" si="157"/>
        <v>954995409</v>
      </c>
      <c r="X373" s="371">
        <f t="shared" si="151"/>
        <v>13.685778171423946</v>
      </c>
      <c r="Y373" s="372">
        <f t="shared" si="152"/>
        <v>-40.877337056474744</v>
      </c>
      <c r="AA373" s="371">
        <f t="shared" si="153"/>
        <v>16.12015670956086</v>
      </c>
      <c r="AB373" s="372">
        <f t="shared" si="154"/>
        <v>-76.431415355791572</v>
      </c>
      <c r="AD373">
        <f t="shared" si="158"/>
        <v>0</v>
      </c>
      <c r="AE373">
        <f t="shared" si="161"/>
        <v>0</v>
      </c>
    </row>
    <row r="374" spans="1:31" x14ac:dyDescent="0.2">
      <c r="A374" s="373">
        <v>31083</v>
      </c>
      <c r="B374" s="390">
        <f t="shared" si="155"/>
        <v>31.082999999999998</v>
      </c>
      <c r="C374" s="363">
        <f t="shared" si="136"/>
        <v>40.853529196756867</v>
      </c>
      <c r="D374" s="364">
        <f t="shared" si="137"/>
        <v>1.5463161923696953</v>
      </c>
      <c r="E374" s="364">
        <f t="shared" si="138"/>
        <v>1.5315984049274805</v>
      </c>
      <c r="F374" s="365">
        <f t="shared" si="139"/>
        <v>0.85937278841577491</v>
      </c>
      <c r="G374" s="364">
        <f t="shared" si="140"/>
        <v>1.0466526202811888</v>
      </c>
      <c r="H374" s="365">
        <f t="shared" si="141"/>
        <v>-0.29969413177974624</v>
      </c>
      <c r="I374" s="363">
        <f t="shared" si="142"/>
        <v>105487.81432158481</v>
      </c>
      <c r="J374" s="366">
        <f t="shared" si="143"/>
        <v>1.570786847026959</v>
      </c>
      <c r="K374" s="374">
        <f t="shared" si="159"/>
        <v>25.699492705837908</v>
      </c>
      <c r="L374" s="375">
        <f t="shared" si="160"/>
        <v>1.5318752270124376</v>
      </c>
      <c r="M374" s="363">
        <f t="shared" si="144"/>
        <v>1.2830915068316366</v>
      </c>
      <c r="N374" s="366">
        <f t="shared" si="145"/>
        <v>0.67714038927789422</v>
      </c>
      <c r="O374" s="367">
        <f t="shared" si="146"/>
        <v>1.0338155070761057</v>
      </c>
      <c r="P374" s="368">
        <f t="shared" si="147"/>
        <v>0.3482114537679295</v>
      </c>
      <c r="Q374" s="369">
        <f t="shared" si="148"/>
        <v>-16.254914343148474</v>
      </c>
      <c r="R374" s="370">
        <f t="shared" si="149"/>
        <v>-117.50797156433444</v>
      </c>
      <c r="S374" s="372">
        <f t="shared" si="150"/>
        <v>62.49202843566556</v>
      </c>
      <c r="U374" s="345">
        <f t="shared" si="156"/>
        <v>31083</v>
      </c>
      <c r="V374" s="345">
        <f t="shared" si="157"/>
        <v>966152889</v>
      </c>
      <c r="X374" s="371">
        <f t="shared" si="151"/>
        <v>13.665966861517397</v>
      </c>
      <c r="Y374" s="372">
        <f t="shared" si="152"/>
        <v>-41.026758091197721</v>
      </c>
      <c r="AA374" s="371">
        <f t="shared" si="153"/>
        <v>16.099718708613754</v>
      </c>
      <c r="AB374" s="372">
        <f t="shared" si="154"/>
        <v>-76.481213473136719</v>
      </c>
      <c r="AD374">
        <f t="shared" si="158"/>
        <v>0</v>
      </c>
      <c r="AE374">
        <f t="shared" si="161"/>
        <v>0</v>
      </c>
    </row>
    <row r="375" spans="1:31" x14ac:dyDescent="0.2">
      <c r="A375" s="373">
        <v>31263</v>
      </c>
      <c r="B375" s="390">
        <f t="shared" si="155"/>
        <v>31.263000000000002</v>
      </c>
      <c r="C375" s="363">
        <f t="shared" si="136"/>
        <v>41.089968470563115</v>
      </c>
      <c r="D375" s="364">
        <f t="shared" si="137"/>
        <v>1.5464570834910696</v>
      </c>
      <c r="E375" s="364">
        <f t="shared" si="138"/>
        <v>1.5366930872648852</v>
      </c>
      <c r="F375" s="365">
        <f t="shared" si="139"/>
        <v>0.86222713933254447</v>
      </c>
      <c r="G375" s="364">
        <f t="shared" si="140"/>
        <v>1.0471822995582134</v>
      </c>
      <c r="H375" s="365">
        <f t="shared" si="141"/>
        <v>-0.30132675135852743</v>
      </c>
      <c r="I375" s="363">
        <f t="shared" si="142"/>
        <v>106098.68864440384</v>
      </c>
      <c r="J375" s="366">
        <f t="shared" si="143"/>
        <v>1.5707869016077167</v>
      </c>
      <c r="K375" s="374">
        <f t="shared" si="159"/>
        <v>25.848092415988475</v>
      </c>
      <c r="L375" s="375">
        <f t="shared" si="160"/>
        <v>1.5320990950300453</v>
      </c>
      <c r="M375" s="363">
        <f t="shared" si="144"/>
        <v>1.2860136636504405</v>
      </c>
      <c r="N375" s="366">
        <f t="shared" si="145"/>
        <v>0.67996183707301205</v>
      </c>
      <c r="O375" s="367">
        <f t="shared" si="146"/>
        <v>1.0342063197814642</v>
      </c>
      <c r="P375" s="368">
        <f t="shared" si="147"/>
        <v>0.35017631823016393</v>
      </c>
      <c r="Q375" s="369">
        <f t="shared" si="148"/>
        <v>-16.294917166629965</v>
      </c>
      <c r="R375" s="370">
        <f t="shared" si="149"/>
        <v>-117.70745590827059</v>
      </c>
      <c r="S375" s="372">
        <f t="shared" si="150"/>
        <v>62.292544091729411</v>
      </c>
      <c r="U375" s="345">
        <f t="shared" si="156"/>
        <v>31263</v>
      </c>
      <c r="V375" s="345">
        <f t="shared" si="157"/>
        <v>977375169</v>
      </c>
      <c r="X375" s="371">
        <f t="shared" si="151"/>
        <v>13.646132306491454</v>
      </c>
      <c r="Y375" s="372">
        <f t="shared" si="152"/>
        <v>-41.175591576814718</v>
      </c>
      <c r="AA375" s="371">
        <f t="shared" si="153"/>
        <v>16.079550440158211</v>
      </c>
      <c r="AB375" s="372">
        <f t="shared" si="154"/>
        <v>-76.531864331455878</v>
      </c>
      <c r="AD375">
        <f t="shared" si="158"/>
        <v>0</v>
      </c>
      <c r="AE375">
        <f t="shared" si="161"/>
        <v>0</v>
      </c>
    </row>
    <row r="376" spans="1:31" x14ac:dyDescent="0.2">
      <c r="A376" s="373">
        <v>31443</v>
      </c>
      <c r="B376" s="390">
        <f t="shared" si="155"/>
        <v>31.443000000000001</v>
      </c>
      <c r="C376" s="363">
        <f t="shared" si="136"/>
        <v>41.32640855068481</v>
      </c>
      <c r="D376" s="364">
        <f t="shared" si="137"/>
        <v>1.5465963624592172</v>
      </c>
      <c r="E376" s="364">
        <f t="shared" si="138"/>
        <v>1.5418002067310215</v>
      </c>
      <c r="F376" s="365">
        <f t="shared" si="139"/>
        <v>0.86506260349569775</v>
      </c>
      <c r="G376" s="364">
        <f t="shared" si="140"/>
        <v>1.0477147672172649</v>
      </c>
      <c r="H376" s="365">
        <f t="shared" si="141"/>
        <v>-0.30295771582708586</v>
      </c>
      <c r="I376" s="363">
        <f t="shared" si="142"/>
        <v>106709.56296722317</v>
      </c>
      <c r="J376" s="366">
        <f t="shared" si="143"/>
        <v>1.5707869555635636</v>
      </c>
      <c r="K376" s="374">
        <f t="shared" si="159"/>
        <v>25.996693406755423</v>
      </c>
      <c r="L376" s="375">
        <f t="shared" si="160"/>
        <v>1.5323204037324432</v>
      </c>
      <c r="M376" s="363">
        <f t="shared" si="144"/>
        <v>1.2889460114023992</v>
      </c>
      <c r="N376" s="366">
        <f t="shared" si="145"/>
        <v>0.68277046957377319</v>
      </c>
      <c r="O376" s="367">
        <f t="shared" si="146"/>
        <v>1.0345993450432562</v>
      </c>
      <c r="P376" s="368">
        <f t="shared" si="147"/>
        <v>0.35214032187996286</v>
      </c>
      <c r="Q376" s="369">
        <f t="shared" si="148"/>
        <v>-16.334676942116129</v>
      </c>
      <c r="R376" s="370">
        <f t="shared" si="149"/>
        <v>-117.9071982020276</v>
      </c>
      <c r="S376" s="372">
        <f t="shared" si="150"/>
        <v>62.092801797972399</v>
      </c>
      <c r="U376" s="345">
        <f t="shared" si="156"/>
        <v>31443</v>
      </c>
      <c r="V376" s="345">
        <f t="shared" si="157"/>
        <v>988662249</v>
      </c>
      <c r="X376" s="371">
        <f t="shared" si="151"/>
        <v>13.626275215462631</v>
      </c>
      <c r="Y376" s="372">
        <f t="shared" si="152"/>
        <v>-41.323837402306381</v>
      </c>
      <c r="AA376" s="371">
        <f t="shared" si="153"/>
        <v>16.059647755700862</v>
      </c>
      <c r="AB376" s="372">
        <f t="shared" si="154"/>
        <v>-76.583360799721191</v>
      </c>
      <c r="AD376">
        <f t="shared" si="158"/>
        <v>0</v>
      </c>
      <c r="AE376">
        <f t="shared" si="161"/>
        <v>0</v>
      </c>
    </row>
    <row r="377" spans="1:31" x14ac:dyDescent="0.2">
      <c r="A377" s="373">
        <v>31623</v>
      </c>
      <c r="B377" s="390">
        <f t="shared" si="155"/>
        <v>31.623000000000001</v>
      </c>
      <c r="C377" s="363">
        <f t="shared" si="136"/>
        <v>41.562849423361193</v>
      </c>
      <c r="D377" s="364">
        <f t="shared" si="137"/>
        <v>1.5467340567821228</v>
      </c>
      <c r="E377" s="364">
        <f t="shared" si="138"/>
        <v>1.5469196401432146</v>
      </c>
      <c r="F377" s="365">
        <f t="shared" si="139"/>
        <v>0.86787932259906353</v>
      </c>
      <c r="G377" s="364">
        <f t="shared" si="140"/>
        <v>1.0482500190091952</v>
      </c>
      <c r="H377" s="365">
        <f t="shared" si="141"/>
        <v>-0.30458701903735941</v>
      </c>
      <c r="I377" s="363">
        <f t="shared" si="142"/>
        <v>107320.43729004283</v>
      </c>
      <c r="J377" s="366">
        <f t="shared" si="143"/>
        <v>1.5707870089051705</v>
      </c>
      <c r="K377" s="374">
        <f t="shared" si="159"/>
        <v>26.145295656302977</v>
      </c>
      <c r="L377" s="375">
        <f t="shared" si="160"/>
        <v>1.5325391967369739</v>
      </c>
      <c r="M377" s="363">
        <f t="shared" si="144"/>
        <v>1.2918884806929187</v>
      </c>
      <c r="N377" s="366">
        <f t="shared" si="145"/>
        <v>0.68556632988450439</v>
      </c>
      <c r="O377" s="367">
        <f t="shared" si="146"/>
        <v>1.0349945821508086</v>
      </c>
      <c r="P377" s="368">
        <f t="shared" si="147"/>
        <v>0.35410346067580145</v>
      </c>
      <c r="Q377" s="369">
        <f t="shared" si="148"/>
        <v>-16.374197041270055</v>
      </c>
      <c r="R377" s="370">
        <f t="shared" si="149"/>
        <v>-118.1071912906359</v>
      </c>
      <c r="S377" s="372">
        <f t="shared" si="150"/>
        <v>61.892808709364104</v>
      </c>
      <c r="U377" s="345">
        <f t="shared" si="156"/>
        <v>31623</v>
      </c>
      <c r="V377" s="345">
        <f t="shared" si="157"/>
        <v>1000014129</v>
      </c>
      <c r="X377" s="371">
        <f t="shared" si="151"/>
        <v>13.606396290234979</v>
      </c>
      <c r="Y377" s="372">
        <f t="shared" si="152"/>
        <v>-41.471495538890487</v>
      </c>
      <c r="AA377" s="371">
        <f t="shared" si="153"/>
        <v>16.040006581774591</v>
      </c>
      <c r="AB377" s="372">
        <f t="shared" si="154"/>
        <v>-76.635695751745402</v>
      </c>
      <c r="AD377">
        <f t="shared" si="158"/>
        <v>0</v>
      </c>
      <c r="AE377">
        <f t="shared" si="161"/>
        <v>0</v>
      </c>
    </row>
    <row r="378" spans="1:31" x14ac:dyDescent="0.2">
      <c r="A378" s="373">
        <v>31807</v>
      </c>
      <c r="B378" s="390">
        <f t="shared" si="155"/>
        <v>31.806999999999999</v>
      </c>
      <c r="C378" s="363">
        <f t="shared" si="136"/>
        <v>41.804545342819203</v>
      </c>
      <c r="D378" s="364">
        <f t="shared" si="137"/>
        <v>1.5468732011118298</v>
      </c>
      <c r="E378" s="364">
        <f t="shared" si="138"/>
        <v>1.5521654393241664</v>
      </c>
      <c r="F378" s="365">
        <f t="shared" si="139"/>
        <v>0.87073940776417891</v>
      </c>
      <c r="G378" s="364">
        <f t="shared" si="140"/>
        <v>1.0488000384716154</v>
      </c>
      <c r="H378" s="365">
        <f t="shared" si="141"/>
        <v>-0.30625080559035051</v>
      </c>
      <c r="I378" s="363">
        <f t="shared" si="142"/>
        <v>107944.88659781433</v>
      </c>
      <c r="J378" s="366">
        <f t="shared" si="143"/>
        <v>1.5707870628081388</v>
      </c>
      <c r="K378" s="374">
        <f t="shared" si="159"/>
        <v>26.297201456893866</v>
      </c>
      <c r="L378" s="375">
        <f t="shared" si="160"/>
        <v>1.5327602960173639</v>
      </c>
      <c r="M378" s="363">
        <f t="shared" si="144"/>
        <v>1.2949067277668351</v>
      </c>
      <c r="N378" s="366">
        <f t="shared" si="145"/>
        <v>0.68841116464950514</v>
      </c>
      <c r="O378" s="367">
        <f t="shared" si="146"/>
        <v>1.0354008876824712</v>
      </c>
      <c r="P378" s="368">
        <f t="shared" si="147"/>
        <v>0.35610932668890444</v>
      </c>
      <c r="Q378" s="369">
        <f t="shared" si="148"/>
        <v>-16.414351081595889</v>
      </c>
      <c r="R378" s="370">
        <f t="shared" si="149"/>
        <v>-118.3118805272521</v>
      </c>
      <c r="S378" s="372">
        <f t="shared" si="150"/>
        <v>61.6881194727479</v>
      </c>
      <c r="U378" s="345">
        <f t="shared" si="156"/>
        <v>31807</v>
      </c>
      <c r="V378" s="345">
        <f t="shared" si="157"/>
        <v>1011685249</v>
      </c>
      <c r="X378" s="371">
        <f t="shared" si="151"/>
        <v>13.586053766809565</v>
      </c>
      <c r="Y378" s="372">
        <f t="shared" si="152"/>
        <v>-41.621827597301767</v>
      </c>
      <c r="AA378" s="371">
        <f t="shared" si="153"/>
        <v>16.020195064874169</v>
      </c>
      <c r="AB378" s="372">
        <f t="shared" si="154"/>
        <v>-76.690052929950355</v>
      </c>
      <c r="AD378">
        <f t="shared" si="158"/>
        <v>0</v>
      </c>
      <c r="AE378">
        <f t="shared" si="161"/>
        <v>0</v>
      </c>
    </row>
    <row r="379" spans="1:31" x14ac:dyDescent="0.2">
      <c r="A379" s="373">
        <v>31991</v>
      </c>
      <c r="B379" s="390">
        <f t="shared" si="155"/>
        <v>31.991</v>
      </c>
      <c r="C379" s="363">
        <f t="shared" si="136"/>
        <v>42.04624206235583</v>
      </c>
      <c r="D379" s="364">
        <f t="shared" si="137"/>
        <v>1.5470107457422086</v>
      </c>
      <c r="E379" s="364">
        <f t="shared" si="138"/>
        <v>1.5574238497609132</v>
      </c>
      <c r="F379" s="365">
        <f t="shared" si="139"/>
        <v>0.8735802027308075</v>
      </c>
      <c r="G379" s="364">
        <f t="shared" si="140"/>
        <v>1.049352958159105</v>
      </c>
      <c r="H379" s="365">
        <f t="shared" si="141"/>
        <v>-0.30791284339235869</v>
      </c>
      <c r="I379" s="363">
        <f t="shared" si="142"/>
        <v>108569.33590558615</v>
      </c>
      <c r="J379" s="366">
        <f t="shared" si="143"/>
        <v>1.5707871160910485</v>
      </c>
      <c r="K379" s="374">
        <f t="shared" si="159"/>
        <v>26.449108528254069</v>
      </c>
      <c r="L379" s="375">
        <f t="shared" si="160"/>
        <v>1.5329788555974697</v>
      </c>
      <c r="M379" s="363">
        <f t="shared" si="144"/>
        <v>1.2979354058415569</v>
      </c>
      <c r="N379" s="366">
        <f t="shared" si="145"/>
        <v>0.69124274563555044</v>
      </c>
      <c r="O379" s="367">
        <f t="shared" si="146"/>
        <v>1.0358095029460694</v>
      </c>
      <c r="P379" s="368">
        <f t="shared" si="147"/>
        <v>0.3581142804882339</v>
      </c>
      <c r="Q379" s="369">
        <f t="shared" si="148"/>
        <v>-16.454261589882908</v>
      </c>
      <c r="R379" s="370">
        <f t="shared" si="149"/>
        <v>-118.51681698574195</v>
      </c>
      <c r="S379" s="372">
        <f t="shared" si="150"/>
        <v>61.483183014258046</v>
      </c>
      <c r="U379" s="345">
        <f t="shared" si="156"/>
        <v>31991</v>
      </c>
      <c r="V379" s="345">
        <f t="shared" si="157"/>
        <v>1023424081</v>
      </c>
      <c r="X379" s="371">
        <f t="shared" si="151"/>
        <v>13.565689887620053</v>
      </c>
      <c r="Y379" s="372">
        <f t="shared" si="152"/>
        <v>-41.771545748696369</v>
      </c>
      <c r="AA379" s="371">
        <f t="shared" si="153"/>
        <v>16.000648435776657</v>
      </c>
      <c r="AB379" s="372">
        <f t="shared" si="154"/>
        <v>-76.7452712370456</v>
      </c>
      <c r="AD379">
        <f t="shared" si="158"/>
        <v>0</v>
      </c>
      <c r="AE379">
        <f t="shared" si="161"/>
        <v>0</v>
      </c>
    </row>
    <row r="380" spans="1:31" x14ac:dyDescent="0.2">
      <c r="A380" s="373">
        <v>32175</v>
      </c>
      <c r="B380" s="390">
        <f t="shared" si="155"/>
        <v>32.174999999999997</v>
      </c>
      <c r="C380" s="363">
        <f t="shared" si="136"/>
        <v>42.287939568252519</v>
      </c>
      <c r="D380" s="364">
        <f t="shared" si="137"/>
        <v>1.5471467180973442</v>
      </c>
      <c r="E380" s="364">
        <f t="shared" si="138"/>
        <v>1.5626947441442214</v>
      </c>
      <c r="F380" s="365">
        <f t="shared" si="139"/>
        <v>0.87640185661060555</v>
      </c>
      <c r="G380" s="364">
        <f t="shared" si="140"/>
        <v>1.0499087734895758</v>
      </c>
      <c r="H380" s="365">
        <f t="shared" si="141"/>
        <v>-0.3095731260312013</v>
      </c>
      <c r="I380" s="363">
        <f t="shared" si="142"/>
        <v>109193.78521335828</v>
      </c>
      <c r="J380" s="366">
        <f t="shared" si="143"/>
        <v>1.5707871687645374</v>
      </c>
      <c r="K380" s="374">
        <f t="shared" si="159"/>
        <v>26.601016848613114</v>
      </c>
      <c r="L380" s="375">
        <f t="shared" si="160"/>
        <v>1.5331949189660263</v>
      </c>
      <c r="M380" s="363">
        <f t="shared" si="144"/>
        <v>1.3009744420667455</v>
      </c>
      <c r="N380" s="366">
        <f t="shared" si="145"/>
        <v>0.6940611201592064</v>
      </c>
      <c r="O380" s="367">
        <f t="shared" si="146"/>
        <v>1.0362204271737907</v>
      </c>
      <c r="P380" s="368">
        <f t="shared" si="147"/>
        <v>0.36011831780285974</v>
      </c>
      <c r="Q380" s="369">
        <f t="shared" si="148"/>
        <v>-16.493931958396601</v>
      </c>
      <c r="R380" s="370">
        <f t="shared" si="149"/>
        <v>-118.72199330175191</v>
      </c>
      <c r="S380" s="372">
        <f t="shared" si="150"/>
        <v>61.278006698248092</v>
      </c>
      <c r="U380" s="345">
        <f t="shared" si="156"/>
        <v>32175</v>
      </c>
      <c r="V380" s="345">
        <f t="shared" si="157"/>
        <v>1035230625</v>
      </c>
      <c r="X380" s="371">
        <f t="shared" si="151"/>
        <v>13.545305378654804</v>
      </c>
      <c r="Y380" s="372">
        <f t="shared" si="152"/>
        <v>-41.920650213002354</v>
      </c>
      <c r="AA380" s="371">
        <f t="shared" si="153"/>
        <v>15.981362576228221</v>
      </c>
      <c r="AB380" s="372">
        <f t="shared" si="154"/>
        <v>-76.801343088749562</v>
      </c>
      <c r="AD380">
        <f t="shared" si="158"/>
        <v>0</v>
      </c>
      <c r="AE380">
        <f t="shared" si="161"/>
        <v>0</v>
      </c>
    </row>
    <row r="381" spans="1:31" x14ac:dyDescent="0.2">
      <c r="A381" s="373">
        <v>32359</v>
      </c>
      <c r="B381" s="390">
        <f t="shared" si="155"/>
        <v>32.359000000000002</v>
      </c>
      <c r="C381" s="363">
        <f t="shared" si="136"/>
        <v>42.529637847102542</v>
      </c>
      <c r="D381" s="364">
        <f t="shared" si="137"/>
        <v>1.5472811449781463</v>
      </c>
      <c r="E381" s="364">
        <f t="shared" si="138"/>
        <v>1.5679779965764808</v>
      </c>
      <c r="F381" s="365">
        <f t="shared" si="139"/>
        <v>0.8792045177318234</v>
      </c>
      <c r="G381" s="364">
        <f t="shared" si="140"/>
        <v>1.0504674798666667</v>
      </c>
      <c r="H381" s="365">
        <f t="shared" si="141"/>
        <v>-0.31123164714693674</v>
      </c>
      <c r="I381" s="363">
        <f t="shared" si="142"/>
        <v>109818.2345211307</v>
      </c>
      <c r="J381" s="366">
        <f t="shared" si="143"/>
        <v>1.5707872208390017</v>
      </c>
      <c r="K381" s="374">
        <f t="shared" si="159"/>
        <v>26.752926396694832</v>
      </c>
      <c r="L381" s="375">
        <f t="shared" si="160"/>
        <v>1.5334085286249546</v>
      </c>
      <c r="M381" s="363">
        <f t="shared" si="144"/>
        <v>1.304023764023184</v>
      </c>
      <c r="N381" s="366">
        <f t="shared" si="145"/>
        <v>0.69686633593592895</v>
      </c>
      <c r="O381" s="367">
        <f t="shared" si="146"/>
        <v>1.0366336595949353</v>
      </c>
      <c r="P381" s="368">
        <f t="shared" si="147"/>
        <v>0.36212143437746069</v>
      </c>
      <c r="Q381" s="369">
        <f t="shared" si="148"/>
        <v>-16.533365512195616</v>
      </c>
      <c r="R381" s="370">
        <f t="shared" si="149"/>
        <v>-118.92740220337778</v>
      </c>
      <c r="S381" s="372">
        <f t="shared" si="150"/>
        <v>61.072597796622219</v>
      </c>
      <c r="U381" s="345">
        <f t="shared" si="156"/>
        <v>32359</v>
      </c>
      <c r="V381" s="345">
        <f t="shared" si="157"/>
        <v>1047104881</v>
      </c>
      <c r="X381" s="371">
        <f t="shared" si="151"/>
        <v>13.524900957955531</v>
      </c>
      <c r="Y381" s="372">
        <f t="shared" si="152"/>
        <v>-42.069141289528957</v>
      </c>
      <c r="AA381" s="371">
        <f t="shared" si="153"/>
        <v>15.962333443128479</v>
      </c>
      <c r="AB381" s="372">
        <f t="shared" si="154"/>
        <v>-76.858260913848795</v>
      </c>
      <c r="AD381">
        <f t="shared" si="158"/>
        <v>0</v>
      </c>
      <c r="AE381">
        <f t="shared" si="161"/>
        <v>0</v>
      </c>
    </row>
    <row r="382" spans="1:31" x14ac:dyDescent="0.2">
      <c r="A382" s="373">
        <v>32547.5</v>
      </c>
      <c r="B382" s="390">
        <f t="shared" si="155"/>
        <v>32.547499999999999</v>
      </c>
      <c r="C382" s="363">
        <f t="shared" si="136"/>
        <v>42.777248013006421</v>
      </c>
      <c r="D382" s="364">
        <f t="shared" si="137"/>
        <v>1.5474172842227671</v>
      </c>
      <c r="E382" s="364">
        <f t="shared" si="138"/>
        <v>1.5734031439360137</v>
      </c>
      <c r="F382" s="365">
        <f t="shared" si="139"/>
        <v>0.88205618124191743</v>
      </c>
      <c r="G382" s="364">
        <f t="shared" si="140"/>
        <v>1.0510428434070012</v>
      </c>
      <c r="H382" s="365">
        <f t="shared" si="141"/>
        <v>-0.31292889665542972</v>
      </c>
      <c r="I382" s="363">
        <f t="shared" si="142"/>
        <v>110457.95568697393</v>
      </c>
      <c r="J382" s="366">
        <f t="shared" si="143"/>
        <v>1.5707872735764681</v>
      </c>
      <c r="K382" s="374">
        <f t="shared" si="159"/>
        <v>26.90855237533243</v>
      </c>
      <c r="L382" s="375">
        <f t="shared" si="160"/>
        <v>1.5336248614004526</v>
      </c>
      <c r="M382" s="363">
        <f t="shared" si="144"/>
        <v>1.307158252669907</v>
      </c>
      <c r="N382" s="366">
        <f t="shared" si="145"/>
        <v>0.69972656241254583</v>
      </c>
      <c r="O382" s="367">
        <f t="shared" si="146"/>
        <v>1.0370593909943278</v>
      </c>
      <c r="P382" s="368">
        <f t="shared" si="147"/>
        <v>0.36417258099137434</v>
      </c>
      <c r="Q382" s="369">
        <f t="shared" si="148"/>
        <v>-16.573521307658115</v>
      </c>
      <c r="R382" s="370">
        <f t="shared" si="149"/>
        <v>-119.13806837398819</v>
      </c>
      <c r="S382" s="372">
        <f t="shared" si="150"/>
        <v>60.86193162601181</v>
      </c>
      <c r="U382" s="345">
        <f t="shared" si="156"/>
        <v>32547.5</v>
      </c>
      <c r="V382" s="345">
        <f t="shared" si="157"/>
        <v>1059339756.25</v>
      </c>
      <c r="X382" s="371">
        <f t="shared" si="151"/>
        <v>13.503977610277509</v>
      </c>
      <c r="Y382" s="372">
        <f t="shared" si="152"/>
        <v>-42.220628261891619</v>
      </c>
      <c r="AA382" s="371">
        <f t="shared" si="153"/>
        <v>15.943100995344</v>
      </c>
      <c r="AB382" s="372">
        <f t="shared" si="154"/>
        <v>-76.917440112096529</v>
      </c>
      <c r="AD382">
        <f t="shared" si="158"/>
        <v>0</v>
      </c>
      <c r="AE382">
        <f t="shared" si="161"/>
        <v>0</v>
      </c>
    </row>
    <row r="383" spans="1:31" x14ac:dyDescent="0.2">
      <c r="A383" s="373">
        <v>32736</v>
      </c>
      <c r="B383" s="390">
        <f t="shared" si="155"/>
        <v>32.735999999999997</v>
      </c>
      <c r="C383" s="363">
        <f t="shared" si="136"/>
        <v>43.024858962613742</v>
      </c>
      <c r="D383" s="364">
        <f t="shared" si="137"/>
        <v>1.5475518564888875</v>
      </c>
      <c r="E383" s="364">
        <f t="shared" si="138"/>
        <v>1.5788409981949703</v>
      </c>
      <c r="F383" s="365">
        <f t="shared" si="139"/>
        <v>0.88488822421487934</v>
      </c>
      <c r="G383" s="364">
        <f t="shared" si="140"/>
        <v>1.0516212313219875</v>
      </c>
      <c r="H383" s="365">
        <f t="shared" si="141"/>
        <v>-0.31462428408096993</v>
      </c>
      <c r="I383" s="363">
        <f t="shared" si="142"/>
        <v>111097.67685281749</v>
      </c>
      <c r="J383" s="366">
        <f t="shared" si="143"/>
        <v>1.5707873257065901</v>
      </c>
      <c r="K383" s="374">
        <f t="shared" si="159"/>
        <v>27.06417959880395</v>
      </c>
      <c r="L383" s="375">
        <f t="shared" si="160"/>
        <v>1.5338387062280017</v>
      </c>
      <c r="M383" s="363">
        <f t="shared" si="144"/>
        <v>1.3103033838280562</v>
      </c>
      <c r="N383" s="366">
        <f t="shared" si="145"/>
        <v>0.70257308123666118</v>
      </c>
      <c r="O383" s="367">
        <f t="shared" si="146"/>
        <v>1.0374875432218011</v>
      </c>
      <c r="P383" s="368">
        <f t="shared" si="147"/>
        <v>0.36622275228751527</v>
      </c>
      <c r="Q383" s="369">
        <f t="shared" si="148"/>
        <v>-16.613435418748118</v>
      </c>
      <c r="R383" s="370">
        <f t="shared" si="149"/>
        <v>-119.34896348971081</v>
      </c>
      <c r="S383" s="372">
        <f t="shared" si="150"/>
        <v>60.651036510289188</v>
      </c>
      <c r="U383" s="345">
        <f t="shared" si="156"/>
        <v>32736</v>
      </c>
      <c r="V383" s="345">
        <f t="shared" si="157"/>
        <v>1071645696</v>
      </c>
      <c r="X383" s="371">
        <f t="shared" si="151"/>
        <v>13.483034865132776</v>
      </c>
      <c r="Y383" s="372">
        <f t="shared" si="152"/>
        <v>-42.371472357737062</v>
      </c>
      <c r="AA383" s="371">
        <f t="shared" si="153"/>
        <v>15.924129629398731</v>
      </c>
      <c r="AB383" s="372">
        <f t="shared" si="154"/>
        <v>-76.977491131973707</v>
      </c>
      <c r="AD383">
        <f t="shared" si="158"/>
        <v>0</v>
      </c>
      <c r="AE383">
        <f t="shared" si="161"/>
        <v>0</v>
      </c>
    </row>
    <row r="384" spans="1:31" x14ac:dyDescent="0.2">
      <c r="A384" s="373">
        <v>32924.5</v>
      </c>
      <c r="B384" s="390">
        <f t="shared" si="155"/>
        <v>32.924500000000002</v>
      </c>
      <c r="C384" s="363">
        <f t="shared" si="136"/>
        <v>43.272470682471109</v>
      </c>
      <c r="D384" s="364">
        <f t="shared" si="137"/>
        <v>1.547684888671065</v>
      </c>
      <c r="E384" s="364">
        <f t="shared" si="138"/>
        <v>1.5842914285094993</v>
      </c>
      <c r="F384" s="365">
        <f t="shared" si="139"/>
        <v>0.88770080348889568</v>
      </c>
      <c r="G384" s="364">
        <f t="shared" si="140"/>
        <v>1.0522026386241974</v>
      </c>
      <c r="H384" s="365">
        <f t="shared" si="141"/>
        <v>-0.31631780275610399</v>
      </c>
      <c r="I384" s="363">
        <f t="shared" si="142"/>
        <v>111737.39801866135</v>
      </c>
      <c r="J384" s="366">
        <f t="shared" si="143"/>
        <v>1.5707873772397991</v>
      </c>
      <c r="K384" s="374">
        <f t="shared" si="159"/>
        <v>27.219808045757659</v>
      </c>
      <c r="L384" s="375">
        <f t="shared" si="160"/>
        <v>1.53405010576218</v>
      </c>
      <c r="M384" s="363">
        <f t="shared" si="144"/>
        <v>1.3134590810458548</v>
      </c>
      <c r="N384" s="366">
        <f t="shared" si="145"/>
        <v>0.70540594491541853</v>
      </c>
      <c r="O384" s="367">
        <f t="shared" si="146"/>
        <v>1.037918115439441</v>
      </c>
      <c r="P384" s="368">
        <f t="shared" si="147"/>
        <v>0.36827194374189215</v>
      </c>
      <c r="Q384" s="369">
        <f t="shared" si="148"/>
        <v>-16.653111211364362</v>
      </c>
      <c r="R384" s="370">
        <f t="shared" si="149"/>
        <v>-119.56008002920957</v>
      </c>
      <c r="S384" s="372">
        <f t="shared" si="150"/>
        <v>60.439919970790427</v>
      </c>
      <c r="U384" s="345">
        <f t="shared" si="156"/>
        <v>32924.5</v>
      </c>
      <c r="V384" s="345">
        <f t="shared" si="157"/>
        <v>1084022700.25</v>
      </c>
      <c r="X384" s="371">
        <f t="shared" si="151"/>
        <v>13.462073468714692</v>
      </c>
      <c r="Y384" s="372">
        <f t="shared" si="152"/>
        <v>-42.521674142173325</v>
      </c>
      <c r="AA384" s="371">
        <f t="shared" si="153"/>
        <v>15.905415233200575</v>
      </c>
      <c r="AB384" s="372">
        <f t="shared" si="154"/>
        <v>-77.038405887036248</v>
      </c>
      <c r="AD384">
        <f t="shared" si="158"/>
        <v>0</v>
      </c>
      <c r="AE384">
        <f t="shared" si="161"/>
        <v>0</v>
      </c>
    </row>
    <row r="385" spans="1:31" x14ac:dyDescent="0.2">
      <c r="A385" s="373">
        <v>33113</v>
      </c>
      <c r="B385" s="390">
        <f t="shared" si="155"/>
        <v>33.113</v>
      </c>
      <c r="C385" s="363">
        <f t="shared" si="136"/>
        <v>43.520083159431302</v>
      </c>
      <c r="D385" s="364">
        <f t="shared" si="137"/>
        <v>1.5478164070520002</v>
      </c>
      <c r="E385" s="364">
        <f t="shared" si="138"/>
        <v>1.5897543055295902</v>
      </c>
      <c r="F385" s="365">
        <f t="shared" si="139"/>
        <v>0.89049407498559108</v>
      </c>
      <c r="G385" s="364">
        <f t="shared" si="140"/>
        <v>1.0527870603112122</v>
      </c>
      <c r="H385" s="365">
        <f t="shared" si="141"/>
        <v>-0.31800944607094533</v>
      </c>
      <c r="I385" s="363">
        <f t="shared" si="142"/>
        <v>112377.11918450549</v>
      </c>
      <c r="J385" s="366">
        <f t="shared" si="143"/>
        <v>1.5707874281862895</v>
      </c>
      <c r="K385" s="374">
        <f t="shared" si="159"/>
        <v>27.375437695327189</v>
      </c>
      <c r="L385" s="375">
        <f t="shared" si="160"/>
        <v>1.534259101688485</v>
      </c>
      <c r="M385" s="363">
        <f t="shared" si="144"/>
        <v>1.3166252683488748</v>
      </c>
      <c r="N385" s="366">
        <f t="shared" si="145"/>
        <v>0.70822520633008923</v>
      </c>
      <c r="O385" s="367">
        <f t="shared" si="146"/>
        <v>1.0383511068062548</v>
      </c>
      <c r="P385" s="368">
        <f t="shared" si="147"/>
        <v>0.37032015084789038</v>
      </c>
      <c r="Q385" s="369">
        <f t="shared" si="148"/>
        <v>-16.692551984185272</v>
      </c>
      <c r="R385" s="370">
        <f t="shared" si="149"/>
        <v>-119.77141056984739</v>
      </c>
      <c r="S385" s="372">
        <f t="shared" si="150"/>
        <v>60.22858943015261</v>
      </c>
      <c r="U385" s="345">
        <f t="shared" si="156"/>
        <v>33113</v>
      </c>
      <c r="V385" s="345">
        <f t="shared" si="157"/>
        <v>1096470769</v>
      </c>
      <c r="X385" s="371">
        <f t="shared" si="151"/>
        <v>13.441094158550529</v>
      </c>
      <c r="Y385" s="372">
        <f t="shared" si="152"/>
        <v>-42.671234257255115</v>
      </c>
      <c r="AA385" s="371">
        <f t="shared" si="153"/>
        <v>15.886953770543821</v>
      </c>
      <c r="AB385" s="372">
        <f t="shared" si="154"/>
        <v>-77.100176312592296</v>
      </c>
      <c r="AD385">
        <f t="shared" si="158"/>
        <v>0</v>
      </c>
      <c r="AE385">
        <f t="shared" si="161"/>
        <v>0</v>
      </c>
    </row>
    <row r="386" spans="1:31" x14ac:dyDescent="0.2">
      <c r="A386" s="373">
        <v>33305.75</v>
      </c>
      <c r="B386" s="390">
        <f t="shared" si="155"/>
        <v>33.305750000000003</v>
      </c>
      <c r="C386" s="363">
        <f t="shared" si="136"/>
        <v>43.773279180585398</v>
      </c>
      <c r="D386" s="364">
        <f t="shared" si="137"/>
        <v>1.5479493520789276</v>
      </c>
      <c r="E386" s="364">
        <f t="shared" si="138"/>
        <v>1.5953530884628029</v>
      </c>
      <c r="F386" s="365">
        <f t="shared" si="139"/>
        <v>0.89333052055918072</v>
      </c>
      <c r="G386" s="364">
        <f t="shared" si="140"/>
        <v>1.0533877704836025</v>
      </c>
      <c r="H386" s="365">
        <f t="shared" si="141"/>
        <v>-0.31973728379781596</v>
      </c>
      <c r="I386" s="363">
        <f t="shared" si="142"/>
        <v>113031.26377186099</v>
      </c>
      <c r="J386" s="366">
        <f t="shared" si="143"/>
        <v>1.5707874796851091</v>
      </c>
      <c r="K386" s="374">
        <f t="shared" si="159"/>
        <v>27.534577458548103</v>
      </c>
      <c r="L386" s="375">
        <f t="shared" si="160"/>
        <v>1.5344703666599118</v>
      </c>
      <c r="M386" s="363">
        <f t="shared" si="144"/>
        <v>1.3198736107069426</v>
      </c>
      <c r="N386" s="366">
        <f t="shared" si="145"/>
        <v>0.71109402171870884</v>
      </c>
      <c r="O386" s="367">
        <f t="shared" si="146"/>
        <v>1.0387963612772859</v>
      </c>
      <c r="P386" s="368">
        <f t="shared" si="147"/>
        <v>0.37241351512389126</v>
      </c>
      <c r="Q386" s="369">
        <f t="shared" si="148"/>
        <v>-16.732642345364546</v>
      </c>
      <c r="R386" s="370">
        <f t="shared" si="149"/>
        <v>-119.9877195197044</v>
      </c>
      <c r="S386" s="372">
        <f t="shared" si="150"/>
        <v>60.012280480295601</v>
      </c>
      <c r="U386" s="345">
        <f t="shared" si="156"/>
        <v>33305.75</v>
      </c>
      <c r="V386" s="345">
        <f t="shared" si="157"/>
        <v>1109272983.0625</v>
      </c>
      <c r="X386" s="371">
        <f t="shared" si="151"/>
        <v>13.419624075271003</v>
      </c>
      <c r="Y386" s="372">
        <f t="shared" si="152"/>
        <v>-42.823503630842488</v>
      </c>
      <c r="AA386" s="371">
        <f t="shared" si="153"/>
        <v>15.868333492644071</v>
      </c>
      <c r="AB386" s="372">
        <f t="shared" si="154"/>
        <v>-77.164215888861875</v>
      </c>
      <c r="AD386">
        <f t="shared" si="158"/>
        <v>0</v>
      </c>
      <c r="AE386">
        <f t="shared" si="161"/>
        <v>0</v>
      </c>
    </row>
    <row r="387" spans="1:31" x14ac:dyDescent="0.2">
      <c r="A387" s="373">
        <v>33498.5</v>
      </c>
      <c r="B387" s="390">
        <f t="shared" si="155"/>
        <v>33.4985</v>
      </c>
      <c r="C387" s="363">
        <f t="shared" si="136"/>
        <v>44.026475966506382</v>
      </c>
      <c r="D387" s="364">
        <f t="shared" si="137"/>
        <v>1.5480807679712996</v>
      </c>
      <c r="E387" s="364">
        <f t="shared" si="138"/>
        <v>1.6009646168538483</v>
      </c>
      <c r="F387" s="365">
        <f t="shared" si="139"/>
        <v>0.8961471046555205</v>
      </c>
      <c r="G387" s="364">
        <f t="shared" si="140"/>
        <v>1.0539916218741261</v>
      </c>
      <c r="H387" s="365">
        <f t="shared" si="141"/>
        <v>-0.32146314685151356</v>
      </c>
      <c r="I387" s="363">
        <f t="shared" si="142"/>
        <v>113685.4083592168</v>
      </c>
      <c r="J387" s="366">
        <f t="shared" si="143"/>
        <v>1.5707875305912813</v>
      </c>
      <c r="K387" s="374">
        <f t="shared" si="159"/>
        <v>27.693718436592597</v>
      </c>
      <c r="L387" s="375">
        <f t="shared" si="160"/>
        <v>1.5346792035871288</v>
      </c>
      <c r="M387" s="363">
        <f t="shared" si="144"/>
        <v>1.3231327623704274</v>
      </c>
      <c r="N387" s="366">
        <f t="shared" si="145"/>
        <v>0.71394872752561478</v>
      </c>
      <c r="O387" s="367">
        <f t="shared" si="146"/>
        <v>1.0392441434252968</v>
      </c>
      <c r="P387" s="368">
        <f t="shared" si="147"/>
        <v>0.37450584068938159</v>
      </c>
      <c r="Q387" s="369">
        <f t="shared" si="148"/>
        <v>-16.772493737298117</v>
      </c>
      <c r="R387" s="370">
        <f t="shared" si="149"/>
        <v>-120.20423684450607</v>
      </c>
      <c r="S387" s="372">
        <f t="shared" si="150"/>
        <v>59.79576315549393</v>
      </c>
      <c r="U387" s="345">
        <f t="shared" si="156"/>
        <v>33498.5</v>
      </c>
      <c r="V387" s="345">
        <f t="shared" si="157"/>
        <v>1122149502.25</v>
      </c>
      <c r="X387" s="371">
        <f t="shared" si="151"/>
        <v>13.398136793455597</v>
      </c>
      <c r="Y387" s="372">
        <f t="shared" si="152"/>
        <v>-42.975103667675711</v>
      </c>
      <c r="AA387" s="371">
        <f t="shared" si="153"/>
        <v>15.849969382525909</v>
      </c>
      <c r="AB387" s="372">
        <f t="shared" si="154"/>
        <v>-77.229133176830331</v>
      </c>
      <c r="AD387">
        <f t="shared" si="158"/>
        <v>0</v>
      </c>
      <c r="AE387">
        <f t="shared" si="161"/>
        <v>0</v>
      </c>
    </row>
    <row r="388" spans="1:31" x14ac:dyDescent="0.2">
      <c r="A388" s="373">
        <v>33691.25</v>
      </c>
      <c r="B388" s="390">
        <f t="shared" si="155"/>
        <v>33.691249999999997</v>
      </c>
      <c r="C388" s="363">
        <f t="shared" si="136"/>
        <v>44.279673504075134</v>
      </c>
      <c r="D388" s="364">
        <f t="shared" si="137"/>
        <v>1.5482106809559708</v>
      </c>
      <c r="E388" s="364">
        <f t="shared" si="138"/>
        <v>1.6065887571498896</v>
      </c>
      <c r="F388" s="365">
        <f t="shared" si="139"/>
        <v>0.8989439909365956</v>
      </c>
      <c r="G388" s="364">
        <f t="shared" si="140"/>
        <v>1.0545986090869035</v>
      </c>
      <c r="H388" s="365">
        <f t="shared" si="141"/>
        <v>-0.32318702835160135</v>
      </c>
      <c r="I388" s="363">
        <f t="shared" si="142"/>
        <v>114339.55294657291</v>
      </c>
      <c r="J388" s="366">
        <f t="shared" si="143"/>
        <v>1.5707875809149781</v>
      </c>
      <c r="K388" s="374">
        <f t="shared" si="159"/>
        <v>27.85286060863751</v>
      </c>
      <c r="L388" s="375">
        <f t="shared" si="160"/>
        <v>1.5348856540709233</v>
      </c>
      <c r="M388" s="363">
        <f t="shared" si="144"/>
        <v>1.3264026436595315</v>
      </c>
      <c r="N388" s="366">
        <f t="shared" si="145"/>
        <v>0.71678938140143511</v>
      </c>
      <c r="O388" s="367">
        <f t="shared" si="146"/>
        <v>1.0396944523413059</v>
      </c>
      <c r="P388" s="368">
        <f t="shared" si="147"/>
        <v>0.37659712278265517</v>
      </c>
      <c r="Q388" s="369">
        <f t="shared" si="148"/>
        <v>-16.81210947915271</v>
      </c>
      <c r="R388" s="370">
        <f t="shared" si="149"/>
        <v>-120.42095492292479</v>
      </c>
      <c r="S388" s="372">
        <f t="shared" si="150"/>
        <v>59.579045077075207</v>
      </c>
      <c r="U388" s="345">
        <f t="shared" si="156"/>
        <v>33691.25</v>
      </c>
      <c r="V388" s="345">
        <f t="shared" si="157"/>
        <v>1135100326.5625</v>
      </c>
      <c r="X388" s="371">
        <f t="shared" si="151"/>
        <v>13.37663307373537</v>
      </c>
      <c r="Y388" s="372">
        <f t="shared" si="152"/>
        <v>-43.126035287925752</v>
      </c>
      <c r="AA388" s="371">
        <f t="shared" si="153"/>
        <v>15.831857360391545</v>
      </c>
      <c r="AB388" s="372">
        <f t="shared" si="154"/>
        <v>-77.294919634999047</v>
      </c>
      <c r="AD388">
        <f t="shared" si="158"/>
        <v>0</v>
      </c>
      <c r="AE388">
        <f t="shared" si="161"/>
        <v>0</v>
      </c>
    </row>
    <row r="389" spans="1:31" x14ac:dyDescent="0.2">
      <c r="A389" s="373">
        <v>33884</v>
      </c>
      <c r="B389" s="390">
        <f t="shared" si="155"/>
        <v>33.884</v>
      </c>
      <c r="C389" s="363">
        <f t="shared" si="136"/>
        <v>44.532871780470892</v>
      </c>
      <c r="D389" s="364">
        <f t="shared" si="137"/>
        <v>1.5483391166635352</v>
      </c>
      <c r="E389" s="364">
        <f t="shared" si="138"/>
        <v>1.6122253773635731</v>
      </c>
      <c r="F389" s="365">
        <f t="shared" si="139"/>
        <v>0.90172134201602172</v>
      </c>
      <c r="G389" s="364">
        <f t="shared" si="140"/>
        <v>1.0552087267104822</v>
      </c>
      <c r="H389" s="365">
        <f t="shared" si="141"/>
        <v>-0.32490892148054251</v>
      </c>
      <c r="I389" s="363">
        <f t="shared" si="142"/>
        <v>114993.69753392931</v>
      </c>
      <c r="J389" s="366">
        <f t="shared" si="143"/>
        <v>1.5707876306661395</v>
      </c>
      <c r="K389" s="374">
        <f t="shared" si="159"/>
        <v>28.012003954332734</v>
      </c>
      <c r="L389" s="375">
        <f t="shared" si="160"/>
        <v>1.5350897587675278</v>
      </c>
      <c r="M389" s="363">
        <f t="shared" si="144"/>
        <v>1.3296831754172012</v>
      </c>
      <c r="N389" s="366">
        <f t="shared" si="145"/>
        <v>0.71961604133777091</v>
      </c>
      <c r="O389" s="367">
        <f t="shared" si="146"/>
        <v>1.0401472871130812</v>
      </c>
      <c r="P389" s="368">
        <f t="shared" si="147"/>
        <v>0.37868735666119735</v>
      </c>
      <c r="Q389" s="369">
        <f t="shared" si="148"/>
        <v>-16.851492823432128</v>
      </c>
      <c r="R389" s="370">
        <f t="shared" si="149"/>
        <v>-120.63786623788238</v>
      </c>
      <c r="S389" s="372">
        <f t="shared" si="150"/>
        <v>59.362133762117622</v>
      </c>
      <c r="U389" s="345">
        <f t="shared" si="156"/>
        <v>33884</v>
      </c>
      <c r="V389" s="345">
        <f t="shared" si="157"/>
        <v>1148125456</v>
      </c>
      <c r="X389" s="371">
        <f t="shared" si="151"/>
        <v>13.355113667406645</v>
      </c>
      <c r="Y389" s="372">
        <f t="shared" si="152"/>
        <v>-43.276299485405538</v>
      </c>
      <c r="AA389" s="371">
        <f t="shared" si="153"/>
        <v>15.81399342244085</v>
      </c>
      <c r="AB389" s="372">
        <f t="shared" si="154"/>
        <v>-77.361566752476818</v>
      </c>
      <c r="AD389">
        <f t="shared" si="158"/>
        <v>0</v>
      </c>
      <c r="AE389">
        <f t="shared" si="161"/>
        <v>0</v>
      </c>
    </row>
    <row r="390" spans="1:31" x14ac:dyDescent="0.2">
      <c r="A390" s="373">
        <v>34081.5</v>
      </c>
      <c r="B390" s="390">
        <f t="shared" si="155"/>
        <v>34.081499999999998</v>
      </c>
      <c r="C390" s="363">
        <f t="shared" si="136"/>
        <v>44.792310456366486</v>
      </c>
      <c r="D390" s="364">
        <f t="shared" si="137"/>
        <v>1.5484692113147951</v>
      </c>
      <c r="E390" s="364">
        <f t="shared" si="138"/>
        <v>1.6180137112403417</v>
      </c>
      <c r="F390" s="365">
        <f t="shared" si="139"/>
        <v>0.90454704194223245</v>
      </c>
      <c r="G390" s="364">
        <f t="shared" si="140"/>
        <v>1.055837121059624</v>
      </c>
      <c r="H390" s="365">
        <f t="shared" si="141"/>
        <v>-0.32667117823493991</v>
      </c>
      <c r="I390" s="363">
        <f t="shared" si="142"/>
        <v>115663.96241591603</v>
      </c>
      <c r="J390" s="366">
        <f t="shared" si="143"/>
        <v>1.5707876810596206</v>
      </c>
      <c r="K390" s="374">
        <f t="shared" si="159"/>
        <v>28.175070317071942</v>
      </c>
      <c r="L390" s="375">
        <f t="shared" si="160"/>
        <v>1.5352965016222304</v>
      </c>
      <c r="M390" s="363">
        <f t="shared" si="144"/>
        <v>1.3330555155352311</v>
      </c>
      <c r="N390" s="366">
        <f t="shared" si="145"/>
        <v>0.72249790507448519</v>
      </c>
      <c r="O390" s="367">
        <f t="shared" si="146"/>
        <v>1.0406139002707613</v>
      </c>
      <c r="P390" s="368">
        <f t="shared" si="147"/>
        <v>0.3808280086231598</v>
      </c>
      <c r="Q390" s="369">
        <f t="shared" si="148"/>
        <v>-16.891608978359699</v>
      </c>
      <c r="R390" s="370">
        <f t="shared" si="149"/>
        <v>-120.86031565348128</v>
      </c>
      <c r="S390" s="372">
        <f t="shared" si="150"/>
        <v>59.13968434651872</v>
      </c>
      <c r="U390" s="345">
        <f t="shared" si="156"/>
        <v>34081.5</v>
      </c>
      <c r="V390" s="345">
        <f t="shared" si="157"/>
        <v>1161548642.25</v>
      </c>
      <c r="X390" s="371">
        <f t="shared" si="151"/>
        <v>13.3330484561458</v>
      </c>
      <c r="Y390" s="372">
        <f t="shared" si="152"/>
        <v>-43.429575509141053</v>
      </c>
      <c r="AA390" s="371">
        <f t="shared" si="153"/>
        <v>15.79594247877413</v>
      </c>
      <c r="AB390" s="372">
        <f t="shared" si="154"/>
        <v>-77.430740144340234</v>
      </c>
      <c r="AD390">
        <f t="shared" si="158"/>
        <v>0</v>
      </c>
      <c r="AE390">
        <f t="shared" si="161"/>
        <v>0</v>
      </c>
    </row>
    <row r="391" spans="1:31" x14ac:dyDescent="0.2">
      <c r="A391" s="373">
        <v>34279</v>
      </c>
      <c r="B391" s="390">
        <f t="shared" si="155"/>
        <v>34.279000000000003</v>
      </c>
      <c r="C391" s="363">
        <f t="shared" si="136"/>
        <v>45.0517498816236</v>
      </c>
      <c r="D391" s="364">
        <f t="shared" si="137"/>
        <v>1.5485978076165754</v>
      </c>
      <c r="E391" s="364">
        <f t="shared" si="138"/>
        <v>1.6238148721126195</v>
      </c>
      <c r="F391" s="365">
        <f t="shared" si="139"/>
        <v>0.90735257422418159</v>
      </c>
      <c r="G391" s="364">
        <f t="shared" si="140"/>
        <v>1.0564687904559213</v>
      </c>
      <c r="H391" s="365">
        <f t="shared" si="141"/>
        <v>-0.32843133312115058</v>
      </c>
      <c r="I391" s="363">
        <f t="shared" si="142"/>
        <v>116334.22729790305</v>
      </c>
      <c r="J391" s="366">
        <f t="shared" si="143"/>
        <v>1.5707877308724132</v>
      </c>
      <c r="K391" s="374">
        <f t="shared" si="159"/>
        <v>28.338137870227552</v>
      </c>
      <c r="L391" s="375">
        <f t="shared" si="160"/>
        <v>1.5355008651442459</v>
      </c>
      <c r="M391" s="363">
        <f t="shared" si="144"/>
        <v>1.3364388709369008</v>
      </c>
      <c r="N391" s="366">
        <f t="shared" si="145"/>
        <v>0.725365200956397</v>
      </c>
      <c r="O391" s="367">
        <f t="shared" si="146"/>
        <v>1.0410831633596587</v>
      </c>
      <c r="P391" s="368">
        <f t="shared" si="147"/>
        <v>0.38296755005183691</v>
      </c>
      <c r="Q391" s="369">
        <f t="shared" si="148"/>
        <v>-16.931487846531798</v>
      </c>
      <c r="R391" s="370">
        <f t="shared" si="149"/>
        <v>-121.08295229968475</v>
      </c>
      <c r="S391" s="372">
        <f t="shared" si="150"/>
        <v>58.917047700315251</v>
      </c>
      <c r="U391" s="345">
        <f t="shared" si="156"/>
        <v>34279</v>
      </c>
      <c r="V391" s="345">
        <f t="shared" si="157"/>
        <v>1175049841</v>
      </c>
      <c r="X391" s="371">
        <f t="shared" si="151"/>
        <v>13.31096834274283</v>
      </c>
      <c r="Y391" s="372">
        <f t="shared" si="152"/>
        <v>-43.582153148729063</v>
      </c>
      <c r="AA391" s="371">
        <f t="shared" si="153"/>
        <v>15.778143724004996</v>
      </c>
      <c r="AB391" s="372">
        <f t="shared" si="154"/>
        <v>-77.500799150955672</v>
      </c>
      <c r="AD391">
        <f t="shared" si="158"/>
        <v>0</v>
      </c>
      <c r="AE391">
        <f t="shared" si="161"/>
        <v>0</v>
      </c>
    </row>
    <row r="392" spans="1:31" x14ac:dyDescent="0.2">
      <c r="A392" s="373">
        <v>34476.5</v>
      </c>
      <c r="B392" s="390">
        <f t="shared" si="155"/>
        <v>34.476500000000001</v>
      </c>
      <c r="C392" s="363">
        <f t="shared" si="136"/>
        <v>45.311190043370331</v>
      </c>
      <c r="D392" s="364">
        <f t="shared" si="137"/>
        <v>1.5487249313020712</v>
      </c>
      <c r="E392" s="364">
        <f t="shared" si="138"/>
        <v>1.6296287229955944</v>
      </c>
      <c r="F392" s="365">
        <f t="shared" si="139"/>
        <v>0.91013811031033542</v>
      </c>
      <c r="G392" s="364">
        <f t="shared" si="140"/>
        <v>1.0571037290283882</v>
      </c>
      <c r="H392" s="365">
        <f t="shared" si="141"/>
        <v>-0.33018937901044626</v>
      </c>
      <c r="I392" s="363">
        <f t="shared" si="142"/>
        <v>117004.49217989038</v>
      </c>
      <c r="J392" s="366">
        <f t="shared" si="143"/>
        <v>1.5707877801144967</v>
      </c>
      <c r="K392" s="374">
        <f t="shared" si="159"/>
        <v>28.501206593366931</v>
      </c>
      <c r="L392" s="375">
        <f t="shared" si="160"/>
        <v>1.5357028901561784</v>
      </c>
      <c r="M392" s="363">
        <f t="shared" si="144"/>
        <v>1.3398331581746152</v>
      </c>
      <c r="N392" s="366">
        <f t="shared" si="145"/>
        <v>0.72821799237589568</v>
      </c>
      <c r="O392" s="367">
        <f t="shared" si="146"/>
        <v>1.0415550753879999</v>
      </c>
      <c r="P392" s="368">
        <f t="shared" si="147"/>
        <v>0.38510597590839346</v>
      </c>
      <c r="Q392" s="369">
        <f t="shared" si="148"/>
        <v>-16.971132719532342</v>
      </c>
      <c r="R392" s="370">
        <f t="shared" si="149"/>
        <v>-121.30576842419788</v>
      </c>
      <c r="S392" s="372">
        <f t="shared" si="150"/>
        <v>58.694231575802121</v>
      </c>
      <c r="U392" s="345">
        <f t="shared" si="156"/>
        <v>34476.5</v>
      </c>
      <c r="V392" s="345">
        <f t="shared" si="157"/>
        <v>1188629052.25</v>
      </c>
      <c r="X392" s="371">
        <f t="shared" si="151"/>
        <v>13.288874105202018</v>
      </c>
      <c r="Y392" s="372">
        <f t="shared" si="152"/>
        <v>-43.734033697894752</v>
      </c>
      <c r="AA392" s="371">
        <f t="shared" si="153"/>
        <v>15.760593088545264</v>
      </c>
      <c r="AB392" s="372">
        <f t="shared" si="154"/>
        <v>-77.571734726303092</v>
      </c>
      <c r="AD392">
        <f t="shared" si="158"/>
        <v>0</v>
      </c>
      <c r="AE392">
        <f t="shared" si="161"/>
        <v>0</v>
      </c>
    </row>
    <row r="393" spans="1:31" x14ac:dyDescent="0.2">
      <c r="A393" s="373">
        <v>34674</v>
      </c>
      <c r="B393" s="390">
        <f t="shared" si="155"/>
        <v>34.673999999999999</v>
      </c>
      <c r="C393" s="363">
        <f t="shared" si="136"/>
        <v>45.570630929027836</v>
      </c>
      <c r="D393" s="364">
        <f t="shared" si="137"/>
        <v>1.5488506075186583</v>
      </c>
      <c r="E393" s="364">
        <f t="shared" si="138"/>
        <v>1.6354551285547798</v>
      </c>
      <c r="F393" s="365">
        <f t="shared" si="139"/>
        <v>0.91290382045521146</v>
      </c>
      <c r="G393" s="364">
        <f t="shared" si="140"/>
        <v>1.0577419308897866</v>
      </c>
      <c r="H393" s="365">
        <f t="shared" si="141"/>
        <v>-0.33194530884331769</v>
      </c>
      <c r="I393" s="363">
        <f t="shared" si="142"/>
        <v>117674.75706187796</v>
      </c>
      <c r="J393" s="366">
        <f t="shared" si="143"/>
        <v>1.5707878287956232</v>
      </c>
      <c r="K393" s="374">
        <f t="shared" si="159"/>
        <v>28.664276466522256</v>
      </c>
      <c r="L393" s="375">
        <f t="shared" si="160"/>
        <v>1.5359026165524539</v>
      </c>
      <c r="M393" s="363">
        <f t="shared" si="144"/>
        <v>1.343238294375982</v>
      </c>
      <c r="N393" s="366">
        <f t="shared" si="145"/>
        <v>0.7310563430300081</v>
      </c>
      <c r="O393" s="367">
        <f t="shared" si="146"/>
        <v>1.0420296353605605</v>
      </c>
      <c r="P393" s="368">
        <f t="shared" si="147"/>
        <v>0.38724328117535167</v>
      </c>
      <c r="Q393" s="369">
        <f t="shared" si="148"/>
        <v>-17.010546822364162</v>
      </c>
      <c r="R393" s="370">
        <f t="shared" si="149"/>
        <v>-121.52875638538079</v>
      </c>
      <c r="S393" s="372">
        <f t="shared" si="150"/>
        <v>58.471243614619212</v>
      </c>
      <c r="U393" s="345">
        <f t="shared" si="156"/>
        <v>34674</v>
      </c>
      <c r="V393" s="345">
        <f t="shared" si="157"/>
        <v>1202286276</v>
      </c>
      <c r="X393" s="371">
        <f t="shared" si="151"/>
        <v>13.266766511436447</v>
      </c>
      <c r="Y393" s="372">
        <f t="shared" si="152"/>
        <v>-43.885218520985489</v>
      </c>
      <c r="AA393" s="371">
        <f t="shared" si="153"/>
        <v>15.743286579479015</v>
      </c>
      <c r="AB393" s="372">
        <f t="shared" si="154"/>
        <v>-77.64353786439527</v>
      </c>
      <c r="AD393">
        <f t="shared" si="158"/>
        <v>0</v>
      </c>
      <c r="AE393">
        <f t="shared" si="161"/>
        <v>0</v>
      </c>
    </row>
    <row r="394" spans="1:31" x14ac:dyDescent="0.2">
      <c r="A394" s="373">
        <v>34875.75</v>
      </c>
      <c r="B394" s="390">
        <f t="shared" si="155"/>
        <v>34.875749999999996</v>
      </c>
      <c r="C394" s="363">
        <f t="shared" si="136"/>
        <v>45.835655454481675</v>
      </c>
      <c r="D394" s="364">
        <f t="shared" si="137"/>
        <v>1.5489775191900974</v>
      </c>
      <c r="E394" s="364">
        <f t="shared" si="138"/>
        <v>1.6414197362595013</v>
      </c>
      <c r="F394" s="365">
        <f t="shared" si="139"/>
        <v>0.91570875119283313</v>
      </c>
      <c r="G394" s="364">
        <f t="shared" si="140"/>
        <v>1.0583972294484814</v>
      </c>
      <c r="H394" s="365">
        <f t="shared" si="141"/>
        <v>-0.33373683238961566</v>
      </c>
      <c r="I394" s="363">
        <f t="shared" si="142"/>
        <v>118359.44536537697</v>
      </c>
      <c r="J394" s="366">
        <f t="shared" si="143"/>
        <v>1.5707878779550348</v>
      </c>
      <c r="K394" s="374">
        <f t="shared" si="159"/>
        <v>28.830856605324115</v>
      </c>
      <c r="L394" s="375">
        <f t="shared" si="160"/>
        <v>1.5361043080588039</v>
      </c>
      <c r="M394" s="363">
        <f t="shared" si="144"/>
        <v>1.3467278217442415</v>
      </c>
      <c r="N394" s="366">
        <f t="shared" si="145"/>
        <v>0.73394092842111025</v>
      </c>
      <c r="O394" s="367">
        <f t="shared" si="146"/>
        <v>1.0425171403735631</v>
      </c>
      <c r="P394" s="368">
        <f t="shared" si="147"/>
        <v>0.38942541687193638</v>
      </c>
      <c r="Q394" s="369">
        <f t="shared" si="148"/>
        <v>-17.050574090097101</v>
      </c>
      <c r="R394" s="370">
        <f t="shared" si="149"/>
        <v>-121.75671241263829</v>
      </c>
      <c r="S394" s="372">
        <f t="shared" si="150"/>
        <v>58.243287587361706</v>
      </c>
      <c r="U394" s="345">
        <f t="shared" si="156"/>
        <v>34875.75</v>
      </c>
      <c r="V394" s="345">
        <f t="shared" si="157"/>
        <v>1216317938.0625</v>
      </c>
      <c r="X394" s="371">
        <f t="shared" si="151"/>
        <v>13.244170182277998</v>
      </c>
      <c r="Y394" s="372">
        <f t="shared" si="152"/>
        <v>-44.038939834265726</v>
      </c>
      <c r="AA394" s="371">
        <f t="shared" si="153"/>
        <v>15.725855640904527</v>
      </c>
      <c r="AB394" s="372">
        <f t="shared" si="154"/>
        <v>-77.717772578372603</v>
      </c>
      <c r="AD394">
        <f t="shared" si="158"/>
        <v>0</v>
      </c>
      <c r="AE394">
        <f t="shared" si="161"/>
        <v>0</v>
      </c>
    </row>
    <row r="395" spans="1:31" x14ac:dyDescent="0.2">
      <c r="A395" s="373">
        <v>35077.5</v>
      </c>
      <c r="B395" s="390">
        <f t="shared" si="155"/>
        <v>35.077500000000001</v>
      </c>
      <c r="C395" s="363">
        <f t="shared" si="136"/>
        <v>46.100680709702608</v>
      </c>
      <c r="D395" s="364">
        <f t="shared" si="137"/>
        <v>1.549102971674754</v>
      </c>
      <c r="E395" s="364">
        <f t="shared" si="138"/>
        <v>1.6473971644847512</v>
      </c>
      <c r="F395" s="365">
        <f t="shared" si="139"/>
        <v>0.91849334884304534</v>
      </c>
      <c r="G395" s="364">
        <f t="shared" si="140"/>
        <v>1.0590559207828318</v>
      </c>
      <c r="H395" s="365">
        <f t="shared" si="141"/>
        <v>-0.33552613315777641</v>
      </c>
      <c r="I395" s="363">
        <f t="shared" si="142"/>
        <v>119044.13366887625</v>
      </c>
      <c r="J395" s="366">
        <f t="shared" si="143"/>
        <v>1.570787926548961</v>
      </c>
      <c r="K395" s="374">
        <f t="shared" si="159"/>
        <v>28.997437903474808</v>
      </c>
      <c r="L395" s="375">
        <f t="shared" si="160"/>
        <v>1.5363036822627361</v>
      </c>
      <c r="M395" s="363">
        <f t="shared" si="144"/>
        <v>1.3502284970344209</v>
      </c>
      <c r="N395" s="366">
        <f t="shared" si="145"/>
        <v>0.73681058012357614</v>
      </c>
      <c r="O395" s="367">
        <f t="shared" si="146"/>
        <v>1.0430074064088612</v>
      </c>
      <c r="P395" s="368">
        <f t="shared" si="147"/>
        <v>0.39160637271630516</v>
      </c>
      <c r="Q395" s="369">
        <f t="shared" si="148"/>
        <v>-17.090367146413328</v>
      </c>
      <c r="R395" s="370">
        <f t="shared" si="149"/>
        <v>-121.9848319803035</v>
      </c>
      <c r="S395" s="372">
        <f t="shared" si="150"/>
        <v>58.015168019696503</v>
      </c>
      <c r="U395" s="345">
        <f t="shared" si="156"/>
        <v>35077.5</v>
      </c>
      <c r="V395" s="345">
        <f t="shared" si="157"/>
        <v>1230431006.25</v>
      </c>
      <c r="X395" s="371">
        <f t="shared" si="151"/>
        <v>13.221561503808237</v>
      </c>
      <c r="Y395" s="372">
        <f t="shared" si="152"/>
        <v>-44.191938249462169</v>
      </c>
      <c r="AA395" s="371">
        <f t="shared" si="153"/>
        <v>15.708671263058061</v>
      </c>
      <c r="AB395" s="372">
        <f t="shared" si="154"/>
        <v>-77.792893730841328</v>
      </c>
      <c r="AD395">
        <f t="shared" si="158"/>
        <v>0</v>
      </c>
      <c r="AE395">
        <f t="shared" si="161"/>
        <v>0</v>
      </c>
    </row>
    <row r="396" spans="1:31" x14ac:dyDescent="0.2">
      <c r="A396" s="373">
        <v>35279.25</v>
      </c>
      <c r="B396" s="390">
        <f t="shared" si="155"/>
        <v>35.279249999999998</v>
      </c>
      <c r="C396" s="363">
        <f t="shared" si="136"/>
        <v>46.365706682176643</v>
      </c>
      <c r="D396" s="364">
        <f t="shared" si="137"/>
        <v>1.5492269899907412</v>
      </c>
      <c r="E396" s="364">
        <f t="shared" si="138"/>
        <v>1.6533872741819118</v>
      </c>
      <c r="F396" s="365">
        <f t="shared" si="139"/>
        <v>0.92125779098359661</v>
      </c>
      <c r="G396" s="364">
        <f t="shared" si="140"/>
        <v>1.0597179985662728</v>
      </c>
      <c r="H396" s="365">
        <f t="shared" si="141"/>
        <v>-0.33731320384612579</v>
      </c>
      <c r="I396" s="363">
        <f t="shared" si="142"/>
        <v>119728.82197237582</v>
      </c>
      <c r="J396" s="366">
        <f t="shared" si="143"/>
        <v>1.570787974587103</v>
      </c>
      <c r="K396" s="374">
        <f t="shared" si="159"/>
        <v>29.164020341108159</v>
      </c>
      <c r="L396" s="375">
        <f t="shared" si="160"/>
        <v>1.5365007788569736</v>
      </c>
      <c r="M396" s="363">
        <f t="shared" si="144"/>
        <v>1.35374023376334</v>
      </c>
      <c r="N396" s="366">
        <f t="shared" si="145"/>
        <v>0.73966536691001439</v>
      </c>
      <c r="O396" s="367">
        <f t="shared" si="146"/>
        <v>1.0435004323946477</v>
      </c>
      <c r="P396" s="368">
        <f t="shared" si="147"/>
        <v>0.3937861434293935</v>
      </c>
      <c r="Q396" s="369">
        <f t="shared" si="148"/>
        <v>-17.129929224243146</v>
      </c>
      <c r="R396" s="370">
        <f t="shared" si="149"/>
        <v>-122.21310729324033</v>
      </c>
      <c r="S396" s="372">
        <f t="shared" si="150"/>
        <v>57.786892706759673</v>
      </c>
      <c r="U396" s="345">
        <f t="shared" si="156"/>
        <v>35279.25</v>
      </c>
      <c r="V396" s="345">
        <f t="shared" si="157"/>
        <v>1244625480.5625</v>
      </c>
      <c r="X396" s="371">
        <f t="shared" si="151"/>
        <v>13.198941262343745</v>
      </c>
      <c r="Y396" s="372">
        <f t="shared" si="152"/>
        <v>-44.344215433285378</v>
      </c>
      <c r="AA396" s="371">
        <f t="shared" si="153"/>
        <v>15.691729426692735</v>
      </c>
      <c r="AB396" s="372">
        <f t="shared" si="154"/>
        <v>-77.868891859954999</v>
      </c>
      <c r="AD396">
        <f t="shared" si="158"/>
        <v>0</v>
      </c>
      <c r="AE396">
        <f t="shared" si="161"/>
        <v>0</v>
      </c>
    </row>
    <row r="397" spans="1:31" x14ac:dyDescent="0.2">
      <c r="A397" s="373">
        <v>35481</v>
      </c>
      <c r="B397" s="390">
        <f t="shared" si="155"/>
        <v>35.481000000000002</v>
      </c>
      <c r="C397" s="363">
        <f t="shared" ref="C397:C460" si="162">SQRT(1+(A397/pole1)^2)</f>
        <v>46.630733359674259</v>
      </c>
      <c r="D397" s="364">
        <f t="shared" ref="D397:D460" si="163">ATAN(A397/pole1)</f>
        <v>1.5493495985875876</v>
      </c>
      <c r="E397" s="364">
        <f t="shared" ref="E397:E460" si="164">SQRT(1+(A397/Zero1)^2)</f>
        <v>1.6593899280172497</v>
      </c>
      <c r="F397" s="365">
        <f t="shared" ref="F397:F460" si="165">ATAN(A397/Zero1)</f>
        <v>0.92400225386317236</v>
      </c>
      <c r="G397" s="364">
        <f t="shared" ref="G397:G460" si="166">IF(VIN_nom&gt;Vout, 1, SQRT(1+(A397/z_RHP)^2))</f>
        <v>1.0603834564555537</v>
      </c>
      <c r="H397" s="365">
        <f t="shared" ref="H397:H460" si="167">IF(VIN_nom&gt;Vout, 0, -ATAN(A397/z_RHP))</f>
        <v>-0.33909803722815468</v>
      </c>
      <c r="I397" s="363">
        <f t="shared" ref="I397:I460" si="168">SQRT(1+(A397/Pole2)^2)</f>
        <v>120413.51027587565</v>
      </c>
      <c r="J397" s="366">
        <f t="shared" ref="J397:J460" si="169">ATAN(A397/Pole2)</f>
        <v>1.5707880220789414</v>
      </c>
      <c r="K397" s="374">
        <f t="shared" si="159"/>
        <v>29.33060389880918</v>
      </c>
      <c r="L397" s="375">
        <f t="shared" si="160"/>
        <v>1.5366956366332152</v>
      </c>
      <c r="M397" s="363">
        <f t="shared" ref="M397:M460" si="170">SQRT(1+(A397/pole4)^2)</f>
        <v>1.3572629460710119</v>
      </c>
      <c r="N397" s="366">
        <f t="shared" ref="N397:N460" si="171">ATAN(A397/pole4)</f>
        <v>0.74250535781158078</v>
      </c>
      <c r="O397" s="367">
        <f t="shared" ref="O397:O460" si="172">SQRT((1-(V397/pterm2))^2+(A397/pterm1)^2)</f>
        <v>1.0439962172555033</v>
      </c>
      <c r="P397" s="368">
        <f t="shared" ref="P397:P460" si="173">IF((ATAN((A397/pterm1)/(1-A397^2/pterm2))&gt;0),ATAN((A397/pterm1)/(1-A397^2/pterm2)),PI()+ATAN((A397/pterm1)/(1-A397^2/pterm2)))</f>
        <v>0.3959647237556011</v>
      </c>
      <c r="Q397" s="369">
        <f t="shared" ref="Q397:Q460" si="174">20*LOG10(((E397*K397*G397)/(C397*I397*O397*M397))*Adc)</f>
        <v>-17.169263490894654</v>
      </c>
      <c r="R397" s="370">
        <f t="shared" ref="R397:R460" si="175">((F397+L397+H397)-(D397+J397+P397+N397))*radconv</f>
        <v>-122.4415306719622</v>
      </c>
      <c r="S397" s="372">
        <f t="shared" ref="S397:S460" si="176">IF(R397&gt;0,R397,R397+180)</f>
        <v>57.558469328037802</v>
      </c>
      <c r="U397" s="345">
        <f t="shared" si="156"/>
        <v>35481</v>
      </c>
      <c r="V397" s="345">
        <f t="shared" si="157"/>
        <v>1258901361</v>
      </c>
      <c r="X397" s="371">
        <f t="shared" ref="X397:X460" si="177">20*LOG10((K397/(I397*M397))*AEA)</f>
        <v>13.17631023347133</v>
      </c>
      <c r="Y397" s="372">
        <f t="shared" ref="Y397:Y460" si="178">(L397-(J397+N397))*radconv</f>
        <v>-44.495773118871817</v>
      </c>
      <c r="AA397" s="371">
        <f t="shared" ref="AA397:AA460" si="179">20*LOG10((E397*G397/(C397*O397))*Acs*Am)</f>
        <v>15.675026188913638</v>
      </c>
      <c r="AB397" s="372">
        <f t="shared" ref="AB397:AB460" si="180">(F397+H397-(D397+P397))*radconv</f>
        <v>-77.945757553090388</v>
      </c>
      <c r="AD397">
        <f t="shared" si="158"/>
        <v>0</v>
      </c>
      <c r="AE397">
        <f t="shared" si="161"/>
        <v>0</v>
      </c>
    </row>
    <row r="398" spans="1:31" x14ac:dyDescent="0.2">
      <c r="A398" s="373">
        <v>35687.75</v>
      </c>
      <c r="B398" s="390">
        <f t="shared" ref="B398:B461" si="181">A398/1000</f>
        <v>35.687750000000001</v>
      </c>
      <c r="C398" s="363">
        <f t="shared" si="162"/>
        <v>46.902328951348373</v>
      </c>
      <c r="D398" s="364">
        <f t="shared" si="163"/>
        <v>1.5494738082474049</v>
      </c>
      <c r="E398" s="364">
        <f t="shared" si="164"/>
        <v>1.6655542189481449</v>
      </c>
      <c r="F398" s="365">
        <f t="shared" si="165"/>
        <v>0.92679418801171876</v>
      </c>
      <c r="G398" s="364">
        <f t="shared" si="166"/>
        <v>1.0610689066315369</v>
      </c>
      <c r="H398" s="365">
        <f t="shared" si="167"/>
        <v>-0.34092477575417796</v>
      </c>
      <c r="I398" s="363">
        <f t="shared" si="168"/>
        <v>121115.16731056535</v>
      </c>
      <c r="J398" s="366">
        <f t="shared" si="169"/>
        <v>1.5707880701906891</v>
      </c>
      <c r="K398" s="374">
        <f t="shared" si="159"/>
        <v>29.501317063587237</v>
      </c>
      <c r="L398" s="375">
        <f t="shared" si="160"/>
        <v>1.536893040522155</v>
      </c>
      <c r="M398" s="363">
        <f t="shared" si="170"/>
        <v>1.3608842600814459</v>
      </c>
      <c r="N398" s="366">
        <f t="shared" si="171"/>
        <v>0.74540045462863336</v>
      </c>
      <c r="O398" s="367">
        <f t="shared" si="172"/>
        <v>1.0445071503797025</v>
      </c>
      <c r="P398" s="368">
        <f t="shared" si="173"/>
        <v>0.39819605568165051</v>
      </c>
      <c r="Q398" s="369">
        <f t="shared" si="174"/>
        <v>-17.20933948033441</v>
      </c>
      <c r="R398" s="370">
        <f t="shared" si="175"/>
        <v>-122.6757608037957</v>
      </c>
      <c r="S398" s="372">
        <f t="shared" si="176"/>
        <v>57.324239196204303</v>
      </c>
      <c r="U398" s="345">
        <f t="shared" ref="U398:U461" si="182">IF(Q398&lt;0,A398,1000000000)</f>
        <v>35687.75</v>
      </c>
      <c r="V398" s="345">
        <f t="shared" ref="V398:V461" si="183">A398^2</f>
        <v>1273615500.0625</v>
      </c>
      <c r="X398" s="371">
        <f t="shared" si="177"/>
        <v>13.15310794481916</v>
      </c>
      <c r="Y398" s="372">
        <f t="shared" si="178"/>
        <v>-44.650342294851669</v>
      </c>
      <c r="AA398" s="371">
        <f t="shared" si="179"/>
        <v>15.658152488126058</v>
      </c>
      <c r="AB398" s="372">
        <f t="shared" si="180"/>
        <v>-78.025418508944043</v>
      </c>
      <c r="AD398">
        <f t="shared" ref="AD398:AD461" si="184">SUM((Q399&lt;0)*(Q398&gt;0))*A398</f>
        <v>0</v>
      </c>
      <c r="AE398">
        <f t="shared" si="161"/>
        <v>0</v>
      </c>
    </row>
    <row r="399" spans="1:31" x14ac:dyDescent="0.2">
      <c r="A399" s="373">
        <v>35894.5</v>
      </c>
      <c r="B399" s="390">
        <f t="shared" si="181"/>
        <v>35.894500000000001</v>
      </c>
      <c r="C399" s="363">
        <f t="shared" si="162"/>
        <v>47.173925258301345</v>
      </c>
      <c r="D399" s="364">
        <f t="shared" si="163"/>
        <v>1.5495965876747173</v>
      </c>
      <c r="E399" s="364">
        <f t="shared" si="164"/>
        <v>1.6717313968977408</v>
      </c>
      <c r="F399" s="365">
        <f t="shared" si="165"/>
        <v>0.92956551080068051</v>
      </c>
      <c r="G399" s="364">
        <f t="shared" si="166"/>
        <v>1.0617578929879172</v>
      </c>
      <c r="H399" s="365">
        <f t="shared" si="167"/>
        <v>-0.34274914958014185</v>
      </c>
      <c r="I399" s="363">
        <f t="shared" si="168"/>
        <v>121816.82434525533</v>
      </c>
      <c r="J399" s="366">
        <f t="shared" si="169"/>
        <v>1.5707881177481957</v>
      </c>
      <c r="K399" s="374">
        <f t="shared" si="159"/>
        <v>29.672031364753053</v>
      </c>
      <c r="L399" s="375">
        <f t="shared" si="160"/>
        <v>1.5370881729417236</v>
      </c>
      <c r="M399" s="363">
        <f t="shared" si="170"/>
        <v>1.3645169198610763</v>
      </c>
      <c r="N399" s="366">
        <f t="shared" si="171"/>
        <v>0.74828016064009628</v>
      </c>
      <c r="O399" s="367">
        <f t="shared" si="172"/>
        <v>1.0450209785224669</v>
      </c>
      <c r="P399" s="368">
        <f t="shared" si="173"/>
        <v>0.40042612638694464</v>
      </c>
      <c r="Q399" s="369">
        <f t="shared" si="174"/>
        <v>-17.249182757478234</v>
      </c>
      <c r="R399" s="370">
        <f t="shared" si="175"/>
        <v>-122.91013046894683</v>
      </c>
      <c r="S399" s="372">
        <f t="shared" si="176"/>
        <v>57.089869531053168</v>
      </c>
      <c r="U399" s="345">
        <f t="shared" si="182"/>
        <v>35894.5</v>
      </c>
      <c r="V399" s="345">
        <f t="shared" si="183"/>
        <v>1288415130.25</v>
      </c>
      <c r="X399" s="371">
        <f t="shared" si="177"/>
        <v>13.129895942393325</v>
      </c>
      <c r="Y399" s="372">
        <f t="shared" si="178"/>
        <v>-44.804159756479663</v>
      </c>
      <c r="AA399" s="371">
        <f t="shared" si="179"/>
        <v>15.641521213408065</v>
      </c>
      <c r="AB399" s="372">
        <f t="shared" si="180"/>
        <v>-78.105970712467183</v>
      </c>
      <c r="AD399">
        <f t="shared" si="184"/>
        <v>0</v>
      </c>
      <c r="AE399">
        <f t="shared" si="161"/>
        <v>0</v>
      </c>
    </row>
    <row r="400" spans="1:31" x14ac:dyDescent="0.2">
      <c r="A400" s="373">
        <v>36101.25</v>
      </c>
      <c r="B400" s="390">
        <f t="shared" si="181"/>
        <v>36.10125</v>
      </c>
      <c r="C400" s="363">
        <f t="shared" si="162"/>
        <v>47.445522268249583</v>
      </c>
      <c r="D400" s="364">
        <f t="shared" si="163"/>
        <v>1.5497179614274474</v>
      </c>
      <c r="E400" s="364">
        <f t="shared" si="164"/>
        <v>1.677921319537425</v>
      </c>
      <c r="F400" s="365">
        <f t="shared" si="165"/>
        <v>0.93231640753386014</v>
      </c>
      <c r="G400" s="364">
        <f t="shared" si="166"/>
        <v>1.0624504086451829</v>
      </c>
      <c r="H400" s="365">
        <f t="shared" si="167"/>
        <v>-0.34457115117406129</v>
      </c>
      <c r="I400" s="363">
        <f t="shared" si="168"/>
        <v>122518.48137994557</v>
      </c>
      <c r="J400" s="366">
        <f t="shared" si="169"/>
        <v>1.5707881647609834</v>
      </c>
      <c r="K400" s="374">
        <f t="shared" si="159"/>
        <v>29.842746782804635</v>
      </c>
      <c r="L400" s="375">
        <f t="shared" si="160"/>
        <v>1.53728107285875</v>
      </c>
      <c r="M400" s="363">
        <f t="shared" si="170"/>
        <v>1.3681608350360583</v>
      </c>
      <c r="N400" s="366">
        <f t="shared" si="171"/>
        <v>0.75114455086882015</v>
      </c>
      <c r="O400" s="367">
        <f t="shared" si="172"/>
        <v>1.0455377005148578</v>
      </c>
      <c r="P400" s="368">
        <f t="shared" si="173"/>
        <v>0.40265493029238952</v>
      </c>
      <c r="Q400" s="369">
        <f t="shared" si="174"/>
        <v>-17.288796527010891</v>
      </c>
      <c r="R400" s="370">
        <f t="shared" si="175"/>
        <v>-123.14463177254902</v>
      </c>
      <c r="S400" s="372">
        <f t="shared" si="176"/>
        <v>56.855368227450981</v>
      </c>
      <c r="U400" s="345">
        <f t="shared" si="182"/>
        <v>36101.25</v>
      </c>
      <c r="V400" s="345">
        <f t="shared" si="183"/>
        <v>1303300251.5625</v>
      </c>
      <c r="X400" s="371">
        <f t="shared" si="177"/>
        <v>13.106675026287459</v>
      </c>
      <c r="Y400" s="372">
        <f t="shared" si="178"/>
        <v>-44.957227570159247</v>
      </c>
      <c r="AA400" s="371">
        <f t="shared" si="179"/>
        <v>15.625128359981273</v>
      </c>
      <c r="AB400" s="372">
        <f t="shared" si="180"/>
        <v>-78.187404202389772</v>
      </c>
      <c r="AD400">
        <f t="shared" si="184"/>
        <v>0</v>
      </c>
      <c r="AE400">
        <f t="shared" si="161"/>
        <v>0</v>
      </c>
    </row>
    <row r="401" spans="1:31" x14ac:dyDescent="0.2">
      <c r="A401" s="373">
        <v>36308</v>
      </c>
      <c r="B401" s="390">
        <f t="shared" si="181"/>
        <v>36.308</v>
      </c>
      <c r="C401" s="363">
        <f t="shared" si="162"/>
        <v>47.717119969189127</v>
      </c>
      <c r="D401" s="364">
        <f t="shared" si="163"/>
        <v>1.5498379535045674</v>
      </c>
      <c r="E401" s="364">
        <f t="shared" si="164"/>
        <v>1.6841238463395702</v>
      </c>
      <c r="F401" s="365">
        <f t="shared" si="165"/>
        <v>0.93504706203021992</v>
      </c>
      <c r="G401" s="364">
        <f t="shared" si="166"/>
        <v>1.0631464467065532</v>
      </c>
      <c r="H401" s="365">
        <f t="shared" si="167"/>
        <v>-0.34639077308652627</v>
      </c>
      <c r="I401" s="363">
        <f t="shared" si="168"/>
        <v>123220.13841463608</v>
      </c>
      <c r="J401" s="366">
        <f t="shared" si="169"/>
        <v>1.570788211238358</v>
      </c>
      <c r="K401" s="374">
        <f t="shared" si="159"/>
        <v>30.013463298683575</v>
      </c>
      <c r="L401" s="375">
        <f t="shared" si="160"/>
        <v>1.537471778354164</v>
      </c>
      <c r="M401" s="363">
        <f t="shared" si="170"/>
        <v>1.3718159159142462</v>
      </c>
      <c r="N401" s="366">
        <f t="shared" si="171"/>
        <v>0.75399370054707682</v>
      </c>
      <c r="O401" s="367">
        <f t="shared" si="172"/>
        <v>1.0460573151841177</v>
      </c>
      <c r="P401" s="368">
        <f t="shared" si="173"/>
        <v>0.40488246184498483</v>
      </c>
      <c r="Q401" s="369">
        <f t="shared" si="174"/>
        <v>-17.328183928180096</v>
      </c>
      <c r="R401" s="370">
        <f t="shared" si="175"/>
        <v>-123.37925694175638</v>
      </c>
      <c r="S401" s="372">
        <f t="shared" si="176"/>
        <v>56.620743058243619</v>
      </c>
      <c r="U401" s="345">
        <f t="shared" si="182"/>
        <v>36308</v>
      </c>
      <c r="V401" s="345">
        <f t="shared" si="183"/>
        <v>1318270864</v>
      </c>
      <c r="X401" s="371">
        <f t="shared" si="177"/>
        <v>13.0834459850879</v>
      </c>
      <c r="Y401" s="372">
        <f t="shared" si="178"/>
        <v>-45.109547865038692</v>
      </c>
      <c r="AA401" s="371">
        <f t="shared" si="179"/>
        <v>15.608970000011626</v>
      </c>
      <c r="AB401" s="372">
        <f t="shared" si="180"/>
        <v>-78.269709076717675</v>
      </c>
      <c r="AD401">
        <f t="shared" si="184"/>
        <v>0</v>
      </c>
      <c r="AE401">
        <f t="shared" si="161"/>
        <v>0</v>
      </c>
    </row>
    <row r="402" spans="1:31" x14ac:dyDescent="0.2">
      <c r="A402" s="373">
        <v>36519.5</v>
      </c>
      <c r="B402" s="390">
        <f t="shared" si="181"/>
        <v>36.519500000000001</v>
      </c>
      <c r="C402" s="363">
        <f t="shared" si="162"/>
        <v>47.994958223329007</v>
      </c>
      <c r="D402" s="364">
        <f t="shared" si="163"/>
        <v>1.5499592971501104</v>
      </c>
      <c r="E402" s="364">
        <f t="shared" si="164"/>
        <v>1.6904817709537299</v>
      </c>
      <c r="F402" s="365">
        <f t="shared" si="165"/>
        <v>0.93781969717403912</v>
      </c>
      <c r="G402" s="364">
        <f t="shared" si="166"/>
        <v>1.0638621134826109</v>
      </c>
      <c r="H402" s="365">
        <f t="shared" si="167"/>
        <v>-0.34824973009884558</v>
      </c>
      <c r="I402" s="363">
        <f t="shared" si="168"/>
        <v>123937.91574395701</v>
      </c>
      <c r="J402" s="366">
        <f t="shared" si="169"/>
        <v>1.5707882582390071</v>
      </c>
      <c r="K402" s="374">
        <f t="shared" si="159"/>
        <v>30.188103075956541</v>
      </c>
      <c r="L402" s="375">
        <f t="shared" si="160"/>
        <v>1.5376646334111232</v>
      </c>
      <c r="M402" s="363">
        <f t="shared" si="170"/>
        <v>1.3755664314762235</v>
      </c>
      <c r="N402" s="366">
        <f t="shared" si="171"/>
        <v>0.7568926171697955</v>
      </c>
      <c r="O402" s="367">
        <f t="shared" si="172"/>
        <v>1.0465918596969306</v>
      </c>
      <c r="P402" s="368">
        <f t="shared" si="173"/>
        <v>0.40715984776083802</v>
      </c>
      <c r="Q402" s="369">
        <f t="shared" si="174"/>
        <v>-17.368245216459382</v>
      </c>
      <c r="R402" s="370">
        <f t="shared" si="175"/>
        <v>-123.61939272108306</v>
      </c>
      <c r="S402" s="372">
        <f t="shared" si="176"/>
        <v>56.380607278916941</v>
      </c>
      <c r="U402" s="345">
        <f t="shared" si="182"/>
        <v>36519.5</v>
      </c>
      <c r="V402" s="345">
        <f t="shared" si="183"/>
        <v>1333673880.25</v>
      </c>
      <c r="X402" s="371">
        <f t="shared" si="177"/>
        <v>13.059675668795588</v>
      </c>
      <c r="Y402" s="372">
        <f t="shared" si="178"/>
        <v>-45.26459646497527</v>
      </c>
      <c r="AA402" s="371">
        <f t="shared" si="179"/>
        <v>15.592679028024657</v>
      </c>
      <c r="AB402" s="372">
        <f t="shared" si="180"/>
        <v>-78.354796256107818</v>
      </c>
      <c r="AD402">
        <f t="shared" si="184"/>
        <v>0</v>
      </c>
      <c r="AE402">
        <f t="shared" si="161"/>
        <v>0</v>
      </c>
    </row>
    <row r="403" spans="1:31" x14ac:dyDescent="0.2">
      <c r="A403" s="373">
        <v>36731</v>
      </c>
      <c r="B403" s="390">
        <f t="shared" si="181"/>
        <v>36.731000000000002</v>
      </c>
      <c r="C403" s="363">
        <f t="shared" si="162"/>
        <v>48.27279717602525</v>
      </c>
      <c r="D403" s="364">
        <f t="shared" si="163"/>
        <v>1.5500792439862223</v>
      </c>
      <c r="E403" s="364">
        <f t="shared" si="164"/>
        <v>1.6968525937118659</v>
      </c>
      <c r="F403" s="365">
        <f t="shared" si="165"/>
        <v>0.94057153365694135</v>
      </c>
      <c r="G403" s="364">
        <f t="shared" si="166"/>
        <v>1.0645814517191474</v>
      </c>
      <c r="H403" s="365">
        <f t="shared" si="167"/>
        <v>-0.35010618132291049</v>
      </c>
      <c r="I403" s="363">
        <f t="shared" si="168"/>
        <v>124655.69307327821</v>
      </c>
      <c r="J403" s="366">
        <f t="shared" si="169"/>
        <v>1.5707883046983895</v>
      </c>
      <c r="K403" s="374">
        <f t="shared" si="159"/>
        <v>30.362743963101739</v>
      </c>
      <c r="L403" s="375">
        <f t="shared" si="160"/>
        <v>1.5378552699418735</v>
      </c>
      <c r="M403" s="363">
        <f t="shared" si="170"/>
        <v>1.3793284439889006</v>
      </c>
      <c r="N403" s="366">
        <f t="shared" si="171"/>
        <v>0.75977574476625442</v>
      </c>
      <c r="O403" s="367">
        <f t="shared" si="172"/>
        <v>1.0471294288349102</v>
      </c>
      <c r="P403" s="368">
        <f t="shared" si="173"/>
        <v>0.40943589051677759</v>
      </c>
      <c r="Q403" s="369">
        <f t="shared" si="174"/>
        <v>-17.408076058552354</v>
      </c>
      <c r="R403" s="370">
        <f t="shared" si="175"/>
        <v>-123.85964205273818</v>
      </c>
      <c r="S403" s="372">
        <f t="shared" si="176"/>
        <v>56.140357947261819</v>
      </c>
      <c r="U403" s="345">
        <f t="shared" si="182"/>
        <v>36731</v>
      </c>
      <c r="V403" s="345">
        <f t="shared" si="183"/>
        <v>1349166361</v>
      </c>
      <c r="X403" s="371">
        <f t="shared" si="177"/>
        <v>13.035898482722876</v>
      </c>
      <c r="Y403" s="372">
        <f t="shared" si="178"/>
        <v>-45.418867501519856</v>
      </c>
      <c r="AA403" s="371">
        <f t="shared" si="179"/>
        <v>15.576625372004393</v>
      </c>
      <c r="AB403" s="372">
        <f t="shared" si="180"/>
        <v>-78.440774551218283</v>
      </c>
      <c r="AD403">
        <f t="shared" si="184"/>
        <v>0</v>
      </c>
      <c r="AE403">
        <f t="shared" si="161"/>
        <v>0</v>
      </c>
    </row>
    <row r="404" spans="1:31" x14ac:dyDescent="0.2">
      <c r="A404" s="373">
        <v>36942.5</v>
      </c>
      <c r="B404" s="390">
        <f t="shared" si="181"/>
        <v>36.942500000000003</v>
      </c>
      <c r="C404" s="363">
        <f t="shared" si="162"/>
        <v>48.550636815285053</v>
      </c>
      <c r="D404" s="364">
        <f t="shared" si="163"/>
        <v>1.5501978179898921</v>
      </c>
      <c r="E404" s="364">
        <f t="shared" si="164"/>
        <v>1.7032361698804637</v>
      </c>
      <c r="F404" s="365">
        <f t="shared" si="165"/>
        <v>0.9433027634215817</v>
      </c>
      <c r="G404" s="364">
        <f t="shared" si="166"/>
        <v>1.0653044539787904</v>
      </c>
      <c r="H404" s="365">
        <f t="shared" si="167"/>
        <v>-0.35196011905157093</v>
      </c>
      <c r="I404" s="363">
        <f t="shared" si="168"/>
        <v>125373.47040259966</v>
      </c>
      <c r="J404" s="366">
        <f t="shared" si="169"/>
        <v>1.5707883506258011</v>
      </c>
      <c r="K404" s="374">
        <f t="shared" si="159"/>
        <v>30.53738594107736</v>
      </c>
      <c r="L404" s="375">
        <f t="shared" si="160"/>
        <v>1.5380437259954025</v>
      </c>
      <c r="M404" s="363">
        <f t="shared" si="170"/>
        <v>1.3831018596377753</v>
      </c>
      <c r="N404" s="366">
        <f t="shared" si="171"/>
        <v>0.76264316443748792</v>
      </c>
      <c r="O404" s="367">
        <f t="shared" si="172"/>
        <v>1.0476700213304651</v>
      </c>
      <c r="P404" s="368">
        <f t="shared" si="173"/>
        <v>0.41171058425330442</v>
      </c>
      <c r="Q404" s="369">
        <f t="shared" si="174"/>
        <v>-17.447679613038144</v>
      </c>
      <c r="R404" s="370">
        <f t="shared" si="175"/>
        <v>-124.09999700291922</v>
      </c>
      <c r="S404" s="372">
        <f t="shared" si="176"/>
        <v>55.900002997080776</v>
      </c>
      <c r="U404" s="345">
        <f t="shared" si="182"/>
        <v>36942.5</v>
      </c>
      <c r="V404" s="345">
        <f t="shared" si="183"/>
        <v>1364748306.25</v>
      </c>
      <c r="X404" s="371">
        <f t="shared" si="177"/>
        <v>13.012115234264851</v>
      </c>
      <c r="Y404" s="372">
        <f t="shared" si="178"/>
        <v>-45.572363441905665</v>
      </c>
      <c r="AA404" s="371">
        <f t="shared" si="179"/>
        <v>15.560805065976623</v>
      </c>
      <c r="AB404" s="372">
        <f t="shared" si="180"/>
        <v>-78.527633561013531</v>
      </c>
      <c r="AD404">
        <f t="shared" si="184"/>
        <v>0</v>
      </c>
      <c r="AE404">
        <f t="shared" si="161"/>
        <v>0</v>
      </c>
    </row>
    <row r="405" spans="1:31" x14ac:dyDescent="0.2">
      <c r="A405" s="373">
        <v>37154</v>
      </c>
      <c r="B405" s="390">
        <f t="shared" si="181"/>
        <v>37.154000000000003</v>
      </c>
      <c r="C405" s="363">
        <f t="shared" si="162"/>
        <v>48.828477129388538</v>
      </c>
      <c r="D405" s="364">
        <f t="shared" si="163"/>
        <v>1.5503150425925358</v>
      </c>
      <c r="E405" s="364">
        <f t="shared" si="164"/>
        <v>1.7096323566001008</v>
      </c>
      <c r="F405" s="365">
        <f t="shared" si="165"/>
        <v>0.9460135767765353</v>
      </c>
      <c r="G405" s="364">
        <f t="shared" si="166"/>
        <v>1.0660311128065125</v>
      </c>
      <c r="H405" s="365">
        <f t="shared" si="167"/>
        <v>-0.35381153566764445</v>
      </c>
      <c r="I405" s="363">
        <f t="shared" si="168"/>
        <v>126091.24773192139</v>
      </c>
      <c r="J405" s="366">
        <f t="shared" si="169"/>
        <v>1.5707883960303273</v>
      </c>
      <c r="K405" s="374">
        <f t="shared" si="159"/>
        <v>30.712028991274593</v>
      </c>
      <c r="L405" s="375">
        <f t="shared" si="160"/>
        <v>1.5382300387558667</v>
      </c>
      <c r="M405" s="363">
        <f t="shared" si="170"/>
        <v>1.3868865853465175</v>
      </c>
      <c r="N405" s="366">
        <f t="shared" si="171"/>
        <v>0.76549495743646956</v>
      </c>
      <c r="O405" s="367">
        <f t="shared" si="172"/>
        <v>1.0482136359120064</v>
      </c>
      <c r="P405" s="368">
        <f t="shared" si="173"/>
        <v>0.41398392313971388</v>
      </c>
      <c r="Q405" s="369">
        <f t="shared" si="174"/>
        <v>-17.487058973777433</v>
      </c>
      <c r="R405" s="370">
        <f t="shared" si="175"/>
        <v>-124.3404497652399</v>
      </c>
      <c r="S405" s="372">
        <f t="shared" si="176"/>
        <v>55.659550234760104</v>
      </c>
      <c r="U405" s="345">
        <f t="shared" si="182"/>
        <v>37154</v>
      </c>
      <c r="V405" s="345">
        <f t="shared" si="183"/>
        <v>1380419716</v>
      </c>
      <c r="X405" s="371">
        <f t="shared" si="177"/>
        <v>12.988326718611511</v>
      </c>
      <c r="Y405" s="372">
        <f t="shared" si="178"/>
        <v>-45.725086811610488</v>
      </c>
      <c r="AA405" s="371">
        <f t="shared" si="179"/>
        <v>15.545214220890678</v>
      </c>
      <c r="AB405" s="372">
        <f t="shared" si="180"/>
        <v>-78.615362953629443</v>
      </c>
      <c r="AD405">
        <f t="shared" si="184"/>
        <v>0</v>
      </c>
      <c r="AE405">
        <f t="shared" si="161"/>
        <v>0</v>
      </c>
    </row>
    <row r="406" spans="1:31" x14ac:dyDescent="0.2">
      <c r="A406" s="373">
        <v>37370.25</v>
      </c>
      <c r="B406" s="390">
        <f t="shared" si="181"/>
        <v>37.370249999999999</v>
      </c>
      <c r="C406" s="363">
        <f t="shared" si="162"/>
        <v>49.112558041801094</v>
      </c>
      <c r="D406" s="364">
        <f t="shared" si="163"/>
        <v>1.5504335285519149</v>
      </c>
      <c r="E406" s="364">
        <f t="shared" si="164"/>
        <v>1.7161850845818949</v>
      </c>
      <c r="F406" s="365">
        <f t="shared" si="165"/>
        <v>0.94876435846585316</v>
      </c>
      <c r="G406" s="364">
        <f t="shared" si="166"/>
        <v>1.0667778642837284</v>
      </c>
      <c r="H406" s="365">
        <f t="shared" si="167"/>
        <v>-0.35570191804226808</v>
      </c>
      <c r="I406" s="363">
        <f t="shared" si="168"/>
        <v>126825.14535587354</v>
      </c>
      <c r="J406" s="366">
        <f t="shared" si="169"/>
        <v>1.5707884419231923</v>
      </c>
      <c r="K406" s="374">
        <f t="shared" si="159"/>
        <v>30.890595374585214</v>
      </c>
      <c r="L406" s="375">
        <f t="shared" si="160"/>
        <v>1.5384183576625099</v>
      </c>
      <c r="M406" s="363">
        <f t="shared" si="170"/>
        <v>1.3907679085450086</v>
      </c>
      <c r="N406" s="366">
        <f t="shared" si="171"/>
        <v>0.76839472553170063</v>
      </c>
      <c r="O406" s="367">
        <f t="shared" si="172"/>
        <v>1.048772582658944</v>
      </c>
      <c r="P406" s="368">
        <f t="shared" si="173"/>
        <v>0.41630691122297392</v>
      </c>
      <c r="Q406" s="369">
        <f t="shared" si="174"/>
        <v>-17.527094094788907</v>
      </c>
      <c r="R406" s="370">
        <f t="shared" si="175"/>
        <v>-124.58639589886475</v>
      </c>
      <c r="S406" s="372">
        <f t="shared" si="176"/>
        <v>55.413604101135249</v>
      </c>
      <c r="U406" s="345">
        <f t="shared" si="182"/>
        <v>37370.25</v>
      </c>
      <c r="V406" s="345">
        <f t="shared" si="183"/>
        <v>1396535585.0625</v>
      </c>
      <c r="X406" s="371">
        <f t="shared" si="177"/>
        <v>12.963999315208186</v>
      </c>
      <c r="Y406" s="372">
        <f t="shared" si="178"/>
        <v>-45.880444036125724</v>
      </c>
      <c r="AA406" s="371">
        <f t="shared" si="179"/>
        <v>15.529506503282528</v>
      </c>
      <c r="AB406" s="372">
        <f t="shared" si="180"/>
        <v>-78.705951862738985</v>
      </c>
      <c r="AD406">
        <f t="shared" si="184"/>
        <v>0</v>
      </c>
      <c r="AE406">
        <f t="shared" si="161"/>
        <v>0</v>
      </c>
    </row>
    <row r="407" spans="1:31" x14ac:dyDescent="0.2">
      <c r="A407" s="373">
        <v>37586.5</v>
      </c>
      <c r="B407" s="390">
        <f t="shared" si="181"/>
        <v>37.586500000000001</v>
      </c>
      <c r="C407" s="363">
        <f t="shared" si="162"/>
        <v>49.396639635770541</v>
      </c>
      <c r="D407" s="364">
        <f t="shared" si="163"/>
        <v>1.5505506516801282</v>
      </c>
      <c r="E407" s="364">
        <f t="shared" si="164"/>
        <v>1.7227506997473245</v>
      </c>
      <c r="F407" s="365">
        <f t="shared" si="165"/>
        <v>0.95149419354455012</v>
      </c>
      <c r="G407" s="364">
        <f t="shared" si="166"/>
        <v>1.0675284225989159</v>
      </c>
      <c r="H407" s="365">
        <f t="shared" si="167"/>
        <v>-0.35758964897329032</v>
      </c>
      <c r="I407" s="363">
        <f t="shared" si="168"/>
        <v>127559.04297982593</v>
      </c>
      <c r="J407" s="366">
        <f t="shared" si="169"/>
        <v>1.5707884872879776</v>
      </c>
      <c r="K407" s="374">
        <f t="shared" ref="K407:K470" si="185">SQRT(1+(A407/Zero2)^2)</f>
        <v>31.069162840807643</v>
      </c>
      <c r="L407" s="375">
        <f t="shared" ref="L407:L470" si="186">ATAN(A407/Zero2)</f>
        <v>1.5386045118807385</v>
      </c>
      <c r="M407" s="363">
        <f t="shared" si="170"/>
        <v>1.3946608610826425</v>
      </c>
      <c r="N407" s="366">
        <f t="shared" si="171"/>
        <v>0.77127832936791185</v>
      </c>
      <c r="O407" s="367">
        <f t="shared" si="172"/>
        <v>1.0493346860588604</v>
      </c>
      <c r="P407" s="368">
        <f t="shared" si="173"/>
        <v>0.41862847068094527</v>
      </c>
      <c r="Q407" s="369">
        <f t="shared" si="174"/>
        <v>-17.566901180144111</v>
      </c>
      <c r="R407" s="370">
        <f t="shared" si="175"/>
        <v>-124.8324281831044</v>
      </c>
      <c r="S407" s="372">
        <f t="shared" si="176"/>
        <v>55.167571816895602</v>
      </c>
      <c r="U407" s="345">
        <f t="shared" si="182"/>
        <v>37586.5</v>
      </c>
      <c r="V407" s="345">
        <f t="shared" si="183"/>
        <v>1412744982.25</v>
      </c>
      <c r="X407" s="371">
        <f t="shared" si="177"/>
        <v>12.939668048055825</v>
      </c>
      <c r="Y407" s="372">
        <f t="shared" si="178"/>
        <v>-46.034999114072654</v>
      </c>
      <c r="AA407" s="371">
        <f t="shared" si="179"/>
        <v>15.514030685079687</v>
      </c>
      <c r="AB407" s="372">
        <f t="shared" si="180"/>
        <v>-78.797429069031736</v>
      </c>
      <c r="AD407">
        <f t="shared" si="184"/>
        <v>0</v>
      </c>
      <c r="AE407">
        <f t="shared" si="161"/>
        <v>0</v>
      </c>
    </row>
    <row r="408" spans="1:31" x14ac:dyDescent="0.2">
      <c r="A408" s="373">
        <v>37802.75</v>
      </c>
      <c r="B408" s="390">
        <f t="shared" si="181"/>
        <v>37.802750000000003</v>
      </c>
      <c r="C408" s="363">
        <f t="shared" si="162"/>
        <v>49.680721899605146</v>
      </c>
      <c r="D408" s="364">
        <f t="shared" si="163"/>
        <v>1.5506664353525907</v>
      </c>
      <c r="E408" s="364">
        <f t="shared" si="164"/>
        <v>1.7293290553129566</v>
      </c>
      <c r="F408" s="365">
        <f t="shared" si="165"/>
        <v>0.95420328013678657</v>
      </c>
      <c r="G408" s="364">
        <f t="shared" si="166"/>
        <v>1.0682827797282053</v>
      </c>
      <c r="H408" s="365">
        <f t="shared" si="167"/>
        <v>-0.35947472060955049</v>
      </c>
      <c r="I408" s="363">
        <f t="shared" si="168"/>
        <v>128292.9406037786</v>
      </c>
      <c r="J408" s="366">
        <f t="shared" si="169"/>
        <v>1.570788532133746</v>
      </c>
      <c r="K408" s="374">
        <f t="shared" si="185"/>
        <v>31.247731371376748</v>
      </c>
      <c r="L408" s="375">
        <f t="shared" si="186"/>
        <v>1.5387885385085753</v>
      </c>
      <c r="M408" s="363">
        <f t="shared" si="170"/>
        <v>1.3985653458474812</v>
      </c>
      <c r="N408" s="366">
        <f t="shared" si="171"/>
        <v>0.77414585617062159</v>
      </c>
      <c r="O408" s="367">
        <f t="shared" si="172"/>
        <v>1.0498999447399011</v>
      </c>
      <c r="P408" s="368">
        <f t="shared" si="173"/>
        <v>0.42094859537489066</v>
      </c>
      <c r="Q408" s="369">
        <f t="shared" si="174"/>
        <v>-17.606483337499938</v>
      </c>
      <c r="R408" s="370">
        <f t="shared" si="175"/>
        <v>-125.07853867664438</v>
      </c>
      <c r="S408" s="372">
        <f t="shared" si="176"/>
        <v>54.921461323355615</v>
      </c>
      <c r="U408" s="345">
        <f t="shared" si="182"/>
        <v>37802.75</v>
      </c>
      <c r="V408" s="345">
        <f t="shared" si="183"/>
        <v>1429047907.5625</v>
      </c>
      <c r="X408" s="371">
        <f t="shared" si="177"/>
        <v>12.915333728244358</v>
      </c>
      <c r="Y408" s="372">
        <f t="shared" si="178"/>
        <v>-46.18875491806444</v>
      </c>
      <c r="AA408" s="371">
        <f t="shared" si="179"/>
        <v>15.498782847535331</v>
      </c>
      <c r="AB408" s="372">
        <f t="shared" si="180"/>
        <v>-78.889783758579938</v>
      </c>
      <c r="AD408">
        <f t="shared" si="184"/>
        <v>0</v>
      </c>
      <c r="AE408">
        <f t="shared" si="161"/>
        <v>0</v>
      </c>
    </row>
    <row r="409" spans="1:31" x14ac:dyDescent="0.2">
      <c r="A409" s="373">
        <v>38019</v>
      </c>
      <c r="B409" s="390">
        <f t="shared" si="181"/>
        <v>38.018999999999998</v>
      </c>
      <c r="C409" s="363">
        <f t="shared" si="162"/>
        <v>49.964804821879071</v>
      </c>
      <c r="D409" s="364">
        <f t="shared" si="163"/>
        <v>1.5507809024132435</v>
      </c>
      <c r="E409" s="364">
        <f t="shared" si="164"/>
        <v>1.7359200064376494</v>
      </c>
      <c r="F409" s="365">
        <f t="shared" si="165"/>
        <v>0.95689181458471906</v>
      </c>
      <c r="G409" s="364">
        <f t="shared" si="166"/>
        <v>1.0690409276298207</v>
      </c>
      <c r="H409" s="365">
        <f t="shared" si="167"/>
        <v>-0.36135712519759022</v>
      </c>
      <c r="I409" s="363">
        <f t="shared" si="168"/>
        <v>129026.83822773152</v>
      </c>
      <c r="J409" s="366">
        <f t="shared" si="169"/>
        <v>1.5707885764693539</v>
      </c>
      <c r="K409" s="374">
        <f t="shared" si="185"/>
        <v>31.426300948149237</v>
      </c>
      <c r="L409" s="375">
        <f t="shared" si="186"/>
        <v>1.5389704738014371</v>
      </c>
      <c r="M409" s="363">
        <f t="shared" si="170"/>
        <v>1.4024812665229356</v>
      </c>
      <c r="N409" s="366">
        <f t="shared" si="171"/>
        <v>0.77699739325304351</v>
      </c>
      <c r="O409" s="367">
        <f t="shared" si="172"/>
        <v>1.0504683573260503</v>
      </c>
      <c r="P409" s="368">
        <f t="shared" si="173"/>
        <v>0.4232672791977618</v>
      </c>
      <c r="Q409" s="369">
        <f t="shared" si="174"/>
        <v>-17.645843610700293</v>
      </c>
      <c r="R409" s="370">
        <f t="shared" si="175"/>
        <v>-125.32471957052439</v>
      </c>
      <c r="S409" s="372">
        <f t="shared" si="176"/>
        <v>54.675280429475606</v>
      </c>
      <c r="U409" s="345">
        <f t="shared" si="182"/>
        <v>38019</v>
      </c>
      <c r="V409" s="345">
        <f t="shared" si="183"/>
        <v>1445444361</v>
      </c>
      <c r="X409" s="371">
        <f t="shared" si="177"/>
        <v>12.890997153994363</v>
      </c>
      <c r="Y409" s="372">
        <f t="shared" si="178"/>
        <v>-46.341714374004802</v>
      </c>
      <c r="AA409" s="371">
        <f t="shared" si="179"/>
        <v>15.483759148584967</v>
      </c>
      <c r="AB409" s="372">
        <f t="shared" si="180"/>
        <v>-78.983005196519599</v>
      </c>
      <c r="AD409">
        <f t="shared" si="184"/>
        <v>0</v>
      </c>
      <c r="AE409">
        <f t="shared" si="161"/>
        <v>0</v>
      </c>
    </row>
    <row r="410" spans="1:31" x14ac:dyDescent="0.2">
      <c r="A410" s="373">
        <v>38240.5</v>
      </c>
      <c r="B410" s="390">
        <f t="shared" si="181"/>
        <v>38.240499999999997</v>
      </c>
      <c r="C410" s="363">
        <f t="shared" si="162"/>
        <v>50.255785225924406</v>
      </c>
      <c r="D410" s="364">
        <f t="shared" si="163"/>
        <v>1.5508968068284712</v>
      </c>
      <c r="E410" s="364">
        <f t="shared" si="164"/>
        <v>1.7426838776867408</v>
      </c>
      <c r="F410" s="365">
        <f t="shared" si="165"/>
        <v>0.95962451650603309</v>
      </c>
      <c r="G410" s="364">
        <f t="shared" si="166"/>
        <v>1.0698214029462505</v>
      </c>
      <c r="H410" s="365">
        <f t="shared" si="167"/>
        <v>-0.36328245682289623</v>
      </c>
      <c r="I410" s="363">
        <f t="shared" si="168"/>
        <v>129778.55301943385</v>
      </c>
      <c r="J410" s="366">
        <f t="shared" si="169"/>
        <v>1.5707886213614737</v>
      </c>
      <c r="K410" s="374">
        <f t="shared" si="185"/>
        <v>31.609206806160209</v>
      </c>
      <c r="L410" s="375">
        <f t="shared" si="186"/>
        <v>1.5391546949404795</v>
      </c>
      <c r="M410" s="363">
        <f t="shared" si="170"/>
        <v>1.4065040116982079</v>
      </c>
      <c r="N410" s="366">
        <f t="shared" si="171"/>
        <v>0.77990167301001512</v>
      </c>
      <c r="O410" s="367">
        <f t="shared" si="172"/>
        <v>1.0510538377694723</v>
      </c>
      <c r="P410" s="368">
        <f t="shared" si="173"/>
        <v>0.42564075465079332</v>
      </c>
      <c r="Q410" s="369">
        <f t="shared" si="174"/>
        <v>-17.685932537253258</v>
      </c>
      <c r="R410" s="370">
        <f t="shared" si="175"/>
        <v>-125.57694207136774</v>
      </c>
      <c r="S410" s="372">
        <f t="shared" si="176"/>
        <v>54.423057928632261</v>
      </c>
      <c r="U410" s="345">
        <f t="shared" si="182"/>
        <v>38240.5</v>
      </c>
      <c r="V410" s="345">
        <f t="shared" si="183"/>
        <v>1462335840.25</v>
      </c>
      <c r="X410" s="371">
        <f t="shared" si="177"/>
        <v>12.866068233235303</v>
      </c>
      <c r="Y410" s="372">
        <f t="shared" si="178"/>
        <v>-46.497564825147407</v>
      </c>
      <c r="AA410" s="371">
        <f t="shared" si="179"/>
        <v>15.468599142791062</v>
      </c>
      <c r="AB410" s="372">
        <f t="shared" si="180"/>
        <v>-79.079377246220304</v>
      </c>
      <c r="AD410">
        <f t="shared" si="184"/>
        <v>0</v>
      </c>
      <c r="AE410">
        <f t="shared" ref="AE410:AE473" si="187">IF(AD410&gt;0,S410,0)</f>
        <v>0</v>
      </c>
    </row>
    <row r="411" spans="1:31" x14ac:dyDescent="0.2">
      <c r="A411" s="373">
        <v>38462</v>
      </c>
      <c r="B411" s="390">
        <f t="shared" si="181"/>
        <v>38.462000000000003</v>
      </c>
      <c r="C411" s="363">
        <f t="shared" si="162"/>
        <v>50.546766297324631</v>
      </c>
      <c r="D411" s="364">
        <f t="shared" si="163"/>
        <v>1.5510113767981997</v>
      </c>
      <c r="E411" s="364">
        <f t="shared" si="164"/>
        <v>1.7494606620204567</v>
      </c>
      <c r="F411" s="365">
        <f t="shared" si="165"/>
        <v>0.96233606752788903</v>
      </c>
      <c r="G411" s="364">
        <f t="shared" si="166"/>
        <v>1.0706058381950172</v>
      </c>
      <c r="H411" s="365">
        <f t="shared" si="167"/>
        <v>-0.36520497417668485</v>
      </c>
      <c r="I411" s="363">
        <f t="shared" si="168"/>
        <v>130530.26781113644</v>
      </c>
      <c r="J411" s="366">
        <f t="shared" si="169"/>
        <v>1.5707886657365324</v>
      </c>
      <c r="K411" s="374">
        <f t="shared" si="185"/>
        <v>31.792113724563059</v>
      </c>
      <c r="L411" s="375">
        <f t="shared" si="186"/>
        <v>1.5393367963573896</v>
      </c>
      <c r="M411" s="363">
        <f t="shared" si="170"/>
        <v>1.4105385527845475</v>
      </c>
      <c r="N411" s="366">
        <f t="shared" si="171"/>
        <v>0.7827893628775644</v>
      </c>
      <c r="O411" s="367">
        <f t="shared" si="172"/>
        <v>1.0516426241790096</v>
      </c>
      <c r="P411" s="368">
        <f t="shared" si="173"/>
        <v>0.42801270555436083</v>
      </c>
      <c r="Q411" s="369">
        <f t="shared" si="174"/>
        <v>-17.725794941469832</v>
      </c>
      <c r="R411" s="370">
        <f t="shared" si="175"/>
        <v>-125.82922226611763</v>
      </c>
      <c r="S411" s="372">
        <f t="shared" si="176"/>
        <v>54.170777733882375</v>
      </c>
      <c r="U411" s="345">
        <f t="shared" si="182"/>
        <v>38462</v>
      </c>
      <c r="V411" s="345">
        <f t="shared" si="183"/>
        <v>1479325444</v>
      </c>
      <c r="X411" s="371">
        <f t="shared" si="177"/>
        <v>12.841138601617255</v>
      </c>
      <c r="Y411" s="372">
        <f t="shared" si="178"/>
        <v>-46.652586167149082</v>
      </c>
      <c r="AA411" s="371">
        <f t="shared" si="179"/>
        <v>15.45366637019254</v>
      </c>
      <c r="AB411" s="372">
        <f t="shared" si="180"/>
        <v>-79.176636098968501</v>
      </c>
      <c r="AD411">
        <f t="shared" si="184"/>
        <v>0</v>
      </c>
      <c r="AE411">
        <f t="shared" si="187"/>
        <v>0</v>
      </c>
    </row>
    <row r="412" spans="1:31" x14ac:dyDescent="0.2">
      <c r="A412" s="373">
        <v>38683.5</v>
      </c>
      <c r="B412" s="390">
        <f t="shared" si="181"/>
        <v>38.683500000000002</v>
      </c>
      <c r="C412" s="363">
        <f t="shared" si="162"/>
        <v>50.837748024620481</v>
      </c>
      <c r="D412" s="364">
        <f t="shared" si="163"/>
        <v>1.5511246352334265</v>
      </c>
      <c r="E412" s="364">
        <f t="shared" si="164"/>
        <v>1.7562502099569313</v>
      </c>
      <c r="F412" s="365">
        <f t="shared" si="165"/>
        <v>0.96502667284904931</v>
      </c>
      <c r="G412" s="364">
        <f t="shared" si="166"/>
        <v>1.0713942246781727</v>
      </c>
      <c r="H412" s="365">
        <f t="shared" si="167"/>
        <v>-0.36712466924459447</v>
      </c>
      <c r="I412" s="363">
        <f t="shared" si="168"/>
        <v>131281.98260283927</v>
      </c>
      <c r="J412" s="366">
        <f t="shared" si="169"/>
        <v>1.5707887096034117</v>
      </c>
      <c r="K412" s="374">
        <f t="shared" si="185"/>
        <v>31.975021685160481</v>
      </c>
      <c r="L412" s="375">
        <f t="shared" si="186"/>
        <v>1.5395168144165721</v>
      </c>
      <c r="M412" s="363">
        <f t="shared" si="170"/>
        <v>1.4145847888525094</v>
      </c>
      <c r="N412" s="366">
        <f t="shared" si="171"/>
        <v>0.78566055684978042</v>
      </c>
      <c r="O412" s="367">
        <f t="shared" si="172"/>
        <v>1.0522347150627456</v>
      </c>
      <c r="P412" s="368">
        <f t="shared" si="173"/>
        <v>0.43038312544947055</v>
      </c>
      <c r="Q412" s="369">
        <f t="shared" si="174"/>
        <v>-17.765433896603582</v>
      </c>
      <c r="R412" s="370">
        <f t="shared" si="175"/>
        <v>-126.08155218363881</v>
      </c>
      <c r="S412" s="372">
        <f t="shared" si="176"/>
        <v>53.918447816361194</v>
      </c>
      <c r="U412" s="345">
        <f t="shared" si="182"/>
        <v>38683.5</v>
      </c>
      <c r="V412" s="345">
        <f t="shared" si="183"/>
        <v>1496413172.25</v>
      </c>
      <c r="X412" s="371">
        <f t="shared" si="177"/>
        <v>12.8162090757362</v>
      </c>
      <c r="Y412" s="372">
        <f t="shared" si="178"/>
        <v>-46.806781702456419</v>
      </c>
      <c r="AA412" s="371">
        <f t="shared" si="179"/>
        <v>15.438956940939841</v>
      </c>
      <c r="AB412" s="372">
        <f t="shared" si="180"/>
        <v>-79.274770481182387</v>
      </c>
      <c r="AD412">
        <f t="shared" si="184"/>
        <v>0</v>
      </c>
      <c r="AE412">
        <f t="shared" si="187"/>
        <v>0</v>
      </c>
    </row>
    <row r="413" spans="1:31" x14ac:dyDescent="0.2">
      <c r="A413" s="373">
        <v>38905</v>
      </c>
      <c r="B413" s="390">
        <f t="shared" si="181"/>
        <v>38.905000000000001</v>
      </c>
      <c r="C413" s="363">
        <f t="shared" si="162"/>
        <v>51.128730396613534</v>
      </c>
      <c r="D413" s="364">
        <f t="shared" si="163"/>
        <v>1.5512366045237242</v>
      </c>
      <c r="E413" s="364">
        <f t="shared" si="164"/>
        <v>1.7630523740375463</v>
      </c>
      <c r="F413" s="365">
        <f t="shared" si="165"/>
        <v>0.96769653572350456</v>
      </c>
      <c r="G413" s="364">
        <f t="shared" si="166"/>
        <v>1.0721865536796038</v>
      </c>
      <c r="H413" s="365">
        <f t="shared" si="167"/>
        <v>-0.36904153411898177</v>
      </c>
      <c r="I413" s="363">
        <f t="shared" si="168"/>
        <v>132033.6973945424</v>
      </c>
      <c r="J413" s="366">
        <f t="shared" si="169"/>
        <v>1.5707887529707916</v>
      </c>
      <c r="K413" s="374">
        <f t="shared" si="185"/>
        <v>32.157930670169094</v>
      </c>
      <c r="L413" s="375">
        <f t="shared" si="186"/>
        <v>1.5396947846556401</v>
      </c>
      <c r="M413" s="363">
        <f t="shared" si="170"/>
        <v>1.4186426198332227</v>
      </c>
      <c r="N413" s="366">
        <f t="shared" si="171"/>
        <v>0.78851534893787967</v>
      </c>
      <c r="O413" s="367">
        <f t="shared" si="172"/>
        <v>1.0528301089244176</v>
      </c>
      <c r="P413" s="368">
        <f t="shared" si="173"/>
        <v>0.43275200791222573</v>
      </c>
      <c r="Q413" s="369">
        <f t="shared" si="174"/>
        <v>-17.804852412607289</v>
      </c>
      <c r="R413" s="370">
        <f t="shared" si="175"/>
        <v>-126.33392399081477</v>
      </c>
      <c r="S413" s="372">
        <f t="shared" si="176"/>
        <v>53.666076009185232</v>
      </c>
      <c r="U413" s="345">
        <f t="shared" si="182"/>
        <v>38905</v>
      </c>
      <c r="V413" s="345">
        <f t="shared" si="183"/>
        <v>1513599025</v>
      </c>
      <c r="X413" s="371">
        <f t="shared" si="177"/>
        <v>12.791280458573059</v>
      </c>
      <c r="Y413" s="372">
        <f t="shared" si="178"/>
        <v>-46.960154781857398</v>
      </c>
      <c r="AA413" s="371">
        <f t="shared" si="179"/>
        <v>15.424467042099277</v>
      </c>
      <c r="AB413" s="372">
        <f t="shared" si="180"/>
        <v>-79.373769208957398</v>
      </c>
      <c r="AD413">
        <f t="shared" si="184"/>
        <v>0</v>
      </c>
      <c r="AE413">
        <f t="shared" si="187"/>
        <v>0</v>
      </c>
    </row>
    <row r="414" spans="1:31" x14ac:dyDescent="0.2">
      <c r="A414" s="373">
        <v>39131.5</v>
      </c>
      <c r="B414" s="390">
        <f t="shared" si="181"/>
        <v>39.131500000000003</v>
      </c>
      <c r="C414" s="363">
        <f t="shared" si="162"/>
        <v>51.426281874730549</v>
      </c>
      <c r="D414" s="364">
        <f t="shared" si="163"/>
        <v>1.5513497910104133</v>
      </c>
      <c r="E414" s="364">
        <f t="shared" si="164"/>
        <v>1.7700209808353951</v>
      </c>
      <c r="F414" s="365">
        <f t="shared" si="165"/>
        <v>0.97040542604938451</v>
      </c>
      <c r="G414" s="364">
        <f t="shared" si="166"/>
        <v>1.0730008361282242</v>
      </c>
      <c r="H414" s="365">
        <f t="shared" si="167"/>
        <v>-0.37099873420838914</v>
      </c>
      <c r="I414" s="363">
        <f t="shared" si="168"/>
        <v>132802.3809174354</v>
      </c>
      <c r="J414" s="366">
        <f t="shared" si="169"/>
        <v>1.5707887968094167</v>
      </c>
      <c r="K414" s="374">
        <f t="shared" si="185"/>
        <v>32.344969567422851</v>
      </c>
      <c r="L414" s="375">
        <f t="shared" si="186"/>
        <v>1.539874690785243</v>
      </c>
      <c r="M414" s="363">
        <f t="shared" si="170"/>
        <v>1.4228039368146372</v>
      </c>
      <c r="N414" s="366">
        <f t="shared" si="171"/>
        <v>0.79141771980194431</v>
      </c>
      <c r="O414" s="367">
        <f t="shared" si="172"/>
        <v>1.0534423569231188</v>
      </c>
      <c r="P414" s="368">
        <f t="shared" si="173"/>
        <v>0.43517276748194594</v>
      </c>
      <c r="Q414" s="369">
        <f t="shared" si="174"/>
        <v>-17.844935849175755</v>
      </c>
      <c r="R414" s="370">
        <f t="shared" si="175"/>
        <v>-126.59202797853077</v>
      </c>
      <c r="S414" s="372">
        <f t="shared" si="176"/>
        <v>53.407972021469234</v>
      </c>
      <c r="U414" s="345">
        <f t="shared" si="182"/>
        <v>39131.5</v>
      </c>
      <c r="V414" s="345">
        <f t="shared" si="183"/>
        <v>1531274292.25</v>
      </c>
      <c r="X414" s="371">
        <f t="shared" si="177"/>
        <v>12.765790880899653</v>
      </c>
      <c r="Y414" s="372">
        <f t="shared" si="178"/>
        <v>-47.11614303296173</v>
      </c>
      <c r="AA414" s="371">
        <f t="shared" si="179"/>
        <v>15.409873183204216</v>
      </c>
      <c r="AB414" s="372">
        <f t="shared" si="180"/>
        <v>-79.475884945569064</v>
      </c>
      <c r="AD414">
        <f t="shared" si="184"/>
        <v>0</v>
      </c>
      <c r="AE414">
        <f t="shared" si="187"/>
        <v>0</v>
      </c>
    </row>
    <row r="415" spans="1:31" x14ac:dyDescent="0.2">
      <c r="A415" s="373">
        <v>39358</v>
      </c>
      <c r="B415" s="390">
        <f t="shared" si="181"/>
        <v>39.357999999999997</v>
      </c>
      <c r="C415" s="363">
        <f t="shared" si="162"/>
        <v>51.723834004098826</v>
      </c>
      <c r="D415" s="364">
        <f t="shared" si="163"/>
        <v>1.5514616752408381</v>
      </c>
      <c r="E415" s="364">
        <f t="shared" si="164"/>
        <v>1.7770024742748147</v>
      </c>
      <c r="F415" s="365">
        <f t="shared" si="165"/>
        <v>0.97309305057317752</v>
      </c>
      <c r="G415" s="364">
        <f t="shared" si="166"/>
        <v>1.0738192226055316</v>
      </c>
      <c r="H415" s="365">
        <f t="shared" si="167"/>
        <v>-0.37295295850469135</v>
      </c>
      <c r="I415" s="363">
        <f t="shared" si="168"/>
        <v>133571.06444032869</v>
      </c>
      <c r="J415" s="366">
        <f t="shared" si="169"/>
        <v>1.5707888401434711</v>
      </c>
      <c r="K415" s="374">
        <f t="shared" si="185"/>
        <v>32.532009499522964</v>
      </c>
      <c r="L415" s="375">
        <f t="shared" si="186"/>
        <v>1.5400525282115562</v>
      </c>
      <c r="M415" s="363">
        <f t="shared" si="170"/>
        <v>1.4269771691886444</v>
      </c>
      <c r="N415" s="366">
        <f t="shared" si="171"/>
        <v>0.79430313873358394</v>
      </c>
      <c r="O415" s="367">
        <f t="shared" si="172"/>
        <v>1.0540580555233301</v>
      </c>
      <c r="P415" s="368">
        <f t="shared" si="173"/>
        <v>0.43759190595239328</v>
      </c>
      <c r="Q415" s="369">
        <f t="shared" si="174"/>
        <v>-17.88479495236264</v>
      </c>
      <c r="R415" s="370">
        <f t="shared" si="175"/>
        <v>-126.85015963550966</v>
      </c>
      <c r="S415" s="372">
        <f t="shared" si="176"/>
        <v>53.149840364490345</v>
      </c>
      <c r="U415" s="345">
        <f t="shared" si="182"/>
        <v>39358</v>
      </c>
      <c r="V415" s="345">
        <f t="shared" si="183"/>
        <v>1549052164</v>
      </c>
      <c r="X415" s="371">
        <f t="shared" si="177"/>
        <v>12.740303908708759</v>
      </c>
      <c r="Y415" s="372">
        <f t="shared" si="178"/>
        <v>-47.271278508940284</v>
      </c>
      <c r="AA415" s="371">
        <f t="shared" si="179"/>
        <v>15.395501052208227</v>
      </c>
      <c r="AB415" s="372">
        <f t="shared" si="180"/>
        <v>-79.578881126569385</v>
      </c>
      <c r="AD415">
        <f t="shared" si="184"/>
        <v>0</v>
      </c>
      <c r="AE415">
        <f t="shared" si="187"/>
        <v>0</v>
      </c>
    </row>
    <row r="416" spans="1:31" x14ac:dyDescent="0.2">
      <c r="A416" s="373">
        <v>39584.5</v>
      </c>
      <c r="B416" s="390">
        <f t="shared" si="181"/>
        <v>39.584499999999998</v>
      </c>
      <c r="C416" s="363">
        <f t="shared" si="162"/>
        <v>52.021386773543291</v>
      </c>
      <c r="D416" s="364">
        <f t="shared" si="163"/>
        <v>1.5515722795581728</v>
      </c>
      <c r="E416" s="364">
        <f t="shared" si="164"/>
        <v>1.783996703064046</v>
      </c>
      <c r="F416" s="365">
        <f t="shared" si="165"/>
        <v>0.97575962035896846</v>
      </c>
      <c r="G416" s="364">
        <f t="shared" si="166"/>
        <v>1.0746417037353373</v>
      </c>
      <c r="H416" s="365">
        <f t="shared" si="167"/>
        <v>-0.37490419889723625</v>
      </c>
      <c r="I416" s="363">
        <f t="shared" si="168"/>
        <v>134339.74796322224</v>
      </c>
      <c r="J416" s="366">
        <f t="shared" si="169"/>
        <v>1.5707888829816159</v>
      </c>
      <c r="K416" s="374">
        <f t="shared" si="185"/>
        <v>32.719050448722214</v>
      </c>
      <c r="L416" s="375">
        <f t="shared" si="186"/>
        <v>1.5402283324009343</v>
      </c>
      <c r="M416" s="363">
        <f t="shared" si="170"/>
        <v>1.4311622127203092</v>
      </c>
      <c r="N416" s="366">
        <f t="shared" si="171"/>
        <v>0.79717170619048161</v>
      </c>
      <c r="O416" s="367">
        <f t="shared" si="172"/>
        <v>1.0546772031114477</v>
      </c>
      <c r="P416" s="368">
        <f t="shared" si="173"/>
        <v>0.44000941656892778</v>
      </c>
      <c r="Q416" s="369">
        <f t="shared" si="174"/>
        <v>-17.924432745717446</v>
      </c>
      <c r="R416" s="370">
        <f t="shared" si="175"/>
        <v>-127.10831102134631</v>
      </c>
      <c r="S416" s="372">
        <f t="shared" si="176"/>
        <v>52.89168897865369</v>
      </c>
      <c r="U416" s="345">
        <f t="shared" si="182"/>
        <v>39584.5</v>
      </c>
      <c r="V416" s="345">
        <f t="shared" si="183"/>
        <v>1566932640.25</v>
      </c>
      <c r="X416" s="371">
        <f t="shared" si="177"/>
        <v>12.71482035735967</v>
      </c>
      <c r="Y416" s="372">
        <f t="shared" si="178"/>
        <v>-47.425564934018212</v>
      </c>
      <c r="AA416" s="371">
        <f t="shared" si="179"/>
        <v>15.381346810202505</v>
      </c>
      <c r="AB416" s="372">
        <f t="shared" si="180"/>
        <v>-79.682746087328098</v>
      </c>
      <c r="AD416">
        <f t="shared" si="184"/>
        <v>0</v>
      </c>
      <c r="AE416">
        <f t="shared" si="187"/>
        <v>0</v>
      </c>
    </row>
    <row r="417" spans="1:31" x14ac:dyDescent="0.2">
      <c r="A417" s="373">
        <v>39811</v>
      </c>
      <c r="B417" s="390">
        <f t="shared" si="181"/>
        <v>39.811</v>
      </c>
      <c r="C417" s="363">
        <f t="shared" si="162"/>
        <v>52.318940172143051</v>
      </c>
      <c r="D417" s="364">
        <f t="shared" si="163"/>
        <v>1.5516816257974291</v>
      </c>
      <c r="E417" s="364">
        <f t="shared" si="164"/>
        <v>1.7910035180007915</v>
      </c>
      <c r="F417" s="365">
        <f t="shared" si="165"/>
        <v>0.97840534437463678</v>
      </c>
      <c r="G417" s="364">
        <f t="shared" si="166"/>
        <v>1.0754682701232923</v>
      </c>
      <c r="H417" s="365">
        <f t="shared" si="167"/>
        <v>-0.3768524473910061</v>
      </c>
      <c r="I417" s="363">
        <f t="shared" si="168"/>
        <v>135108.43148611599</v>
      </c>
      <c r="J417" s="366">
        <f t="shared" si="169"/>
        <v>1.5707889253323157</v>
      </c>
      <c r="K417" s="374">
        <f t="shared" si="185"/>
        <v>32.906092397676758</v>
      </c>
      <c r="L417" s="375">
        <f t="shared" si="186"/>
        <v>1.5404021380138622</v>
      </c>
      <c r="M417" s="363">
        <f t="shared" si="170"/>
        <v>1.4353589640970632</v>
      </c>
      <c r="N417" s="366">
        <f t="shared" si="171"/>
        <v>0.80002352256971931</v>
      </c>
      <c r="O417" s="367">
        <f t="shared" si="172"/>
        <v>1.0552997980693768</v>
      </c>
      <c r="P417" s="368">
        <f t="shared" si="173"/>
        <v>0.44242529261549496</v>
      </c>
      <c r="Q417" s="369">
        <f t="shared" si="174"/>
        <v>-17.963852190479791</v>
      </c>
      <c r="R417" s="370">
        <f t="shared" si="175"/>
        <v>-127.36647433814944</v>
      </c>
      <c r="S417" s="372">
        <f t="shared" si="176"/>
        <v>52.633525661850555</v>
      </c>
      <c r="U417" s="345">
        <f t="shared" si="182"/>
        <v>39811</v>
      </c>
      <c r="V417" s="345">
        <f t="shared" si="183"/>
        <v>1584915721</v>
      </c>
      <c r="X417" s="371">
        <f t="shared" si="177"/>
        <v>12.68934102795599</v>
      </c>
      <c r="Y417" s="372">
        <f t="shared" si="178"/>
        <v>-47.579006075110051</v>
      </c>
      <c r="AA417" s="371">
        <f t="shared" si="179"/>
        <v>15.367406694843842</v>
      </c>
      <c r="AB417" s="372">
        <f t="shared" si="180"/>
        <v>-79.787468263039386</v>
      </c>
      <c r="AD417">
        <f t="shared" si="184"/>
        <v>0</v>
      </c>
      <c r="AE417">
        <f t="shared" si="187"/>
        <v>0</v>
      </c>
    </row>
    <row r="418" spans="1:31" x14ac:dyDescent="0.2">
      <c r="A418" s="373">
        <v>40042.75</v>
      </c>
      <c r="B418" s="390">
        <f t="shared" si="181"/>
        <v>40.042749999999998</v>
      </c>
      <c r="C418" s="363">
        <f t="shared" si="162"/>
        <v>52.623391143890103</v>
      </c>
      <c r="D418" s="364">
        <f t="shared" si="163"/>
        <v>1.5517922266516953</v>
      </c>
      <c r="E418" s="364">
        <f t="shared" si="164"/>
        <v>1.798185616218843</v>
      </c>
      <c r="F418" s="365">
        <f t="shared" si="165"/>
        <v>0.98109103275028264</v>
      </c>
      <c r="G418" s="364">
        <f t="shared" si="166"/>
        <v>1.0763182139102745</v>
      </c>
      <c r="H418" s="365">
        <f t="shared" si="167"/>
        <v>-0.37884274901892484</v>
      </c>
      <c r="I418" s="363">
        <f t="shared" si="168"/>
        <v>135894.9321767592</v>
      </c>
      <c r="J418" s="366">
        <f t="shared" si="169"/>
        <v>1.5707889681687581</v>
      </c>
      <c r="K418" s="374">
        <f t="shared" si="185"/>
        <v>33.097470773148721</v>
      </c>
      <c r="L418" s="375">
        <f t="shared" si="186"/>
        <v>1.5405779389640719</v>
      </c>
      <c r="M418" s="363">
        <f t="shared" si="170"/>
        <v>1.4396650024228654</v>
      </c>
      <c r="N418" s="366">
        <f t="shared" si="171"/>
        <v>0.80292420730498271</v>
      </c>
      <c r="O418" s="367">
        <f t="shared" si="172"/>
        <v>1.0559403904986542</v>
      </c>
      <c r="P418" s="368">
        <f t="shared" si="173"/>
        <v>0.44489546698429266</v>
      </c>
      <c r="Q418" s="369">
        <f t="shared" si="174"/>
        <v>-18.003962357156563</v>
      </c>
      <c r="R418" s="370">
        <f t="shared" si="175"/>
        <v>-127.63062593572526</v>
      </c>
      <c r="S418" s="372">
        <f t="shared" si="176"/>
        <v>52.369374064274737</v>
      </c>
      <c r="U418" s="345">
        <f t="shared" si="182"/>
        <v>40042.75</v>
      </c>
      <c r="V418" s="345">
        <f t="shared" si="183"/>
        <v>1603421827.5625</v>
      </c>
      <c r="X418" s="371">
        <f t="shared" si="177"/>
        <v>12.663276308730996</v>
      </c>
      <c r="Y418" s="372">
        <f t="shared" si="178"/>
        <v>-47.735132870183023</v>
      </c>
      <c r="AA418" s="371">
        <f t="shared" si="179"/>
        <v>15.353361247392066</v>
      </c>
      <c r="AB418" s="372">
        <f t="shared" si="180"/>
        <v>-79.895493065542212</v>
      </c>
      <c r="AD418">
        <f t="shared" si="184"/>
        <v>0</v>
      </c>
      <c r="AE418">
        <f t="shared" si="187"/>
        <v>0</v>
      </c>
    </row>
    <row r="419" spans="1:31" x14ac:dyDescent="0.2">
      <c r="A419" s="373">
        <v>40274.5</v>
      </c>
      <c r="B419" s="390">
        <f t="shared" si="181"/>
        <v>40.274500000000003</v>
      </c>
      <c r="C419" s="363">
        <f t="shared" si="162"/>
        <v>52.927842751949782</v>
      </c>
      <c r="D419" s="364">
        <f t="shared" si="163"/>
        <v>1.5519015551105213</v>
      </c>
      <c r="E419" s="364">
        <f t="shared" si="164"/>
        <v>1.8053805813603345</v>
      </c>
      <c r="F419" s="365">
        <f t="shared" si="165"/>
        <v>0.98375533372203727</v>
      </c>
      <c r="G419" s="364">
        <f t="shared" si="166"/>
        <v>1.0771724145789421</v>
      </c>
      <c r="H419" s="365">
        <f t="shared" si="167"/>
        <v>-0.3808299018789153</v>
      </c>
      <c r="I419" s="363">
        <f t="shared" si="168"/>
        <v>136681.43286740268</v>
      </c>
      <c r="J419" s="366">
        <f t="shared" si="169"/>
        <v>1.5707890105122162</v>
      </c>
      <c r="K419" s="374">
        <f t="shared" si="185"/>
        <v>33.288850159768785</v>
      </c>
      <c r="L419" s="375">
        <f t="shared" si="186"/>
        <v>1.5407517185414006</v>
      </c>
      <c r="M419" s="363">
        <f t="shared" si="170"/>
        <v>1.4439830817452612</v>
      </c>
      <c r="N419" s="366">
        <f t="shared" si="171"/>
        <v>0.80580756779575369</v>
      </c>
      <c r="O419" s="367">
        <f t="shared" si="172"/>
        <v>1.0565845885203884</v>
      </c>
      <c r="P419" s="368">
        <f t="shared" si="173"/>
        <v>0.44736391602909448</v>
      </c>
      <c r="Q419" s="369">
        <f t="shared" si="174"/>
        <v>-18.043850015055646</v>
      </c>
      <c r="R419" s="370">
        <f t="shared" si="175"/>
        <v>-127.89477395529025</v>
      </c>
      <c r="S419" s="372">
        <f t="shared" si="176"/>
        <v>52.105226044709752</v>
      </c>
      <c r="U419" s="345">
        <f t="shared" si="182"/>
        <v>40274.5</v>
      </c>
      <c r="V419" s="345">
        <f t="shared" si="183"/>
        <v>1622035350.25</v>
      </c>
      <c r="X419" s="371">
        <f t="shared" si="177"/>
        <v>12.637217661214819</v>
      </c>
      <c r="Y419" s="372">
        <f t="shared" si="178"/>
        <v>-47.890382847051292</v>
      </c>
      <c r="AA419" s="371">
        <f t="shared" si="179"/>
        <v>15.339532237009159</v>
      </c>
      <c r="AB419" s="372">
        <f t="shared" si="180"/>
        <v>-80.004391108238963</v>
      </c>
      <c r="AD419">
        <f t="shared" si="184"/>
        <v>0</v>
      </c>
      <c r="AE419">
        <f t="shared" si="187"/>
        <v>0</v>
      </c>
    </row>
    <row r="420" spans="1:31" x14ac:dyDescent="0.2">
      <c r="A420" s="373">
        <v>40506.25</v>
      </c>
      <c r="B420" s="390">
        <f t="shared" si="181"/>
        <v>40.506250000000001</v>
      </c>
      <c r="C420" s="363">
        <f t="shared" si="162"/>
        <v>53.232294985404288</v>
      </c>
      <c r="D420" s="364">
        <f t="shared" si="163"/>
        <v>1.5520096330029602</v>
      </c>
      <c r="E420" s="364">
        <f t="shared" si="164"/>
        <v>1.8125882602017289</v>
      </c>
      <c r="F420" s="365">
        <f t="shared" si="165"/>
        <v>0.98639846437678191</v>
      </c>
      <c r="G420" s="364">
        <f t="shared" si="166"/>
        <v>1.078030862010203</v>
      </c>
      <c r="H420" s="365">
        <f t="shared" si="167"/>
        <v>-0.38281389778101266</v>
      </c>
      <c r="I420" s="363">
        <f t="shared" si="168"/>
        <v>137467.93355804638</v>
      </c>
      <c r="J420" s="366">
        <f t="shared" si="169"/>
        <v>1.5707890523711519</v>
      </c>
      <c r="K420" s="374">
        <f t="shared" si="185"/>
        <v>33.480230540197191</v>
      </c>
      <c r="L420" s="375">
        <f t="shared" si="186"/>
        <v>1.5409235113991004</v>
      </c>
      <c r="M420" s="363">
        <f t="shared" si="170"/>
        <v>1.4483130943652098</v>
      </c>
      <c r="N420" s="366">
        <f t="shared" si="171"/>
        <v>0.80867371126680054</v>
      </c>
      <c r="O420" s="367">
        <f t="shared" si="172"/>
        <v>1.0572323903871776</v>
      </c>
      <c r="P420" s="368">
        <f t="shared" si="173"/>
        <v>0.44983063268166312</v>
      </c>
      <c r="Q420" s="369">
        <f t="shared" si="174"/>
        <v>-18.08351814401162</v>
      </c>
      <c r="R420" s="370">
        <f t="shared" si="175"/>
        <v>-128.15891049369083</v>
      </c>
      <c r="S420" s="372">
        <f t="shared" si="176"/>
        <v>51.841089506309174</v>
      </c>
      <c r="U420" s="345">
        <f t="shared" si="182"/>
        <v>40506.25</v>
      </c>
      <c r="V420" s="345">
        <f t="shared" si="183"/>
        <v>1640756289.0625</v>
      </c>
      <c r="X420" s="371">
        <f t="shared" si="177"/>
        <v>12.611165898235184</v>
      </c>
      <c r="Y420" s="372">
        <f t="shared" si="178"/>
        <v>-48.04476016424131</v>
      </c>
      <c r="AA420" s="371">
        <f t="shared" si="179"/>
        <v>15.325915871032818</v>
      </c>
      <c r="AB420" s="372">
        <f t="shared" si="180"/>
        <v>-80.114150329449515</v>
      </c>
      <c r="AD420">
        <f t="shared" si="184"/>
        <v>0</v>
      </c>
      <c r="AE420">
        <f t="shared" si="187"/>
        <v>0</v>
      </c>
    </row>
    <row r="421" spans="1:31" x14ac:dyDescent="0.2">
      <c r="A421" s="373">
        <v>40738</v>
      </c>
      <c r="B421" s="390">
        <f t="shared" si="181"/>
        <v>40.738</v>
      </c>
      <c r="C421" s="363">
        <f t="shared" si="162"/>
        <v>53.536747833584165</v>
      </c>
      <c r="D421" s="364">
        <f t="shared" si="163"/>
        <v>1.5521164816616329</v>
      </c>
      <c r="E421" s="364">
        <f t="shared" si="164"/>
        <v>1.8198085016783474</v>
      </c>
      <c r="F421" s="365">
        <f t="shared" si="165"/>
        <v>0.98902063954846675</v>
      </c>
      <c r="G421" s="364">
        <f t="shared" si="166"/>
        <v>1.0788935460669431</v>
      </c>
      <c r="H421" s="365">
        <f t="shared" si="167"/>
        <v>-0.38479472866066516</v>
      </c>
      <c r="I421" s="363">
        <f t="shared" si="168"/>
        <v>138254.43424869029</v>
      </c>
      <c r="J421" s="366">
        <f t="shared" si="169"/>
        <v>1.570789093753834</v>
      </c>
      <c r="K421" s="374">
        <f t="shared" si="185"/>
        <v>33.671611897488326</v>
      </c>
      <c r="L421" s="375">
        <f t="shared" si="186"/>
        <v>1.5410933514030558</v>
      </c>
      <c r="M421" s="363">
        <f t="shared" si="170"/>
        <v>1.4526549335719043</v>
      </c>
      <c r="N421" s="366">
        <f t="shared" si="171"/>
        <v>0.81152274479771558</v>
      </c>
      <c r="O421" s="367">
        <f t="shared" si="172"/>
        <v>1.0578837943469901</v>
      </c>
      <c r="P421" s="368">
        <f t="shared" si="173"/>
        <v>0.45229560991624901</v>
      </c>
      <c r="Q421" s="369">
        <f t="shared" si="174"/>
        <v>-18.122969662438557</v>
      </c>
      <c r="R421" s="370">
        <f t="shared" si="175"/>
        <v>-128.42302779481713</v>
      </c>
      <c r="S421" s="372">
        <f t="shared" si="176"/>
        <v>51.576972205182869</v>
      </c>
      <c r="U421" s="345">
        <f t="shared" si="182"/>
        <v>40738</v>
      </c>
      <c r="V421" s="345">
        <f t="shared" si="183"/>
        <v>1659584644</v>
      </c>
      <c r="X421" s="371">
        <f t="shared" si="177"/>
        <v>12.585121817711729</v>
      </c>
      <c r="Y421" s="372">
        <f t="shared" si="178"/>
        <v>-48.198269017063325</v>
      </c>
      <c r="AA421" s="371">
        <f t="shared" si="179"/>
        <v>15.312508433129342</v>
      </c>
      <c r="AB421" s="372">
        <f t="shared" si="180"/>
        <v>-80.224758777753834</v>
      </c>
      <c r="AD421">
        <f t="shared" si="184"/>
        <v>0</v>
      </c>
      <c r="AE421">
        <f t="shared" si="187"/>
        <v>0</v>
      </c>
    </row>
    <row r="422" spans="1:31" x14ac:dyDescent="0.2">
      <c r="A422" s="373">
        <v>40975.25</v>
      </c>
      <c r="B422" s="390">
        <f t="shared" si="181"/>
        <v>40.975250000000003</v>
      </c>
      <c r="C422" s="363">
        <f t="shared" si="162"/>
        <v>53.848426725847283</v>
      </c>
      <c r="D422" s="364">
        <f t="shared" si="163"/>
        <v>1.5522246145301331</v>
      </c>
      <c r="E422" s="364">
        <f t="shared" si="164"/>
        <v>1.8272129552188461</v>
      </c>
      <c r="F422" s="365">
        <f t="shared" si="165"/>
        <v>0.99168355999205893</v>
      </c>
      <c r="G422" s="364">
        <f t="shared" si="166"/>
        <v>1.079781081782087</v>
      </c>
      <c r="H422" s="365">
        <f t="shared" si="167"/>
        <v>-0.38681928267728738</v>
      </c>
      <c r="I422" s="363">
        <f t="shared" si="168"/>
        <v>139059.6005436432</v>
      </c>
      <c r="J422" s="366">
        <f t="shared" si="169"/>
        <v>1.5707891356337247</v>
      </c>
      <c r="K422" s="374">
        <f t="shared" si="185"/>
        <v>33.867536201786521</v>
      </c>
      <c r="L422" s="375">
        <f t="shared" si="186"/>
        <v>1.5412652337621329</v>
      </c>
      <c r="M422" s="363">
        <f t="shared" si="170"/>
        <v>1.4571119558947483</v>
      </c>
      <c r="N422" s="366">
        <f t="shared" si="171"/>
        <v>0.81442178070937665</v>
      </c>
      <c r="O422" s="367">
        <f t="shared" si="172"/>
        <v>1.0585543872351948</v>
      </c>
      <c r="P422" s="368">
        <f t="shared" si="173"/>
        <v>0.45481727803033251</v>
      </c>
      <c r="Q422" s="369">
        <f t="shared" si="174"/>
        <v>-18.163136064507025</v>
      </c>
      <c r="R422" s="370">
        <f t="shared" si="175"/>
        <v>-128.69338537852738</v>
      </c>
      <c r="S422" s="372">
        <f t="shared" si="176"/>
        <v>51.306614621472619</v>
      </c>
      <c r="U422" s="345">
        <f t="shared" si="182"/>
        <v>40975.25</v>
      </c>
      <c r="V422" s="345">
        <f t="shared" si="183"/>
        <v>1678971112.5625</v>
      </c>
      <c r="X422" s="371">
        <f t="shared" si="177"/>
        <v>12.558468422547</v>
      </c>
      <c r="Y422" s="372">
        <f t="shared" si="178"/>
        <v>-48.354525805430022</v>
      </c>
      <c r="AA422" s="371">
        <f t="shared" si="179"/>
        <v>15.298995426225598</v>
      </c>
      <c r="AB422" s="372">
        <f t="shared" si="180"/>
        <v>-80.33885957309738</v>
      </c>
      <c r="AD422">
        <f t="shared" si="184"/>
        <v>0</v>
      </c>
      <c r="AE422">
        <f t="shared" si="187"/>
        <v>0</v>
      </c>
    </row>
    <row r="423" spans="1:31" x14ac:dyDescent="0.2">
      <c r="A423" s="373">
        <v>41212.5</v>
      </c>
      <c r="B423" s="390">
        <f t="shared" si="181"/>
        <v>41.212499999999999</v>
      </c>
      <c r="C423" s="363">
        <f t="shared" si="162"/>
        <v>54.160106240498031</v>
      </c>
      <c r="D423" s="364">
        <f t="shared" si="163"/>
        <v>1.5523315028380595</v>
      </c>
      <c r="E423" s="364">
        <f t="shared" si="164"/>
        <v>1.8346302611509839</v>
      </c>
      <c r="F423" s="365">
        <f t="shared" si="165"/>
        <v>0.99432496696816275</v>
      </c>
      <c r="G423" s="364">
        <f t="shared" si="166"/>
        <v>1.0806730360441448</v>
      </c>
      <c r="H423" s="365">
        <f t="shared" si="167"/>
        <v>-0.38884050295801459</v>
      </c>
      <c r="I423" s="363">
        <f t="shared" si="168"/>
        <v>139864.76683859632</v>
      </c>
      <c r="J423" s="366">
        <f t="shared" si="169"/>
        <v>1.5707891770314315</v>
      </c>
      <c r="K423" s="374">
        <f t="shared" si="185"/>
        <v>34.063461495141766</v>
      </c>
      <c r="L423" s="375">
        <f t="shared" si="186"/>
        <v>1.5414351388696053</v>
      </c>
      <c r="M423" s="363">
        <f t="shared" si="170"/>
        <v>1.4615811496347202</v>
      </c>
      <c r="N423" s="366">
        <f t="shared" si="171"/>
        <v>0.81730311148522627</v>
      </c>
      <c r="O423" s="367">
        <f t="shared" si="172"/>
        <v>1.0592287514878849</v>
      </c>
      <c r="P423" s="368">
        <f t="shared" si="173"/>
        <v>0.45733710842086045</v>
      </c>
      <c r="Q423" s="369">
        <f t="shared" si="174"/>
        <v>-18.203081452077679</v>
      </c>
      <c r="R423" s="370">
        <f t="shared" si="175"/>
        <v>-128.96370681324595</v>
      </c>
      <c r="S423" s="372">
        <f t="shared" si="176"/>
        <v>51.036293186754051</v>
      </c>
      <c r="U423" s="345">
        <f t="shared" si="182"/>
        <v>41212.5</v>
      </c>
      <c r="V423" s="345">
        <f t="shared" si="183"/>
        <v>1698470156.25</v>
      </c>
      <c r="X423" s="371">
        <f t="shared" si="177"/>
        <v>12.531824724060032</v>
      </c>
      <c r="Y423" s="372">
        <f t="shared" si="178"/>
        <v>-48.509881424782897</v>
      </c>
      <c r="AA423" s="371">
        <f t="shared" si="179"/>
        <v>15.285693737141909</v>
      </c>
      <c r="AB423" s="372">
        <f t="shared" si="180"/>
        <v>-80.453825388463045</v>
      </c>
      <c r="AD423">
        <f t="shared" si="184"/>
        <v>0</v>
      </c>
      <c r="AE423">
        <f t="shared" si="187"/>
        <v>0</v>
      </c>
    </row>
    <row r="424" spans="1:31" x14ac:dyDescent="0.2">
      <c r="A424" s="373">
        <v>41449.75</v>
      </c>
      <c r="B424" s="390">
        <f t="shared" si="181"/>
        <v>41.449750000000002</v>
      </c>
      <c r="C424" s="363">
        <f t="shared" si="162"/>
        <v>54.471786366852761</v>
      </c>
      <c r="D424" s="364">
        <f t="shared" si="163"/>
        <v>1.5524371679465656</v>
      </c>
      <c r="E424" s="364">
        <f t="shared" si="164"/>
        <v>1.8420602642190642</v>
      </c>
      <c r="F424" s="365">
        <f t="shared" si="165"/>
        <v>0.99694508372024959</v>
      </c>
      <c r="G424" s="364">
        <f t="shared" si="166"/>
        <v>1.0815693979213861</v>
      </c>
      <c r="H424" s="365">
        <f t="shared" si="167"/>
        <v>-0.39085838125646494</v>
      </c>
      <c r="I424" s="363">
        <f t="shared" si="168"/>
        <v>140669.9331335497</v>
      </c>
      <c r="J424" s="366">
        <f t="shared" si="169"/>
        <v>1.5707892179552339</v>
      </c>
      <c r="K424" s="374">
        <f t="shared" si="185"/>
        <v>34.259387760585192</v>
      </c>
      <c r="L424" s="375">
        <f t="shared" si="186"/>
        <v>1.541603100638735</v>
      </c>
      <c r="M424" s="363">
        <f t="shared" si="170"/>
        <v>1.4660624034805572</v>
      </c>
      <c r="N424" s="366">
        <f t="shared" si="171"/>
        <v>0.82016685141996215</v>
      </c>
      <c r="O424" s="367">
        <f t="shared" si="172"/>
        <v>1.059906885210715</v>
      </c>
      <c r="P424" s="368">
        <f t="shared" si="173"/>
        <v>0.45985509368855976</v>
      </c>
      <c r="Q424" s="369">
        <f t="shared" si="174"/>
        <v>-18.24280876666549</v>
      </c>
      <c r="R424" s="370">
        <f t="shared" si="175"/>
        <v>-129.23398424152927</v>
      </c>
      <c r="S424" s="372">
        <f t="shared" si="176"/>
        <v>50.766015758470729</v>
      </c>
      <c r="U424" s="345">
        <f t="shared" si="182"/>
        <v>41449.75</v>
      </c>
      <c r="V424" s="345">
        <f t="shared" si="183"/>
        <v>1718081775.0625</v>
      </c>
      <c r="X424" s="371">
        <f t="shared" si="177"/>
        <v>12.505191530978728</v>
      </c>
      <c r="Y424" s="372">
        <f t="shared" si="178"/>
        <v>-48.664340481113278</v>
      </c>
      <c r="AA424" s="371">
        <f t="shared" si="179"/>
        <v>15.272599615635407</v>
      </c>
      <c r="AB424" s="372">
        <f t="shared" si="180"/>
        <v>-80.569643760416028</v>
      </c>
      <c r="AD424">
        <f t="shared" si="184"/>
        <v>0</v>
      </c>
      <c r="AE424">
        <f t="shared" si="187"/>
        <v>0</v>
      </c>
    </row>
    <row r="425" spans="1:31" x14ac:dyDescent="0.2">
      <c r="A425" s="373">
        <v>41687</v>
      </c>
      <c r="B425" s="390">
        <f t="shared" si="181"/>
        <v>41.686999999999998</v>
      </c>
      <c r="C425" s="363">
        <f t="shared" si="162"/>
        <v>54.783467094470964</v>
      </c>
      <c r="D425" s="364">
        <f t="shared" si="163"/>
        <v>1.5525416307307938</v>
      </c>
      <c r="E425" s="364">
        <f t="shared" si="164"/>
        <v>1.8495028113985748</v>
      </c>
      <c r="F425" s="365">
        <f t="shared" si="165"/>
        <v>0.99954413107687035</v>
      </c>
      <c r="G425" s="364">
        <f t="shared" si="166"/>
        <v>1.0824701564643593</v>
      </c>
      <c r="H425" s="365">
        <f t="shared" si="167"/>
        <v>-0.39287290946236653</v>
      </c>
      <c r="I425" s="363">
        <f t="shared" si="168"/>
        <v>141475.09942850331</v>
      </c>
      <c r="J425" s="366">
        <f t="shared" si="169"/>
        <v>1.5707892584132235</v>
      </c>
      <c r="K425" s="374">
        <f t="shared" si="185"/>
        <v>34.455314981533782</v>
      </c>
      <c r="L425" s="375">
        <f t="shared" si="186"/>
        <v>1.541769152211848</v>
      </c>
      <c r="M425" s="363">
        <f t="shared" si="170"/>
        <v>1.47055560717925</v>
      </c>
      <c r="N425" s="366">
        <f t="shared" si="171"/>
        <v>0.82301311457112569</v>
      </c>
      <c r="O425" s="367">
        <f t="shared" si="172"/>
        <v>1.0605887865045829</v>
      </c>
      <c r="P425" s="368">
        <f t="shared" si="173"/>
        <v>0.46237122648100454</v>
      </c>
      <c r="Q425" s="369">
        <f t="shared" si="174"/>
        <v>-18.282320889169938</v>
      </c>
      <c r="R425" s="370">
        <f t="shared" si="175"/>
        <v>-129.50420995750773</v>
      </c>
      <c r="S425" s="372">
        <f t="shared" si="176"/>
        <v>50.495790042492274</v>
      </c>
      <c r="U425" s="345">
        <f t="shared" si="182"/>
        <v>41687</v>
      </c>
      <c r="V425" s="345">
        <f t="shared" si="183"/>
        <v>1737805969</v>
      </c>
      <c r="X425" s="371">
        <f t="shared" si="177"/>
        <v>12.478569636462566</v>
      </c>
      <c r="Y425" s="372">
        <f t="shared" si="178"/>
        <v>-48.817907610985209</v>
      </c>
      <c r="AA425" s="371">
        <f t="shared" si="179"/>
        <v>15.259709387647121</v>
      </c>
      <c r="AB425" s="372">
        <f t="shared" si="180"/>
        <v>-80.686302346522538</v>
      </c>
      <c r="AD425">
        <f t="shared" si="184"/>
        <v>0</v>
      </c>
      <c r="AE425">
        <f t="shared" si="187"/>
        <v>0</v>
      </c>
    </row>
    <row r="426" spans="1:31" x14ac:dyDescent="0.2">
      <c r="A426" s="373">
        <v>41929.75</v>
      </c>
      <c r="B426" s="390">
        <f t="shared" si="181"/>
        <v>41.929749999999999</v>
      </c>
      <c r="C426" s="363">
        <f t="shared" si="162"/>
        <v>55.102373909025225</v>
      </c>
      <c r="D426" s="364">
        <f t="shared" si="163"/>
        <v>1.5526472920242469</v>
      </c>
      <c r="E426" s="364">
        <f t="shared" si="164"/>
        <v>1.857130720296398</v>
      </c>
      <c r="F426" s="365">
        <f t="shared" si="165"/>
        <v>1.0021818504259974</v>
      </c>
      <c r="G426" s="364">
        <f t="shared" si="166"/>
        <v>1.0833963359551504</v>
      </c>
      <c r="H426" s="365">
        <f t="shared" si="167"/>
        <v>-0.394930663255741</v>
      </c>
      <c r="I426" s="363">
        <f t="shared" si="168"/>
        <v>142298.93132776587</v>
      </c>
      <c r="J426" s="366">
        <f t="shared" si="169"/>
        <v>1.5707892993352335</v>
      </c>
      <c r="K426" s="374">
        <f t="shared" si="185"/>
        <v>34.655785217623823</v>
      </c>
      <c r="L426" s="375">
        <f t="shared" si="186"/>
        <v>1.5419371098914267</v>
      </c>
      <c r="M426" s="363">
        <f t="shared" si="170"/>
        <v>1.4751652283670904</v>
      </c>
      <c r="N426" s="366">
        <f t="shared" si="171"/>
        <v>0.8259073901315378</v>
      </c>
      <c r="O426" s="367">
        <f t="shared" si="172"/>
        <v>1.0612903934459792</v>
      </c>
      <c r="P426" s="368">
        <f t="shared" si="173"/>
        <v>0.46494376400185539</v>
      </c>
      <c r="Q426" s="369">
        <f t="shared" si="174"/>
        <v>-18.322529203556314</v>
      </c>
      <c r="R426" s="370">
        <f t="shared" si="175"/>
        <v>-129.78063872081387</v>
      </c>
      <c r="S426" s="372">
        <f t="shared" si="176"/>
        <v>50.219361279186131</v>
      </c>
      <c r="U426" s="345">
        <f t="shared" si="182"/>
        <v>41929.75</v>
      </c>
      <c r="V426" s="345">
        <f t="shared" si="183"/>
        <v>1758103935.0625</v>
      </c>
      <c r="X426" s="371">
        <f t="shared" si="177"/>
        <v>12.451343090947002</v>
      </c>
      <c r="Y426" s="372">
        <f t="shared" si="178"/>
        <v>-48.974116464004965</v>
      </c>
      <c r="AA426" s="371">
        <f t="shared" si="179"/>
        <v>15.246727618776308</v>
      </c>
      <c r="AB426" s="372">
        <f t="shared" si="180"/>
        <v>-80.80652225680889</v>
      </c>
      <c r="AD426">
        <f t="shared" si="184"/>
        <v>0</v>
      </c>
      <c r="AE426">
        <f t="shared" si="187"/>
        <v>0</v>
      </c>
    </row>
    <row r="427" spans="1:31" x14ac:dyDescent="0.2">
      <c r="A427" s="373">
        <v>42172.5</v>
      </c>
      <c r="B427" s="390">
        <f t="shared" si="181"/>
        <v>42.172499999999999</v>
      </c>
      <c r="C427" s="363">
        <f t="shared" si="162"/>
        <v>55.42128133167963</v>
      </c>
      <c r="D427" s="364">
        <f t="shared" si="163"/>
        <v>1.5527517373177104</v>
      </c>
      <c r="E427" s="364">
        <f t="shared" si="164"/>
        <v>1.864771444538285</v>
      </c>
      <c r="F427" s="365">
        <f t="shared" si="165"/>
        <v>1.0047979722429199</v>
      </c>
      <c r="G427" s="364">
        <f t="shared" si="166"/>
        <v>1.0843270950778221</v>
      </c>
      <c r="H427" s="365">
        <f t="shared" si="167"/>
        <v>-0.39698489308676804</v>
      </c>
      <c r="I427" s="363">
        <f t="shared" si="168"/>
        <v>143122.76322702866</v>
      </c>
      <c r="J427" s="366">
        <f t="shared" si="169"/>
        <v>1.5707893397861394</v>
      </c>
      <c r="K427" s="374">
        <f t="shared" si="185"/>
        <v>34.856256420100628</v>
      </c>
      <c r="L427" s="375">
        <f t="shared" si="186"/>
        <v>1.5421031356023662</v>
      </c>
      <c r="M427" s="363">
        <f t="shared" si="170"/>
        <v>1.4797871297177843</v>
      </c>
      <c r="N427" s="366">
        <f t="shared" si="171"/>
        <v>0.82878360995714773</v>
      </c>
      <c r="O427" s="367">
        <f t="shared" si="172"/>
        <v>1.0619959406277495</v>
      </c>
      <c r="P427" s="368">
        <f t="shared" si="173"/>
        <v>0.46751434673999731</v>
      </c>
      <c r="Q427" s="369">
        <f t="shared" si="174"/>
        <v>-18.362518147411954</v>
      </c>
      <c r="R427" s="370">
        <f t="shared" si="175"/>
        <v>-130.05699750018377</v>
      </c>
      <c r="S427" s="372">
        <f t="shared" si="176"/>
        <v>49.943002499816231</v>
      </c>
      <c r="U427" s="345">
        <f t="shared" si="182"/>
        <v>42172.5</v>
      </c>
      <c r="V427" s="345">
        <f t="shared" si="183"/>
        <v>1778519756.25</v>
      </c>
      <c r="X427" s="371">
        <f t="shared" si="177"/>
        <v>12.424130004857963</v>
      </c>
      <c r="Y427" s="372">
        <f t="shared" si="178"/>
        <v>-49.129401466280406</v>
      </c>
      <c r="AA427" s="371">
        <f t="shared" si="179"/>
        <v>15.23395176100971</v>
      </c>
      <c r="AB427" s="372">
        <f t="shared" si="180"/>
        <v>-80.927596033903399</v>
      </c>
      <c r="AD427">
        <f t="shared" si="184"/>
        <v>0</v>
      </c>
      <c r="AE427">
        <f t="shared" si="187"/>
        <v>0</v>
      </c>
    </row>
    <row r="428" spans="1:31" x14ac:dyDescent="0.2">
      <c r="A428" s="373">
        <v>42415.25</v>
      </c>
      <c r="B428" s="390">
        <f t="shared" si="181"/>
        <v>42.41525</v>
      </c>
      <c r="C428" s="363">
        <f t="shared" si="162"/>
        <v>55.740189351996783</v>
      </c>
      <c r="D428" s="364">
        <f t="shared" si="163"/>
        <v>1.5528549874802973</v>
      </c>
      <c r="E428" s="364">
        <f t="shared" si="164"/>
        <v>1.8724248272391562</v>
      </c>
      <c r="F428" s="365">
        <f t="shared" si="165"/>
        <v>1.007392725331749</v>
      </c>
      <c r="G428" s="364">
        <f t="shared" si="166"/>
        <v>1.0852624220494156</v>
      </c>
      <c r="H428" s="365">
        <f t="shared" si="167"/>
        <v>-0.39903559070749978</v>
      </c>
      <c r="I428" s="363">
        <f t="shared" si="168"/>
        <v>143946.59512629168</v>
      </c>
      <c r="J428" s="366">
        <f t="shared" si="169"/>
        <v>1.57078937977403</v>
      </c>
      <c r="K428" s="374">
        <f t="shared" si="185"/>
        <v>35.056728572385367</v>
      </c>
      <c r="L428" s="375">
        <f t="shared" si="186"/>
        <v>1.5422672624793634</v>
      </c>
      <c r="M428" s="363">
        <f t="shared" si="170"/>
        <v>1.4844211965246037</v>
      </c>
      <c r="N428" s="366">
        <f t="shared" si="171"/>
        <v>0.83164189533671962</v>
      </c>
      <c r="O428" s="367">
        <f t="shared" si="172"/>
        <v>1.0627054260007092</v>
      </c>
      <c r="P428" s="368">
        <f t="shared" si="173"/>
        <v>0.47008296697225199</v>
      </c>
      <c r="Q428" s="369">
        <f t="shared" si="174"/>
        <v>-18.402290619947507</v>
      </c>
      <c r="R428" s="370">
        <f t="shared" si="175"/>
        <v>-130.33327851806106</v>
      </c>
      <c r="S428" s="372">
        <f t="shared" si="176"/>
        <v>49.666721481938936</v>
      </c>
      <c r="U428" s="345">
        <f t="shared" si="182"/>
        <v>42415.25</v>
      </c>
      <c r="V428" s="345">
        <f t="shared" si="183"/>
        <v>1799053432.5625</v>
      </c>
      <c r="X428" s="371">
        <f t="shared" si="177"/>
        <v>12.396931178527367</v>
      </c>
      <c r="Y428" s="372">
        <f t="shared" si="178"/>
        <v>-49.283767669130981</v>
      </c>
      <c r="AA428" s="371">
        <f t="shared" si="179"/>
        <v>15.221378114804747</v>
      </c>
      <c r="AB428" s="372">
        <f t="shared" si="180"/>
        <v>-81.049510848930069</v>
      </c>
      <c r="AD428">
        <f t="shared" si="184"/>
        <v>0</v>
      </c>
      <c r="AE428">
        <f t="shared" si="187"/>
        <v>0</v>
      </c>
    </row>
    <row r="429" spans="1:31" x14ac:dyDescent="0.2">
      <c r="A429" s="373">
        <v>42658</v>
      </c>
      <c r="B429" s="390">
        <f t="shared" si="181"/>
        <v>42.658000000000001</v>
      </c>
      <c r="C429" s="363">
        <f t="shared" si="162"/>
        <v>56.05909795977675</v>
      </c>
      <c r="D429" s="364">
        <f t="shared" si="163"/>
        <v>1.5529570629063441</v>
      </c>
      <c r="E429" s="364">
        <f t="shared" si="164"/>
        <v>1.8800907138106826</v>
      </c>
      <c r="F429" s="365">
        <f t="shared" si="165"/>
        <v>1.0099663359251165</v>
      </c>
      <c r="G429" s="364">
        <f t="shared" si="166"/>
        <v>1.0862023050698302</v>
      </c>
      <c r="H429" s="365">
        <f t="shared" si="167"/>
        <v>-0.40108274801716082</v>
      </c>
      <c r="I429" s="363">
        <f t="shared" si="168"/>
        <v>144770.42702555493</v>
      </c>
      <c r="J429" s="366">
        <f t="shared" si="169"/>
        <v>1.5707894193068097</v>
      </c>
      <c r="K429" s="374">
        <f t="shared" si="185"/>
        <v>35.257201658276266</v>
      </c>
      <c r="L429" s="375">
        <f t="shared" si="186"/>
        <v>1.5424295229039118</v>
      </c>
      <c r="M429" s="363">
        <f t="shared" si="170"/>
        <v>1.4890673152086662</v>
      </c>
      <c r="N429" s="366">
        <f t="shared" si="171"/>
        <v>0.83448236722337576</v>
      </c>
      <c r="O429" s="367">
        <f t="shared" si="172"/>
        <v>1.0634188475108262</v>
      </c>
      <c r="P429" s="368">
        <f t="shared" si="173"/>
        <v>0.47264961702693964</v>
      </c>
      <c r="Q429" s="369">
        <f t="shared" si="174"/>
        <v>-18.441849460736343</v>
      </c>
      <c r="R429" s="370">
        <f t="shared" si="175"/>
        <v>-130.60947415231831</v>
      </c>
      <c r="S429" s="372">
        <f t="shared" si="176"/>
        <v>49.390525847681687</v>
      </c>
      <c r="U429" s="345">
        <f t="shared" si="182"/>
        <v>42658</v>
      </c>
      <c r="V429" s="345">
        <f t="shared" si="183"/>
        <v>1819704964</v>
      </c>
      <c r="X429" s="371">
        <f t="shared" si="177"/>
        <v>12.369747396121216</v>
      </c>
      <c r="Y429" s="372">
        <f t="shared" si="178"/>
        <v>-49.437220147790079</v>
      </c>
      <c r="AA429" s="371">
        <f t="shared" si="179"/>
        <v>15.209003056422066</v>
      </c>
      <c r="AB429" s="372">
        <f t="shared" si="180"/>
        <v>-81.172254004528241</v>
      </c>
      <c r="AD429">
        <f t="shared" si="184"/>
        <v>0</v>
      </c>
      <c r="AE429">
        <f t="shared" si="187"/>
        <v>0</v>
      </c>
    </row>
    <row r="430" spans="1:31" x14ac:dyDescent="0.2">
      <c r="A430" s="373">
        <v>42906.5</v>
      </c>
      <c r="B430" s="390">
        <f t="shared" si="181"/>
        <v>42.906500000000001</v>
      </c>
      <c r="C430" s="363">
        <f t="shared" si="162"/>
        <v>56.38556112855396</v>
      </c>
      <c r="D430" s="364">
        <f t="shared" si="163"/>
        <v>1.5530603601870152</v>
      </c>
      <c r="E430" s="364">
        <f t="shared" si="164"/>
        <v>1.8879509742604148</v>
      </c>
      <c r="F430" s="365">
        <f t="shared" si="165"/>
        <v>1.0125792413060988</v>
      </c>
      <c r="G430" s="364">
        <f t="shared" si="166"/>
        <v>1.0871691578933387</v>
      </c>
      <c r="H430" s="365">
        <f t="shared" si="167"/>
        <v>-0.40317472078369532</v>
      </c>
      <c r="I430" s="363">
        <f t="shared" si="168"/>
        <v>145613.77296568663</v>
      </c>
      <c r="J430" s="366">
        <f t="shared" si="169"/>
        <v>1.5707894593126548</v>
      </c>
      <c r="K430" s="374">
        <f t="shared" si="185"/>
        <v>35.462424284764808</v>
      </c>
      <c r="L430" s="375">
        <f t="shared" si="186"/>
        <v>1.5425937265238341</v>
      </c>
      <c r="M430" s="363">
        <f t="shared" si="170"/>
        <v>1.493835852204116</v>
      </c>
      <c r="N430" s="366">
        <f t="shared" si="171"/>
        <v>0.83737179563483954</v>
      </c>
      <c r="O430" s="367">
        <f t="shared" si="172"/>
        <v>1.0641532427241336</v>
      </c>
      <c r="P430" s="368">
        <f t="shared" si="173"/>
        <v>0.47527501443147158</v>
      </c>
      <c r="Q430" s="369">
        <f t="shared" si="174"/>
        <v>-18.482126950088087</v>
      </c>
      <c r="R430" s="370">
        <f t="shared" si="175"/>
        <v>-130.89211577241045</v>
      </c>
      <c r="S430" s="372">
        <f t="shared" si="176"/>
        <v>49.107884227589551</v>
      </c>
      <c r="U430" s="345">
        <f t="shared" si="182"/>
        <v>42906.5</v>
      </c>
      <c r="V430" s="345">
        <f t="shared" si="183"/>
        <v>1840967742.25</v>
      </c>
      <c r="X430" s="371">
        <f t="shared" si="177"/>
        <v>12.341936098199199</v>
      </c>
      <c r="Y430" s="372">
        <f t="shared" si="178"/>
        <v>-49.593366318914342</v>
      </c>
      <c r="AA430" s="371">
        <f t="shared" si="179"/>
        <v>15.196536864992341</v>
      </c>
      <c r="AB430" s="372">
        <f t="shared" si="180"/>
        <v>-81.298749453496129</v>
      </c>
      <c r="AD430">
        <f t="shared" si="184"/>
        <v>0</v>
      </c>
      <c r="AE430">
        <f t="shared" si="187"/>
        <v>0</v>
      </c>
    </row>
    <row r="431" spans="1:31" x14ac:dyDescent="0.2">
      <c r="A431" s="373">
        <v>43155</v>
      </c>
      <c r="B431" s="390">
        <f t="shared" si="181"/>
        <v>43.155000000000001</v>
      </c>
      <c r="C431" s="363">
        <f t="shared" si="162"/>
        <v>56.712024892056775</v>
      </c>
      <c r="D431" s="364">
        <f t="shared" si="163"/>
        <v>1.5531624682035583</v>
      </c>
      <c r="E431" s="364">
        <f t="shared" si="164"/>
        <v>1.895824017336065</v>
      </c>
      <c r="F431" s="365">
        <f t="shared" si="165"/>
        <v>1.0151704623295348</v>
      </c>
      <c r="G431" s="364">
        <f t="shared" si="166"/>
        <v>1.0881407600825022</v>
      </c>
      <c r="H431" s="365">
        <f t="shared" si="167"/>
        <v>-0.40526296682557778</v>
      </c>
      <c r="I431" s="363">
        <f t="shared" si="168"/>
        <v>146457.11890581858</v>
      </c>
      <c r="J431" s="366">
        <f t="shared" si="169"/>
        <v>1.5707894988577675</v>
      </c>
      <c r="K431" s="374">
        <f t="shared" si="185"/>
        <v>35.667647856417531</v>
      </c>
      <c r="L431" s="375">
        <f t="shared" si="186"/>
        <v>1.542756040567175</v>
      </c>
      <c r="M431" s="363">
        <f t="shared" si="170"/>
        <v>1.4986167815015772</v>
      </c>
      <c r="N431" s="366">
        <f t="shared" si="171"/>
        <v>0.84024281201754614</v>
      </c>
      <c r="O431" s="367">
        <f t="shared" si="172"/>
        <v>1.0648917583818509</v>
      </c>
      <c r="P431" s="368">
        <f t="shared" si="173"/>
        <v>0.4778983311143386</v>
      </c>
      <c r="Q431" s="369">
        <f t="shared" si="174"/>
        <v>-18.522186404487389</v>
      </c>
      <c r="R431" s="370">
        <f t="shared" si="175"/>
        <v>-131.17465223951748</v>
      </c>
      <c r="S431" s="372">
        <f t="shared" si="176"/>
        <v>48.825347760482515</v>
      </c>
      <c r="U431" s="345">
        <f t="shared" si="182"/>
        <v>43155</v>
      </c>
      <c r="V431" s="345">
        <f t="shared" si="183"/>
        <v>1862354025</v>
      </c>
      <c r="X431" s="371">
        <f t="shared" si="177"/>
        <v>12.314142177375979</v>
      </c>
      <c r="Y431" s="372">
        <f t="shared" si="178"/>
        <v>-49.7485657968626</v>
      </c>
      <c r="AA431" s="371">
        <f t="shared" si="179"/>
        <v>15.184271331416255</v>
      </c>
      <c r="AB431" s="372">
        <f t="shared" si="180"/>
        <v>-81.426086442654864</v>
      </c>
      <c r="AD431">
        <f t="shared" si="184"/>
        <v>0</v>
      </c>
      <c r="AE431">
        <f t="shared" si="187"/>
        <v>0</v>
      </c>
    </row>
    <row r="432" spans="1:31" x14ac:dyDescent="0.2">
      <c r="A432" s="373">
        <v>43403.5</v>
      </c>
      <c r="B432" s="390">
        <f t="shared" si="181"/>
        <v>43.403500000000001</v>
      </c>
      <c r="C432" s="363">
        <f t="shared" si="162"/>
        <v>57.038489240073339</v>
      </c>
      <c r="D432" s="364">
        <f t="shared" si="163"/>
        <v>1.553263407374371</v>
      </c>
      <c r="E432" s="364">
        <f t="shared" si="164"/>
        <v>1.9037096844449222</v>
      </c>
      <c r="F432" s="365">
        <f t="shared" si="165"/>
        <v>1.0177402334482257</v>
      </c>
      <c r="G432" s="364">
        <f t="shared" si="166"/>
        <v>1.0891170989265822</v>
      </c>
      <c r="H432" s="365">
        <f t="shared" si="167"/>
        <v>-0.40734747792834897</v>
      </c>
      <c r="I432" s="363">
        <f t="shared" si="168"/>
        <v>147300.46484595077</v>
      </c>
      <c r="J432" s="366">
        <f t="shared" si="169"/>
        <v>1.5707895379500614</v>
      </c>
      <c r="K432" s="374">
        <f t="shared" si="185"/>
        <v>35.872872357012966</v>
      </c>
      <c r="L432" s="375">
        <f t="shared" si="186"/>
        <v>1.5429164974554461</v>
      </c>
      <c r="M432" s="363">
        <f t="shared" si="170"/>
        <v>1.503409984876378</v>
      </c>
      <c r="N432" s="366">
        <f t="shared" si="171"/>
        <v>0.84309554492014216</v>
      </c>
      <c r="O432" s="367">
        <f t="shared" si="172"/>
        <v>1.0656343922653206</v>
      </c>
      <c r="P432" s="368">
        <f t="shared" si="173"/>
        <v>0.48051955901358406</v>
      </c>
      <c r="Q432" s="369">
        <f t="shared" si="174"/>
        <v>-18.562030686154984</v>
      </c>
      <c r="R432" s="370">
        <f t="shared" si="175"/>
        <v>-131.45707586593394</v>
      </c>
      <c r="S432" s="372">
        <f t="shared" si="176"/>
        <v>48.542924134066055</v>
      </c>
      <c r="U432" s="345">
        <f t="shared" si="182"/>
        <v>43403.5</v>
      </c>
      <c r="V432" s="345">
        <f t="shared" si="183"/>
        <v>1883863812.25</v>
      </c>
      <c r="X432" s="371">
        <f t="shared" si="177"/>
        <v>12.286366423703043</v>
      </c>
      <c r="Y432" s="372">
        <f t="shared" si="178"/>
        <v>-49.902824089767442</v>
      </c>
      <c r="AA432" s="371">
        <f t="shared" si="179"/>
        <v>15.172202803421595</v>
      </c>
      <c r="AB432" s="372">
        <f t="shared" si="180"/>
        <v>-81.554251776166481</v>
      </c>
      <c r="AD432">
        <f t="shared" si="184"/>
        <v>0</v>
      </c>
      <c r="AE432">
        <f t="shared" si="187"/>
        <v>0</v>
      </c>
    </row>
    <row r="433" spans="1:31" x14ac:dyDescent="0.2">
      <c r="A433" s="373">
        <v>43652</v>
      </c>
      <c r="B433" s="390">
        <f t="shared" si="181"/>
        <v>43.652000000000001</v>
      </c>
      <c r="C433" s="363">
        <f t="shared" si="162"/>
        <v>57.36495416262423</v>
      </c>
      <c r="D433" s="364">
        <f t="shared" si="163"/>
        <v>1.5533631976531401</v>
      </c>
      <c r="E433" s="364">
        <f t="shared" si="164"/>
        <v>1.9116078193589376</v>
      </c>
      <c r="F433" s="365">
        <f t="shared" si="165"/>
        <v>1.0202887863827514</v>
      </c>
      <c r="G433" s="364">
        <f t="shared" si="166"/>
        <v>1.0900981616985226</v>
      </c>
      <c r="H433" s="365">
        <f t="shared" si="167"/>
        <v>-0.40942824603673816</v>
      </c>
      <c r="I433" s="363">
        <f t="shared" si="168"/>
        <v>148143.8107860832</v>
      </c>
      <c r="J433" s="366">
        <f t="shared" si="169"/>
        <v>1.5707895765972697</v>
      </c>
      <c r="K433" s="374">
        <f t="shared" si="185"/>
        <v>36.078097770698704</v>
      </c>
      <c r="L433" s="375">
        <f t="shared" si="186"/>
        <v>1.5430751288728453</v>
      </c>
      <c r="M433" s="363">
        <f t="shared" si="170"/>
        <v>1.5082153453051501</v>
      </c>
      <c r="N433" s="366">
        <f t="shared" si="171"/>
        <v>0.84593012244960952</v>
      </c>
      <c r="O433" s="367">
        <f t="shared" si="172"/>
        <v>1.066381142150971</v>
      </c>
      <c r="P433" s="368">
        <f t="shared" si="173"/>
        <v>0.4831386901239248</v>
      </c>
      <c r="Q433" s="369">
        <f t="shared" si="174"/>
        <v>-18.601662598571302</v>
      </c>
      <c r="R433" s="370">
        <f t="shared" si="175"/>
        <v>-131.73937912317035</v>
      </c>
      <c r="S433" s="372">
        <f t="shared" si="176"/>
        <v>48.260620876829648</v>
      </c>
      <c r="U433" s="345">
        <f t="shared" si="182"/>
        <v>43652</v>
      </c>
      <c r="V433" s="345">
        <f t="shared" si="183"/>
        <v>1905497104</v>
      </c>
      <c r="X433" s="371">
        <f t="shared" si="177"/>
        <v>12.258609610471098</v>
      </c>
      <c r="Y433" s="372">
        <f t="shared" si="178"/>
        <v>-50.056146722690507</v>
      </c>
      <c r="AA433" s="371">
        <f t="shared" si="179"/>
        <v>15.160327704237224</v>
      </c>
      <c r="AB433" s="372">
        <f t="shared" si="180"/>
        <v>-81.683232400479838</v>
      </c>
      <c r="AD433">
        <f t="shared" si="184"/>
        <v>0</v>
      </c>
      <c r="AE433">
        <f t="shared" si="187"/>
        <v>0</v>
      </c>
    </row>
    <row r="434" spans="1:31" x14ac:dyDescent="0.2">
      <c r="A434" s="373">
        <v>43906</v>
      </c>
      <c r="B434" s="390">
        <f t="shared" si="181"/>
        <v>43.905999999999999</v>
      </c>
      <c r="C434" s="363">
        <f t="shared" si="162"/>
        <v>57.698645250558258</v>
      </c>
      <c r="D434" s="364">
        <f t="shared" si="163"/>
        <v>1.5534640295546407</v>
      </c>
      <c r="E434" s="364">
        <f t="shared" si="164"/>
        <v>1.9196934866589235</v>
      </c>
      <c r="F434" s="365">
        <f t="shared" si="165"/>
        <v>1.0228720565157947</v>
      </c>
      <c r="G434" s="364">
        <f t="shared" si="166"/>
        <v>1.0911058067827581</v>
      </c>
      <c r="H434" s="365">
        <f t="shared" si="167"/>
        <v>-0.41155119096714177</v>
      </c>
      <c r="I434" s="363">
        <f t="shared" si="168"/>
        <v>149005.82233052456</v>
      </c>
      <c r="J434" s="366">
        <f t="shared" si="169"/>
        <v>1.5707896156477457</v>
      </c>
      <c r="K434" s="374">
        <f t="shared" si="185"/>
        <v>36.287866324259447</v>
      </c>
      <c r="L434" s="375">
        <f t="shared" si="186"/>
        <v>1.5432354169605027</v>
      </c>
      <c r="M434" s="363">
        <f t="shared" si="170"/>
        <v>1.5131395048539087</v>
      </c>
      <c r="N434" s="366">
        <f t="shared" si="171"/>
        <v>0.84880880743203579</v>
      </c>
      <c r="O434" s="367">
        <f t="shared" si="172"/>
        <v>1.0671486710384328</v>
      </c>
      <c r="P434" s="368">
        <f t="shared" si="173"/>
        <v>0.48581361474199941</v>
      </c>
      <c r="Q434" s="369">
        <f t="shared" si="174"/>
        <v>-18.641955063080047</v>
      </c>
      <c r="R434" s="370">
        <f t="shared" si="175"/>
        <v>-132.02779847225187</v>
      </c>
      <c r="S434" s="372">
        <f t="shared" si="176"/>
        <v>47.972201527748126</v>
      </c>
      <c r="U434" s="345">
        <f t="shared" si="182"/>
        <v>43906</v>
      </c>
      <c r="V434" s="345">
        <f t="shared" si="183"/>
        <v>1927736836</v>
      </c>
      <c r="X434" s="371">
        <f t="shared" si="177"/>
        <v>12.230258822983281</v>
      </c>
      <c r="Y434" s="372">
        <f t="shared" si="178"/>
        <v>-50.211901629407677</v>
      </c>
      <c r="AA434" s="371">
        <f t="shared" si="179"/>
        <v>15.148386027216297</v>
      </c>
      <c r="AB434" s="372">
        <f t="shared" si="180"/>
        <v>-81.815896842844253</v>
      </c>
      <c r="AD434">
        <f t="shared" si="184"/>
        <v>0</v>
      </c>
      <c r="AE434">
        <f t="shared" si="187"/>
        <v>0</v>
      </c>
    </row>
    <row r="435" spans="1:31" x14ac:dyDescent="0.2">
      <c r="A435" s="373">
        <v>44160</v>
      </c>
      <c r="B435" s="390">
        <f t="shared" si="181"/>
        <v>44.16</v>
      </c>
      <c r="C435" s="363">
        <f t="shared" si="162"/>
        <v>58.032336918372273</v>
      </c>
      <c r="D435" s="364">
        <f t="shared" si="163"/>
        <v>1.5535637018703636</v>
      </c>
      <c r="E435" s="364">
        <f t="shared" si="164"/>
        <v>1.9277918571076476</v>
      </c>
      <c r="F435" s="365">
        <f t="shared" si="165"/>
        <v>1.0254336397467876</v>
      </c>
      <c r="G435" s="364">
        <f t="shared" si="166"/>
        <v>1.0921183602792977</v>
      </c>
      <c r="H435" s="365">
        <f t="shared" si="167"/>
        <v>-0.41367020887194389</v>
      </c>
      <c r="I435" s="363">
        <f t="shared" si="168"/>
        <v>149867.83387496616</v>
      </c>
      <c r="J435" s="366">
        <f t="shared" si="169"/>
        <v>1.5707896542489996</v>
      </c>
      <c r="K435" s="374">
        <f t="shared" si="185"/>
        <v>36.497635799420969</v>
      </c>
      <c r="L435" s="375">
        <f t="shared" si="186"/>
        <v>1.5433938625466552</v>
      </c>
      <c r="M435" s="363">
        <f t="shared" si="170"/>
        <v>1.5180761221220012</v>
      </c>
      <c r="N435" s="366">
        <f t="shared" si="171"/>
        <v>0.85166879365003778</v>
      </c>
      <c r="O435" s="367">
        <f t="shared" si="172"/>
        <v>1.0679204954287609</v>
      </c>
      <c r="P435" s="368">
        <f t="shared" si="173"/>
        <v>0.48848633199742575</v>
      </c>
      <c r="Q435" s="369">
        <f t="shared" si="174"/>
        <v>-18.682031395359743</v>
      </c>
      <c r="R435" s="370">
        <f t="shared" si="175"/>
        <v>-132.31607665690174</v>
      </c>
      <c r="S435" s="372">
        <f t="shared" si="176"/>
        <v>47.683923343098257</v>
      </c>
      <c r="U435" s="345">
        <f t="shared" si="182"/>
        <v>44160</v>
      </c>
      <c r="V435" s="345">
        <f t="shared" si="183"/>
        <v>1950105600</v>
      </c>
      <c r="X435" s="371">
        <f t="shared" si="177"/>
        <v>12.201929404794399</v>
      </c>
      <c r="Y435" s="372">
        <f t="shared" si="178"/>
        <v>-50.366690717661569</v>
      </c>
      <c r="AA435" s="371">
        <f t="shared" si="179"/>
        <v>15.136639113125486</v>
      </c>
      <c r="AB435" s="372">
        <f t="shared" si="180"/>
        <v>-81.94938593924013</v>
      </c>
      <c r="AD435">
        <f t="shared" si="184"/>
        <v>0</v>
      </c>
      <c r="AE435">
        <f t="shared" si="187"/>
        <v>0</v>
      </c>
    </row>
    <row r="436" spans="1:31" x14ac:dyDescent="0.2">
      <c r="A436" s="373">
        <v>44414</v>
      </c>
      <c r="B436" s="390">
        <f t="shared" si="181"/>
        <v>44.414000000000001</v>
      </c>
      <c r="C436" s="363">
        <f t="shared" si="162"/>
        <v>58.366029156120369</v>
      </c>
      <c r="D436" s="364">
        <f t="shared" si="163"/>
        <v>1.5536622344871809</v>
      </c>
      <c r="E436" s="364">
        <f t="shared" si="164"/>
        <v>1.9359027712836734</v>
      </c>
      <c r="F436" s="365">
        <f t="shared" si="165"/>
        <v>1.0279737748338047</v>
      </c>
      <c r="G436" s="364">
        <f t="shared" si="166"/>
        <v>1.0931358085483991</v>
      </c>
      <c r="H436" s="365">
        <f t="shared" si="167"/>
        <v>-0.41578529166047323</v>
      </c>
      <c r="I436" s="363">
        <f t="shared" si="168"/>
        <v>150729.845419408</v>
      </c>
      <c r="J436" s="366">
        <f t="shared" si="169"/>
        <v>1.5707896924087388</v>
      </c>
      <c r="K436" s="374">
        <f t="shared" si="185"/>
        <v>36.707406180383423</v>
      </c>
      <c r="L436" s="375">
        <f t="shared" si="186"/>
        <v>1.5435504972110923</v>
      </c>
      <c r="M436" s="363">
        <f t="shared" si="170"/>
        <v>1.5230250759709305</v>
      </c>
      <c r="N436" s="366">
        <f t="shared" si="171"/>
        <v>0.85451021636968716</v>
      </c>
      <c r="O436" s="367">
        <f t="shared" si="172"/>
        <v>1.068696612932202</v>
      </c>
      <c r="P436" s="368">
        <f t="shared" si="173"/>
        <v>0.49115683352523004</v>
      </c>
      <c r="Q436" s="369">
        <f t="shared" si="174"/>
        <v>-18.721894409032181</v>
      </c>
      <c r="R436" s="370">
        <f t="shared" si="175"/>
        <v>-132.60420613511249</v>
      </c>
      <c r="S436" s="372">
        <f t="shared" si="176"/>
        <v>47.395793864887509</v>
      </c>
      <c r="U436" s="345">
        <f t="shared" si="182"/>
        <v>44414</v>
      </c>
      <c r="V436" s="345">
        <f t="shared" si="183"/>
        <v>1972603396</v>
      </c>
      <c r="X436" s="371">
        <f t="shared" si="177"/>
        <v>12.173622129006969</v>
      </c>
      <c r="Y436" s="372">
        <f t="shared" si="178"/>
        <v>-50.520519928680123</v>
      </c>
      <c r="AA436" s="371">
        <f t="shared" si="179"/>
        <v>15.125083375240473</v>
      </c>
      <c r="AB436" s="372">
        <f t="shared" si="180"/>
        <v>-82.083686206432347</v>
      </c>
      <c r="AD436">
        <f t="shared" si="184"/>
        <v>0</v>
      </c>
      <c r="AE436">
        <f t="shared" si="187"/>
        <v>0</v>
      </c>
    </row>
    <row r="437" spans="1:31" x14ac:dyDescent="0.2">
      <c r="A437" s="373">
        <v>44668</v>
      </c>
      <c r="B437" s="390">
        <f t="shared" si="181"/>
        <v>44.667999999999999</v>
      </c>
      <c r="C437" s="363">
        <f t="shared" si="162"/>
        <v>58.699721954082776</v>
      </c>
      <c r="D437" s="364">
        <f t="shared" si="163"/>
        <v>1.5537596468398469</v>
      </c>
      <c r="E437" s="364">
        <f t="shared" si="164"/>
        <v>1.9440260721812497</v>
      </c>
      <c r="F437" s="365">
        <f t="shared" si="165"/>
        <v>1.0304926976606099</v>
      </c>
      <c r="G437" s="364">
        <f t="shared" si="166"/>
        <v>1.0941581379352416</v>
      </c>
      <c r="H437" s="365">
        <f t="shared" si="167"/>
        <v>-0.41789643141291077</v>
      </c>
      <c r="I437" s="363">
        <f t="shared" si="168"/>
        <v>151591.85696385006</v>
      </c>
      <c r="J437" s="366">
        <f t="shared" si="169"/>
        <v>1.5707897301344953</v>
      </c>
      <c r="K437" s="374">
        <f t="shared" si="185"/>
        <v>36.91717745170601</v>
      </c>
      <c r="L437" s="375">
        <f t="shared" si="186"/>
        <v>1.5437053518161916</v>
      </c>
      <c r="M437" s="363">
        <f t="shared" si="170"/>
        <v>1.5279862465308345</v>
      </c>
      <c r="N437" s="366">
        <f t="shared" si="171"/>
        <v>0.85733321030585763</v>
      </c>
      <c r="O437" s="367">
        <f t="shared" si="172"/>
        <v>1.0694770211540918</v>
      </c>
      <c r="P437" s="368">
        <f t="shared" si="173"/>
        <v>0.4938251110223717</v>
      </c>
      <c r="Q437" s="369">
        <f t="shared" si="174"/>
        <v>-18.761546860254434</v>
      </c>
      <c r="R437" s="370">
        <f t="shared" si="175"/>
        <v>-132.89217952650947</v>
      </c>
      <c r="S437" s="372">
        <f t="shared" si="176"/>
        <v>47.107820473490534</v>
      </c>
      <c r="U437" s="345">
        <f t="shared" si="182"/>
        <v>44668</v>
      </c>
      <c r="V437" s="345">
        <f t="shared" si="183"/>
        <v>1995230224</v>
      </c>
      <c r="X437" s="371">
        <f t="shared" si="177"/>
        <v>12.145337751510761</v>
      </c>
      <c r="Y437" s="372">
        <f t="shared" si="178"/>
        <v>-50.673395213204678</v>
      </c>
      <c r="AA437" s="371">
        <f t="shared" si="179"/>
        <v>15.113715301514425</v>
      </c>
      <c r="AB437" s="372">
        <f t="shared" si="180"/>
        <v>-82.218784313304752</v>
      </c>
      <c r="AD437">
        <f t="shared" si="184"/>
        <v>0</v>
      </c>
      <c r="AE437">
        <f t="shared" si="187"/>
        <v>0</v>
      </c>
    </row>
    <row r="438" spans="1:31" x14ac:dyDescent="0.2">
      <c r="A438" s="373">
        <v>44928.25</v>
      </c>
      <c r="B438" s="390">
        <f t="shared" si="181"/>
        <v>44.928249999999998</v>
      </c>
      <c r="C438" s="363">
        <f t="shared" si="162"/>
        <v>59.041626268005075</v>
      </c>
      <c r="D438" s="364">
        <f t="shared" si="163"/>
        <v>1.553858314059493</v>
      </c>
      <c r="E438" s="364">
        <f t="shared" si="164"/>
        <v>1.9523619434250501</v>
      </c>
      <c r="F438" s="365">
        <f t="shared" si="165"/>
        <v>1.033051843914996</v>
      </c>
      <c r="G438" s="364">
        <f t="shared" si="166"/>
        <v>1.0952106715254022</v>
      </c>
      <c r="H438" s="365">
        <f t="shared" si="167"/>
        <v>-0.42005542063374851</v>
      </c>
      <c r="I438" s="363">
        <f t="shared" si="168"/>
        <v>152475.07942227958</v>
      </c>
      <c r="J438" s="366">
        <f t="shared" si="169"/>
        <v>1.5707897683461074</v>
      </c>
      <c r="K438" s="374">
        <f t="shared" si="185"/>
        <v>37.132111325409667</v>
      </c>
      <c r="L438" s="375">
        <f t="shared" si="186"/>
        <v>1.5438622020607786</v>
      </c>
      <c r="M438" s="363">
        <f t="shared" si="170"/>
        <v>1.5330820404324932</v>
      </c>
      <c r="N438" s="366">
        <f t="shared" si="171"/>
        <v>0.86020669339425271</v>
      </c>
      <c r="O438" s="367">
        <f t="shared" si="172"/>
        <v>1.070281080210455</v>
      </c>
      <c r="P438" s="368">
        <f t="shared" si="173"/>
        <v>0.49655672954481139</v>
      </c>
      <c r="Q438" s="369">
        <f t="shared" si="174"/>
        <v>-18.801959436964466</v>
      </c>
      <c r="R438" s="370">
        <f t="shared" si="175"/>
        <v>-133.18706943132005</v>
      </c>
      <c r="S438" s="372">
        <f t="shared" si="176"/>
        <v>46.812930568679946</v>
      </c>
      <c r="U438" s="345">
        <f t="shared" si="182"/>
        <v>44928.25</v>
      </c>
      <c r="V438" s="345">
        <f t="shared" si="183"/>
        <v>2018547648.0625</v>
      </c>
      <c r="X438" s="371">
        <f t="shared" si="177"/>
        <v>12.11638192316766</v>
      </c>
      <c r="Y438" s="372">
        <f t="shared" si="178"/>
        <v>-50.82904899918347</v>
      </c>
      <c r="AA438" s="371">
        <f t="shared" si="179"/>
        <v>15.102258553147497</v>
      </c>
      <c r="AB438" s="372">
        <f t="shared" si="180"/>
        <v>-82.358020432136612</v>
      </c>
      <c r="AD438">
        <f t="shared" si="184"/>
        <v>0</v>
      </c>
      <c r="AE438">
        <f t="shared" si="187"/>
        <v>0</v>
      </c>
    </row>
    <row r="439" spans="1:31" x14ac:dyDescent="0.2">
      <c r="A439" s="373">
        <v>45188.5</v>
      </c>
      <c r="B439" s="390">
        <f t="shared" si="181"/>
        <v>45.188499999999998</v>
      </c>
      <c r="C439" s="363">
        <f t="shared" si="162"/>
        <v>59.383531150091905</v>
      </c>
      <c r="D439" s="364">
        <f t="shared" si="163"/>
        <v>1.5539558451130833</v>
      </c>
      <c r="E439" s="364">
        <f t="shared" si="164"/>
        <v>1.9607104923646179</v>
      </c>
      <c r="F439" s="365">
        <f t="shared" si="165"/>
        <v>1.0355892133881535</v>
      </c>
      <c r="G439" s="364">
        <f t="shared" si="166"/>
        <v>1.0962683003326705</v>
      </c>
      <c r="H439" s="365">
        <f t="shared" si="167"/>
        <v>-0.42221025409734414</v>
      </c>
      <c r="I439" s="363">
        <f t="shared" si="168"/>
        <v>153358.30188070933</v>
      </c>
      <c r="J439" s="366">
        <f t="shared" si="169"/>
        <v>1.5707898061175825</v>
      </c>
      <c r="K439" s="374">
        <f t="shared" si="185"/>
        <v>37.347046102122739</v>
      </c>
      <c r="L439" s="375">
        <f t="shared" si="186"/>
        <v>1.5440172469416074</v>
      </c>
      <c r="M439" s="363">
        <f t="shared" si="170"/>
        <v>1.5381904089147658</v>
      </c>
      <c r="N439" s="366">
        <f t="shared" si="171"/>
        <v>0.8630611141040424</v>
      </c>
      <c r="O439" s="367">
        <f t="shared" si="172"/>
        <v>1.0710896386354711</v>
      </c>
      <c r="P439" s="368">
        <f t="shared" si="173"/>
        <v>0.49928599579120825</v>
      </c>
      <c r="Q439" s="369">
        <f t="shared" si="174"/>
        <v>-18.842156641234801</v>
      </c>
      <c r="R439" s="370">
        <f t="shared" si="175"/>
        <v>-133.48178029409061</v>
      </c>
      <c r="S439" s="372">
        <f t="shared" si="176"/>
        <v>46.518219705909388</v>
      </c>
      <c r="U439" s="345">
        <f t="shared" si="182"/>
        <v>45188.5</v>
      </c>
      <c r="V439" s="345">
        <f t="shared" si="183"/>
        <v>2042000532.25</v>
      </c>
      <c r="X439" s="371">
        <f t="shared" si="177"/>
        <v>12.087451686240447</v>
      </c>
      <c r="Y439" s="372">
        <f t="shared" si="178"/>
        <v>-50.983714005825391</v>
      </c>
      <c r="AA439" s="371">
        <f t="shared" si="179"/>
        <v>15.090991585804376</v>
      </c>
      <c r="AB439" s="372">
        <f t="shared" si="180"/>
        <v>-82.498066288265193</v>
      </c>
      <c r="AD439">
        <f t="shared" si="184"/>
        <v>0</v>
      </c>
      <c r="AE439">
        <f t="shared" si="187"/>
        <v>0</v>
      </c>
    </row>
    <row r="440" spans="1:31" x14ac:dyDescent="0.2">
      <c r="A440" s="373">
        <v>45448.75</v>
      </c>
      <c r="B440" s="390">
        <f t="shared" si="181"/>
        <v>45.448749999999997</v>
      </c>
      <c r="C440" s="363">
        <f t="shared" si="162"/>
        <v>59.725436590585701</v>
      </c>
      <c r="D440" s="364">
        <f t="shared" si="163"/>
        <v>1.5540522595111042</v>
      </c>
      <c r="E440" s="364">
        <f t="shared" si="164"/>
        <v>1.9690715577457438</v>
      </c>
      <c r="F440" s="365">
        <f t="shared" si="165"/>
        <v>1.0381050506041642</v>
      </c>
      <c r="G440" s="364">
        <f t="shared" si="166"/>
        <v>1.0973310096244406</v>
      </c>
      <c r="H440" s="365">
        <f t="shared" si="167"/>
        <v>-0.42436092383777774</v>
      </c>
      <c r="I440" s="363">
        <f t="shared" si="168"/>
        <v>154241.52433913932</v>
      </c>
      <c r="J440" s="366">
        <f t="shared" si="169"/>
        <v>1.5707898434564811</v>
      </c>
      <c r="K440" s="374">
        <f t="shared" si="185"/>
        <v>37.561981766343791</v>
      </c>
      <c r="L440" s="375">
        <f t="shared" si="186"/>
        <v>1.5441705174428995</v>
      </c>
      <c r="M440" s="363">
        <f t="shared" si="170"/>
        <v>1.5433112271118687</v>
      </c>
      <c r="N440" s="366">
        <f t="shared" si="171"/>
        <v>0.86589661544079655</v>
      </c>
      <c r="O440" s="367">
        <f t="shared" si="172"/>
        <v>1.0719026938380249</v>
      </c>
      <c r="P440" s="368">
        <f t="shared" si="173"/>
        <v>0.50201290103275253</v>
      </c>
      <c r="Q440" s="369">
        <f t="shared" si="174"/>
        <v>-18.882141260043589</v>
      </c>
      <c r="R440" s="370">
        <f t="shared" si="175"/>
        <v>-133.77630468473774</v>
      </c>
      <c r="S440" s="372">
        <f t="shared" si="176"/>
        <v>46.223695315262262</v>
      </c>
      <c r="U440" s="345">
        <f t="shared" si="182"/>
        <v>45448.75</v>
      </c>
      <c r="V440" s="345">
        <f t="shared" si="183"/>
        <v>2065588876.5625</v>
      </c>
      <c r="X440" s="371">
        <f t="shared" si="177"/>
        <v>12.058547799336825</v>
      </c>
      <c r="Y440" s="372">
        <f t="shared" si="178"/>
        <v>-51.137396651914123</v>
      </c>
      <c r="AA440" s="371">
        <f t="shared" si="179"/>
        <v>15.079910853899205</v>
      </c>
      <c r="AB440" s="372">
        <f t="shared" si="180"/>
        <v>-82.638908032823608</v>
      </c>
      <c r="AD440">
        <f t="shared" si="184"/>
        <v>0</v>
      </c>
      <c r="AE440">
        <f t="shared" si="187"/>
        <v>0</v>
      </c>
    </row>
    <row r="441" spans="1:31" x14ac:dyDescent="0.2">
      <c r="A441" s="373">
        <v>45709</v>
      </c>
      <c r="B441" s="390">
        <f t="shared" si="181"/>
        <v>45.709000000000003</v>
      </c>
      <c r="C441" s="363">
        <f t="shared" si="162"/>
        <v>60.067342579951045</v>
      </c>
      <c r="D441" s="364">
        <f t="shared" si="163"/>
        <v>1.5541475763199066</v>
      </c>
      <c r="E441" s="364">
        <f t="shared" si="164"/>
        <v>1.977444980801762</v>
      </c>
      <c r="F441" s="365">
        <f t="shared" si="165"/>
        <v>1.0405995970450024</v>
      </c>
      <c r="G441" s="364">
        <f t="shared" si="166"/>
        <v>1.0983987846544887</v>
      </c>
      <c r="H441" s="365">
        <f t="shared" si="167"/>
        <v>-0.4265074220739532</v>
      </c>
      <c r="I441" s="363">
        <f t="shared" si="168"/>
        <v>155124.74679756947</v>
      </c>
      <c r="J441" s="366">
        <f t="shared" si="169"/>
        <v>1.5707898803701923</v>
      </c>
      <c r="K441" s="374">
        <f t="shared" si="185"/>
        <v>37.776918302924145</v>
      </c>
      <c r="L441" s="375">
        <f t="shared" si="186"/>
        <v>1.544322043844059</v>
      </c>
      <c r="M441" s="363">
        <f t="shared" si="170"/>
        <v>1.5484443715074685</v>
      </c>
      <c r="N441" s="366">
        <f t="shared" si="171"/>
        <v>0.86871333973762366</v>
      </c>
      <c r="O441" s="367">
        <f t="shared" si="172"/>
        <v>1.072720243222093</v>
      </c>
      <c r="P441" s="368">
        <f t="shared" si="173"/>
        <v>0.50473743660890713</v>
      </c>
      <c r="Q441" s="369">
        <f t="shared" si="174"/>
        <v>-18.921916023644872</v>
      </c>
      <c r="R441" s="370">
        <f t="shared" si="175"/>
        <v>-134.07063533837652</v>
      </c>
      <c r="S441" s="372">
        <f t="shared" si="176"/>
        <v>45.929364661623481</v>
      </c>
      <c r="U441" s="345">
        <f t="shared" si="182"/>
        <v>45709</v>
      </c>
      <c r="V441" s="345">
        <f t="shared" si="183"/>
        <v>2089312681</v>
      </c>
      <c r="X441" s="371">
        <f t="shared" si="177"/>
        <v>12.029671003277588</v>
      </c>
      <c r="Y441" s="372">
        <f t="shared" si="178"/>
        <v>-51.290103358077374</v>
      </c>
      <c r="AA441" s="371">
        <f t="shared" si="179"/>
        <v>15.069012886357161</v>
      </c>
      <c r="AB441" s="372">
        <f t="shared" si="180"/>
        <v>-82.780531980299102</v>
      </c>
      <c r="AD441">
        <f t="shared" si="184"/>
        <v>0</v>
      </c>
      <c r="AE441">
        <f t="shared" si="187"/>
        <v>0</v>
      </c>
    </row>
    <row r="442" spans="1:31" x14ac:dyDescent="0.2">
      <c r="A442" s="373">
        <v>45975.25</v>
      </c>
      <c r="B442" s="390">
        <f t="shared" si="181"/>
        <v>45.975250000000003</v>
      </c>
      <c r="C442" s="363">
        <f t="shared" si="162"/>
        <v>60.41713168643043</v>
      </c>
      <c r="D442" s="364">
        <f t="shared" si="163"/>
        <v>1.5542439742263259</v>
      </c>
      <c r="E442" s="364">
        <f t="shared" si="164"/>
        <v>1.9860240763913311</v>
      </c>
      <c r="F442" s="365">
        <f t="shared" si="165"/>
        <v>1.0431298705900185</v>
      </c>
      <c r="G442" s="364">
        <f t="shared" si="166"/>
        <v>1.0994964038540143</v>
      </c>
      <c r="H442" s="365">
        <f t="shared" si="167"/>
        <v>-0.42869908250752542</v>
      </c>
      <c r="I442" s="363">
        <f t="shared" si="168"/>
        <v>156028.33173342765</v>
      </c>
      <c r="J442" s="366">
        <f t="shared" si="169"/>
        <v>1.5707899177024651</v>
      </c>
      <c r="K442" s="374">
        <f t="shared" si="185"/>
        <v>37.996811036026706</v>
      </c>
      <c r="L442" s="375">
        <f t="shared" si="186"/>
        <v>1.5444752896280833</v>
      </c>
      <c r="M442" s="363">
        <f t="shared" si="170"/>
        <v>1.5537084876296139</v>
      </c>
      <c r="N442" s="366">
        <f t="shared" si="171"/>
        <v>0.87157571924739141</v>
      </c>
      <c r="O442" s="367">
        <f t="shared" si="172"/>
        <v>1.0735612890890731</v>
      </c>
      <c r="P442" s="368">
        <f t="shared" si="173"/>
        <v>0.50752232448252399</v>
      </c>
      <c r="Q442" s="369">
        <f t="shared" si="174"/>
        <v>-18.962393405702208</v>
      </c>
      <c r="R442" s="370">
        <f t="shared" si="175"/>
        <v>-134.37154381891722</v>
      </c>
      <c r="S442" s="372">
        <f t="shared" si="176"/>
        <v>45.628456181082782</v>
      </c>
      <c r="U442" s="345">
        <f t="shared" si="182"/>
        <v>45975.25</v>
      </c>
      <c r="V442" s="345">
        <f t="shared" si="183"/>
        <v>2113723612.5625</v>
      </c>
      <c r="X442" s="371">
        <f t="shared" si="177"/>
        <v>12.000157248843895</v>
      </c>
      <c r="Y442" s="372">
        <f t="shared" si="178"/>
        <v>-51.445327425858075</v>
      </c>
      <c r="AA442" s="371">
        <f t="shared" si="179"/>
        <v>15.058049258733519</v>
      </c>
      <c r="AB442" s="372">
        <f t="shared" si="180"/>
        <v>-82.926216393059178</v>
      </c>
      <c r="AD442">
        <f t="shared" si="184"/>
        <v>0</v>
      </c>
      <c r="AE442">
        <f t="shared" si="187"/>
        <v>0</v>
      </c>
    </row>
    <row r="443" spans="1:31" x14ac:dyDescent="0.2">
      <c r="A443" s="373">
        <v>46241.5</v>
      </c>
      <c r="B443" s="390">
        <f t="shared" si="181"/>
        <v>46.241500000000002</v>
      </c>
      <c r="C443" s="363">
        <f t="shared" si="162"/>
        <v>60.766921347875957</v>
      </c>
      <c r="D443" s="364">
        <f t="shared" si="163"/>
        <v>1.5543392623525008</v>
      </c>
      <c r="E443" s="364">
        <f t="shared" si="164"/>
        <v>1.9946157776458038</v>
      </c>
      <c r="F443" s="365">
        <f t="shared" si="165"/>
        <v>1.0456383620429575</v>
      </c>
      <c r="G443" s="364">
        <f t="shared" si="166"/>
        <v>1.1005992937988114</v>
      </c>
      <c r="H443" s="365">
        <f t="shared" si="167"/>
        <v>-0.43088636098614708</v>
      </c>
      <c r="I443" s="363">
        <f t="shared" si="168"/>
        <v>156931.91666928603</v>
      </c>
      <c r="J443" s="366">
        <f t="shared" si="169"/>
        <v>1.5707899546048334</v>
      </c>
      <c r="K443" s="374">
        <f t="shared" si="185"/>
        <v>38.216704651188032</v>
      </c>
      <c r="L443" s="375">
        <f t="shared" si="186"/>
        <v>1.5446267719056808</v>
      </c>
      <c r="M443" s="363">
        <f t="shared" si="170"/>
        <v>1.5589852475929904</v>
      </c>
      <c r="N443" s="366">
        <f t="shared" si="171"/>
        <v>0.87441874509788819</v>
      </c>
      <c r="O443" s="367">
        <f t="shared" si="172"/>
        <v>1.0744070332388032</v>
      </c>
      <c r="P443" s="368">
        <f t="shared" si="173"/>
        <v>0.51030471404793776</v>
      </c>
      <c r="Q443" s="369">
        <f t="shared" si="174"/>
        <v>-19.002656750572978</v>
      </c>
      <c r="R443" s="370">
        <f t="shared" si="175"/>
        <v>-134.67223465948717</v>
      </c>
      <c r="S443" s="372">
        <f t="shared" si="176"/>
        <v>45.327765340512826</v>
      </c>
      <c r="U443" s="345">
        <f t="shared" si="182"/>
        <v>46241.5</v>
      </c>
      <c r="V443" s="345">
        <f t="shared" si="183"/>
        <v>2138276322.25</v>
      </c>
      <c r="X443" s="371">
        <f t="shared" si="177"/>
        <v>11.970673361680362</v>
      </c>
      <c r="Y443" s="372">
        <f t="shared" si="178"/>
        <v>-51.599543627486945</v>
      </c>
      <c r="AA443" s="371">
        <f t="shared" si="179"/>
        <v>15.047269801026282</v>
      </c>
      <c r="AB443" s="372">
        <f t="shared" si="180"/>
        <v>-83.072691032000293</v>
      </c>
      <c r="AD443">
        <f t="shared" si="184"/>
        <v>0</v>
      </c>
      <c r="AE443">
        <f t="shared" si="187"/>
        <v>0</v>
      </c>
    </row>
    <row r="444" spans="1:31" x14ac:dyDescent="0.2">
      <c r="A444" s="373">
        <v>46507.75</v>
      </c>
      <c r="B444" s="390">
        <f t="shared" si="181"/>
        <v>46.507750000000001</v>
      </c>
      <c r="C444" s="363">
        <f t="shared" si="162"/>
        <v>61.116711554758915</v>
      </c>
      <c r="D444" s="364">
        <f t="shared" si="163"/>
        <v>1.5544334597515526</v>
      </c>
      <c r="E444" s="364">
        <f t="shared" si="164"/>
        <v>2.0032199223701546</v>
      </c>
      <c r="F444" s="365">
        <f t="shared" si="165"/>
        <v>1.0481253203025118</v>
      </c>
      <c r="G444" s="364">
        <f t="shared" si="166"/>
        <v>1.1017074386596724</v>
      </c>
      <c r="H444" s="365">
        <f t="shared" si="167"/>
        <v>-0.43306924977258249</v>
      </c>
      <c r="I444" s="363">
        <f t="shared" si="168"/>
        <v>157835.50160514467</v>
      </c>
      <c r="J444" s="366">
        <f t="shared" si="169"/>
        <v>1.5707899910846803</v>
      </c>
      <c r="K444" s="374">
        <f t="shared" si="185"/>
        <v>38.436599133269489</v>
      </c>
      <c r="L444" s="375">
        <f t="shared" si="186"/>
        <v>1.5447765209367208</v>
      </c>
      <c r="M444" s="363">
        <f t="shared" si="170"/>
        <v>1.5642745234433706</v>
      </c>
      <c r="N444" s="366">
        <f t="shared" si="171"/>
        <v>0.87724256741817197</v>
      </c>
      <c r="O444" s="367">
        <f t="shared" si="172"/>
        <v>1.0752574728764257</v>
      </c>
      <c r="P444" s="368">
        <f t="shared" si="173"/>
        <v>0.51308459625347236</v>
      </c>
      <c r="Q444" s="369">
        <f t="shared" si="174"/>
        <v>-19.042708807329188</v>
      </c>
      <c r="R444" s="370">
        <f t="shared" si="175"/>
        <v>-134.97270059739316</v>
      </c>
      <c r="S444" s="372">
        <f t="shared" si="176"/>
        <v>45.027299402606843</v>
      </c>
      <c r="U444" s="345">
        <f t="shared" si="182"/>
        <v>46507.75</v>
      </c>
      <c r="V444" s="345">
        <f t="shared" si="183"/>
        <v>2162970810.0625</v>
      </c>
      <c r="X444" s="371">
        <f t="shared" si="177"/>
        <v>11.941220079150224</v>
      </c>
      <c r="Y444" s="372">
        <f t="shared" si="178"/>
        <v>-51.752758831385627</v>
      </c>
      <c r="AA444" s="371">
        <f t="shared" si="179"/>
        <v>15.036671026800212</v>
      </c>
      <c r="AB444" s="372">
        <f t="shared" si="180"/>
        <v>-83.219941766007494</v>
      </c>
      <c r="AD444">
        <f t="shared" si="184"/>
        <v>0</v>
      </c>
      <c r="AE444">
        <f t="shared" si="187"/>
        <v>0</v>
      </c>
    </row>
    <row r="445" spans="1:31" x14ac:dyDescent="0.2">
      <c r="A445" s="373">
        <v>46774</v>
      </c>
      <c r="B445" s="390">
        <f t="shared" si="181"/>
        <v>46.774000000000001</v>
      </c>
      <c r="C445" s="363">
        <f t="shared" si="162"/>
        <v>61.466502297767455</v>
      </c>
      <c r="D445" s="364">
        <f t="shared" si="163"/>
        <v>1.5545265850429746</v>
      </c>
      <c r="E445" s="364">
        <f t="shared" si="164"/>
        <v>2.0118363509111212</v>
      </c>
      <c r="F445" s="365">
        <f t="shared" si="165"/>
        <v>1.0505909910780915</v>
      </c>
      <c r="G445" s="364">
        <f t="shared" si="166"/>
        <v>1.1028208225957423</v>
      </c>
      <c r="H445" s="365">
        <f t="shared" si="167"/>
        <v>-0.4352477413279543</v>
      </c>
      <c r="I445" s="363">
        <f t="shared" si="168"/>
        <v>158739.08654100346</v>
      </c>
      <c r="J445" s="366">
        <f t="shared" si="169"/>
        <v>1.5707900271492214</v>
      </c>
      <c r="K445" s="374">
        <f t="shared" si="185"/>
        <v>38.656494467476854</v>
      </c>
      <c r="L445" s="375">
        <f t="shared" si="186"/>
        <v>1.544924566292861</v>
      </c>
      <c r="M445" s="363">
        <f t="shared" si="170"/>
        <v>1.5695761886498285</v>
      </c>
      <c r="N445" s="366">
        <f t="shared" si="171"/>
        <v>0.88004733554111569</v>
      </c>
      <c r="O445" s="367">
        <f t="shared" si="172"/>
        <v>1.0761126052022705</v>
      </c>
      <c r="P445" s="368">
        <f t="shared" si="173"/>
        <v>0.5158619621221826</v>
      </c>
      <c r="Q445" s="369">
        <f t="shared" si="174"/>
        <v>-19.08255226942358</v>
      </c>
      <c r="R445" s="370">
        <f t="shared" si="175"/>
        <v>-135.27293453727972</v>
      </c>
      <c r="S445" s="372">
        <f t="shared" si="176"/>
        <v>44.727065462720276</v>
      </c>
      <c r="U445" s="345">
        <f t="shared" si="182"/>
        <v>46774</v>
      </c>
      <c r="V445" s="345">
        <f t="shared" si="183"/>
        <v>2187807076</v>
      </c>
      <c r="X445" s="371">
        <f t="shared" si="177"/>
        <v>11.911798120411248</v>
      </c>
      <c r="Y445" s="372">
        <f t="shared" si="178"/>
        <v>-51.904979899779718</v>
      </c>
      <c r="AA445" s="371">
        <f t="shared" si="179"/>
        <v>15.0262495234448</v>
      </c>
      <c r="AB445" s="372">
        <f t="shared" si="180"/>
        <v>-83.367954637500034</v>
      </c>
      <c r="AD445">
        <f t="shared" si="184"/>
        <v>0</v>
      </c>
      <c r="AE445">
        <f t="shared" si="187"/>
        <v>0</v>
      </c>
    </row>
    <row r="446" spans="1:31" x14ac:dyDescent="0.2">
      <c r="A446" s="373">
        <v>47046.25</v>
      </c>
      <c r="B446" s="390">
        <f t="shared" si="181"/>
        <v>47.046250000000001</v>
      </c>
      <c r="C446" s="363">
        <f t="shared" si="162"/>
        <v>61.824176193972903</v>
      </c>
      <c r="D446" s="364">
        <f t="shared" si="163"/>
        <v>1.5546207192692356</v>
      </c>
      <c r="E446" s="364">
        <f t="shared" si="164"/>
        <v>2.0206594909386051</v>
      </c>
      <c r="F446" s="365">
        <f t="shared" si="165"/>
        <v>1.0530904664822167</v>
      </c>
      <c r="G446" s="364">
        <f t="shared" si="166"/>
        <v>1.1039646978603015</v>
      </c>
      <c r="H446" s="365">
        <f t="shared" si="167"/>
        <v>-0.43747077101688264</v>
      </c>
      <c r="I446" s="363">
        <f t="shared" si="168"/>
        <v>159663.03395429029</v>
      </c>
      <c r="J446" s="366">
        <f t="shared" si="169"/>
        <v>1.5707900636043808</v>
      </c>
      <c r="K446" s="374">
        <f t="shared" si="185"/>
        <v>38.88134605558146</v>
      </c>
      <c r="L446" s="375">
        <f t="shared" si="186"/>
        <v>1.5450742162937794</v>
      </c>
      <c r="M446" s="363">
        <f t="shared" si="170"/>
        <v>1.5750100089524426</v>
      </c>
      <c r="N446" s="366">
        <f t="shared" si="171"/>
        <v>0.88289576131585945</v>
      </c>
      <c r="O446" s="367">
        <f t="shared" si="172"/>
        <v>1.0769918576999407</v>
      </c>
      <c r="P446" s="368">
        <f t="shared" si="173"/>
        <v>0.51869930520833796</v>
      </c>
      <c r="Q446" s="369">
        <f t="shared" si="174"/>
        <v>-19.12308066307088</v>
      </c>
      <c r="R446" s="370">
        <f t="shared" si="175"/>
        <v>-135.57968719304392</v>
      </c>
      <c r="S446" s="372">
        <f t="shared" si="176"/>
        <v>44.420312806956076</v>
      </c>
      <c r="U446" s="345">
        <f t="shared" si="182"/>
        <v>47046.25</v>
      </c>
      <c r="V446" s="345">
        <f t="shared" si="183"/>
        <v>2213349639.0625</v>
      </c>
      <c r="X446" s="371">
        <f t="shared" si="177"/>
        <v>11.881746252687407</v>
      </c>
      <c r="Y446" s="372">
        <f t="shared" si="178"/>
        <v>-52.059610450375523</v>
      </c>
      <c r="AA446" s="371">
        <f t="shared" si="179"/>
        <v>15.015772997521342</v>
      </c>
      <c r="AB446" s="372">
        <f t="shared" si="180"/>
        <v>-83.520076742668422</v>
      </c>
      <c r="AD446">
        <f t="shared" si="184"/>
        <v>0</v>
      </c>
      <c r="AE446">
        <f t="shared" si="187"/>
        <v>0</v>
      </c>
    </row>
    <row r="447" spans="1:31" x14ac:dyDescent="0.2">
      <c r="A447" s="373">
        <v>47318.5</v>
      </c>
      <c r="B447" s="390">
        <f t="shared" si="181"/>
        <v>47.3185</v>
      </c>
      <c r="C447" s="363">
        <f t="shared" si="162"/>
        <v>62.181850631715569</v>
      </c>
      <c r="D447" s="364">
        <f t="shared" si="163"/>
        <v>1.5547137705627525</v>
      </c>
      <c r="E447" s="364">
        <f t="shared" si="164"/>
        <v>2.0294951449795287</v>
      </c>
      <c r="F447" s="365">
        <f t="shared" si="165"/>
        <v>1.0555681937130248</v>
      </c>
      <c r="G447" s="364">
        <f t="shared" si="166"/>
        <v>1.1051140174552483</v>
      </c>
      <c r="H447" s="365">
        <f t="shared" si="167"/>
        <v>-0.43968918774412002</v>
      </c>
      <c r="I447" s="363">
        <f t="shared" si="168"/>
        <v>160586.98136757733</v>
      </c>
      <c r="J447" s="366">
        <f t="shared" si="169"/>
        <v>1.5707900996400457</v>
      </c>
      <c r="K447" s="374">
        <f t="shared" si="185"/>
        <v>39.106198504425336</v>
      </c>
      <c r="L447" s="375">
        <f t="shared" si="186"/>
        <v>1.5452221453856705</v>
      </c>
      <c r="M447" s="363">
        <f t="shared" si="170"/>
        <v>1.5804565202137637</v>
      </c>
      <c r="N447" s="366">
        <f t="shared" si="171"/>
        <v>0.88572457763003132</v>
      </c>
      <c r="O447" s="367">
        <f t="shared" si="172"/>
        <v>1.0778760108350749</v>
      </c>
      <c r="P447" s="368">
        <f t="shared" si="173"/>
        <v>0.52153399852271132</v>
      </c>
      <c r="Q447" s="369">
        <f t="shared" si="174"/>
        <v>-19.163396479072855</v>
      </c>
      <c r="R447" s="370">
        <f t="shared" si="175"/>
        <v>-135.88618279335921</v>
      </c>
      <c r="S447" s="372">
        <f t="shared" si="176"/>
        <v>44.113817206640789</v>
      </c>
      <c r="U447" s="345">
        <f t="shared" si="182"/>
        <v>47318.5</v>
      </c>
      <c r="V447" s="345">
        <f t="shared" si="183"/>
        <v>2239040442.25</v>
      </c>
      <c r="X447" s="371">
        <f t="shared" si="177"/>
        <v>11.851728600350594</v>
      </c>
      <c r="Y447" s="372">
        <f t="shared" si="178"/>
        <v>-52.213216038429778</v>
      </c>
      <c r="AA447" s="371">
        <f t="shared" si="179"/>
        <v>15.005474833856173</v>
      </c>
      <c r="AB447" s="372">
        <f t="shared" si="180"/>
        <v>-83.672966754929405</v>
      </c>
      <c r="AD447">
        <f t="shared" si="184"/>
        <v>0</v>
      </c>
      <c r="AE447">
        <f t="shared" si="187"/>
        <v>0</v>
      </c>
    </row>
    <row r="448" spans="1:31" x14ac:dyDescent="0.2">
      <c r="A448" s="373">
        <v>47590.75</v>
      </c>
      <c r="B448" s="390">
        <f t="shared" si="181"/>
        <v>47.59075</v>
      </c>
      <c r="C448" s="363">
        <f t="shared" si="162"/>
        <v>62.539525601704021</v>
      </c>
      <c r="D448" s="364">
        <f t="shared" si="163"/>
        <v>1.554805757502371</v>
      </c>
      <c r="E448" s="364">
        <f t="shared" si="164"/>
        <v>2.0383431502995326</v>
      </c>
      <c r="F448" s="365">
        <f t="shared" si="165"/>
        <v>1.0580244253615843</v>
      </c>
      <c r="G448" s="364">
        <f t="shared" si="166"/>
        <v>1.1062687644119877</v>
      </c>
      <c r="H448" s="365">
        <f t="shared" si="167"/>
        <v>-0.44190298408587586</v>
      </c>
      <c r="I448" s="363">
        <f t="shared" si="168"/>
        <v>161510.92878086457</v>
      </c>
      <c r="J448" s="366">
        <f t="shared" si="169"/>
        <v>1.5707901352634159</v>
      </c>
      <c r="K448" s="374">
        <f t="shared" si="185"/>
        <v>39.331051799246133</v>
      </c>
      <c r="L448" s="375">
        <f t="shared" si="186"/>
        <v>1.5453683830770086</v>
      </c>
      <c r="M448" s="363">
        <f t="shared" si="170"/>
        <v>1.5859155916800862</v>
      </c>
      <c r="N448" s="366">
        <f t="shared" si="171"/>
        <v>0.88853394147653098</v>
      </c>
      <c r="O448" s="367">
        <f t="shared" si="172"/>
        <v>1.0787650615997402</v>
      </c>
      <c r="P448" s="368">
        <f t="shared" si="173"/>
        <v>0.52436603270988291</v>
      </c>
      <c r="Q448" s="369">
        <f t="shared" si="174"/>
        <v>-19.20350242644275</v>
      </c>
      <c r="R448" s="370">
        <f t="shared" si="175"/>
        <v>-136.19241427366688</v>
      </c>
      <c r="S448" s="372">
        <f t="shared" si="176"/>
        <v>43.807585726333116</v>
      </c>
      <c r="U448" s="345">
        <f t="shared" si="182"/>
        <v>47590.75</v>
      </c>
      <c r="V448" s="345">
        <f t="shared" si="183"/>
        <v>2264879485.5625</v>
      </c>
      <c r="X448" s="371">
        <f t="shared" si="177"/>
        <v>11.821745875279747</v>
      </c>
      <c r="Y448" s="372">
        <f t="shared" si="178"/>
        <v>-52.36580396867457</v>
      </c>
      <c r="AA448" s="371">
        <f t="shared" si="179"/>
        <v>14.995351611557124</v>
      </c>
      <c r="AB448" s="372">
        <f t="shared" si="180"/>
        <v>-83.826610304992329</v>
      </c>
      <c r="AD448">
        <f t="shared" si="184"/>
        <v>0</v>
      </c>
      <c r="AE448">
        <f t="shared" si="187"/>
        <v>0</v>
      </c>
    </row>
    <row r="449" spans="1:31" x14ac:dyDescent="0.2">
      <c r="A449" s="373">
        <v>47863</v>
      </c>
      <c r="B449" s="390">
        <f t="shared" si="181"/>
        <v>47.863</v>
      </c>
      <c r="C449" s="363">
        <f t="shared" si="162"/>
        <v>62.897201094858161</v>
      </c>
      <c r="D449" s="364">
        <f t="shared" si="163"/>
        <v>1.5548966982444019</v>
      </c>
      <c r="E449" s="364">
        <f t="shared" si="164"/>
        <v>2.0472033467520752</v>
      </c>
      <c r="F449" s="365">
        <f t="shared" si="165"/>
        <v>1.0604594106928003</v>
      </c>
      <c r="G449" s="364">
        <f t="shared" si="166"/>
        <v>1.1074289217527364</v>
      </c>
      <c r="H449" s="365">
        <f t="shared" si="167"/>
        <v>-0.44411215283040145</v>
      </c>
      <c r="I449" s="363">
        <f t="shared" si="168"/>
        <v>162434.87619415202</v>
      </c>
      <c r="J449" s="366">
        <f t="shared" si="169"/>
        <v>1.570790170481527</v>
      </c>
      <c r="K449" s="374">
        <f t="shared" si="185"/>
        <v>39.555905925617125</v>
      </c>
      <c r="L449" s="375">
        <f t="shared" si="186"/>
        <v>1.5455129582056022</v>
      </c>
      <c r="M449" s="363">
        <f t="shared" si="170"/>
        <v>1.5913870940923742</v>
      </c>
      <c r="N449" s="366">
        <f t="shared" si="171"/>
        <v>0.89132400892484587</v>
      </c>
      <c r="O449" s="367">
        <f t="shared" si="172"/>
        <v>1.0796590069813619</v>
      </c>
      <c r="P449" s="368">
        <f t="shared" si="173"/>
        <v>0.52719539849597974</v>
      </c>
      <c r="Q449" s="369">
        <f t="shared" si="174"/>
        <v>-19.243401159791077</v>
      </c>
      <c r="R449" s="370">
        <f t="shared" si="175"/>
        <v>-136.49837473810473</v>
      </c>
      <c r="S449" s="372">
        <f t="shared" si="176"/>
        <v>43.501625261895271</v>
      </c>
      <c r="U449" s="345">
        <f t="shared" si="182"/>
        <v>47863</v>
      </c>
      <c r="V449" s="345">
        <f t="shared" si="183"/>
        <v>2290866769</v>
      </c>
      <c r="X449" s="371">
        <f t="shared" si="177"/>
        <v>11.791798770821515</v>
      </c>
      <c r="Y449" s="372">
        <f t="shared" si="178"/>
        <v>-52.517381531351219</v>
      </c>
      <c r="AA449" s="371">
        <f t="shared" si="179"/>
        <v>14.985399982667033</v>
      </c>
      <c r="AB449" s="372">
        <f t="shared" si="180"/>
        <v>-83.980993206753553</v>
      </c>
      <c r="AD449">
        <f t="shared" si="184"/>
        <v>0</v>
      </c>
      <c r="AE449">
        <f t="shared" si="187"/>
        <v>0</v>
      </c>
    </row>
    <row r="450" spans="1:31" x14ac:dyDescent="0.2">
      <c r="A450" s="373">
        <v>48141.75</v>
      </c>
      <c r="B450" s="390">
        <f t="shared" si="181"/>
        <v>48.141750000000002</v>
      </c>
      <c r="C450" s="363">
        <f t="shared" si="162"/>
        <v>63.26341666425057</v>
      </c>
      <c r="D450" s="364">
        <f t="shared" si="163"/>
        <v>1.5549887447743151</v>
      </c>
      <c r="E450" s="364">
        <f t="shared" si="164"/>
        <v>2.0562875480381515</v>
      </c>
      <c r="F450" s="365">
        <f t="shared" si="165"/>
        <v>1.0629307751845243</v>
      </c>
      <c r="G450" s="364">
        <f t="shared" si="166"/>
        <v>1.1086223659301366</v>
      </c>
      <c r="H450" s="365">
        <f t="shared" si="167"/>
        <v>-0.44636926377942071</v>
      </c>
      <c r="I450" s="363">
        <f t="shared" si="168"/>
        <v>163380.88295798647</v>
      </c>
      <c r="J450" s="366">
        <f t="shared" si="169"/>
        <v>1.5707902061277665</v>
      </c>
      <c r="K450" s="374">
        <f t="shared" si="185"/>
        <v>39.786129316908294</v>
      </c>
      <c r="L450" s="375">
        <f t="shared" si="186"/>
        <v>1.5456592919365579</v>
      </c>
      <c r="M450" s="363">
        <f t="shared" si="170"/>
        <v>1.597001975490268</v>
      </c>
      <c r="N450" s="366">
        <f t="shared" si="171"/>
        <v>0.894160858608264</v>
      </c>
      <c r="O450" s="367">
        <f t="shared" si="172"/>
        <v>1.0805793635619918</v>
      </c>
      <c r="P450" s="368">
        <f t="shared" si="173"/>
        <v>0.53008954139132713</v>
      </c>
      <c r="Q450" s="369">
        <f t="shared" si="174"/>
        <v>-19.284040502754166</v>
      </c>
      <c r="R450" s="370">
        <f t="shared" si="175"/>
        <v>-136.81135221678153</v>
      </c>
      <c r="S450" s="372">
        <f t="shared" si="176"/>
        <v>43.188647783218471</v>
      </c>
      <c r="U450" s="345">
        <f t="shared" si="182"/>
        <v>48141.75</v>
      </c>
      <c r="V450" s="345">
        <f t="shared" si="183"/>
        <v>2317628093.0625</v>
      </c>
      <c r="X450" s="371">
        <f t="shared" si="177"/>
        <v>11.761174287218543</v>
      </c>
      <c r="Y450" s="372">
        <f t="shared" si="178"/>
        <v>-52.671538782695151</v>
      </c>
      <c r="AA450" s="371">
        <f t="shared" si="179"/>
        <v>14.97538512330692</v>
      </c>
      <c r="AB450" s="372">
        <f t="shared" si="180"/>
        <v>-84.139813434086363</v>
      </c>
      <c r="AD450">
        <f t="shared" si="184"/>
        <v>0</v>
      </c>
      <c r="AE450">
        <f t="shared" si="187"/>
        <v>0</v>
      </c>
    </row>
    <row r="451" spans="1:31" x14ac:dyDescent="0.2">
      <c r="A451" s="373">
        <v>48420.5</v>
      </c>
      <c r="B451" s="390">
        <f t="shared" si="181"/>
        <v>48.420499999999997</v>
      </c>
      <c r="C451" s="363">
        <f t="shared" si="162"/>
        <v>63.629632763476451</v>
      </c>
      <c r="D451" s="364">
        <f t="shared" si="163"/>
        <v>1.5550797317696883</v>
      </c>
      <c r="E451" s="364">
        <f t="shared" si="164"/>
        <v>2.0653841978714551</v>
      </c>
      <c r="F451" s="365">
        <f t="shared" si="165"/>
        <v>1.065380385079596</v>
      </c>
      <c r="G451" s="364">
        <f t="shared" si="166"/>
        <v>1.1098214458756819</v>
      </c>
      <c r="H451" s="365">
        <f t="shared" si="167"/>
        <v>-0.44862150889929725</v>
      </c>
      <c r="I451" s="363">
        <f t="shared" si="168"/>
        <v>164326.88972182115</v>
      </c>
      <c r="J451" s="366">
        <f t="shared" si="169"/>
        <v>1.5707902413635852</v>
      </c>
      <c r="K451" s="374">
        <f t="shared" si="185"/>
        <v>40.016353550359071</v>
      </c>
      <c r="L451" s="375">
        <f t="shared" si="186"/>
        <v>1.5458039418804284</v>
      </c>
      <c r="M451" s="363">
        <f t="shared" si="170"/>
        <v>1.6026296189900291</v>
      </c>
      <c r="N451" s="366">
        <f t="shared" si="171"/>
        <v>0.89697780760004564</v>
      </c>
      <c r="O451" s="367">
        <f t="shared" si="172"/>
        <v>1.0815048448627702</v>
      </c>
      <c r="P451" s="368">
        <f t="shared" si="173"/>
        <v>0.53298086753340934</v>
      </c>
      <c r="Q451" s="369">
        <f t="shared" si="174"/>
        <v>-19.324468082902825</v>
      </c>
      <c r="R451" s="370">
        <f t="shared" si="175"/>
        <v>-137.12403148036401</v>
      </c>
      <c r="S451" s="372">
        <f t="shared" si="176"/>
        <v>42.87596851963599</v>
      </c>
      <c r="U451" s="345">
        <f t="shared" si="182"/>
        <v>48420.5</v>
      </c>
      <c r="V451" s="345">
        <f t="shared" si="183"/>
        <v>2344544820.25</v>
      </c>
      <c r="X451" s="371">
        <f t="shared" si="177"/>
        <v>11.730588558397908</v>
      </c>
      <c r="Y451" s="372">
        <f t="shared" si="178"/>
        <v>-52.824652258775956</v>
      </c>
      <c r="AA451" s="371">
        <f t="shared" si="179"/>
        <v>14.965543271978889</v>
      </c>
      <c r="AB451" s="372">
        <f t="shared" si="180"/>
        <v>-84.299379221588055</v>
      </c>
      <c r="AD451">
        <f t="shared" si="184"/>
        <v>0</v>
      </c>
      <c r="AE451">
        <f t="shared" si="187"/>
        <v>0</v>
      </c>
    </row>
    <row r="452" spans="1:31" x14ac:dyDescent="0.2">
      <c r="A452" s="373">
        <v>48699.25</v>
      </c>
      <c r="B452" s="390">
        <f t="shared" si="181"/>
        <v>48.699249999999999</v>
      </c>
      <c r="C452" s="363">
        <f t="shared" si="162"/>
        <v>63.995849383439889</v>
      </c>
      <c r="D452" s="364">
        <f t="shared" si="163"/>
        <v>1.5551696774185795</v>
      </c>
      <c r="E452" s="364">
        <f t="shared" si="164"/>
        <v>2.0744931324914009</v>
      </c>
      <c r="F452" s="365">
        <f t="shared" si="165"/>
        <v>1.0678084973533186</v>
      </c>
      <c r="G452" s="364">
        <f t="shared" si="166"/>
        <v>1.1110261433420885</v>
      </c>
      <c r="H452" s="365">
        <f t="shared" si="167"/>
        <v>-0.45086888113197637</v>
      </c>
      <c r="I452" s="363">
        <f t="shared" si="168"/>
        <v>165272.89648565601</v>
      </c>
      <c r="J452" s="366">
        <f t="shared" si="169"/>
        <v>1.5707902761960308</v>
      </c>
      <c r="K452" s="374">
        <f t="shared" si="185"/>
        <v>40.246578611517137</v>
      </c>
      <c r="L452" s="375">
        <f t="shared" si="186"/>
        <v>1.5459469369267305</v>
      </c>
      <c r="M452" s="363">
        <f t="shared" si="170"/>
        <v>1.6082698906205675</v>
      </c>
      <c r="N452" s="366">
        <f t="shared" si="171"/>
        <v>0.89977502033647083</v>
      </c>
      <c r="O452" s="367">
        <f t="shared" si="172"/>
        <v>1.0824354476360494</v>
      </c>
      <c r="P452" s="368">
        <f t="shared" si="173"/>
        <v>0.53586936723348644</v>
      </c>
      <c r="Q452" s="369">
        <f t="shared" si="174"/>
        <v>-19.364686581888392</v>
      </c>
      <c r="R452" s="370">
        <f t="shared" si="175"/>
        <v>-137.43640565449155</v>
      </c>
      <c r="S452" s="372">
        <f t="shared" si="176"/>
        <v>42.563594345508449</v>
      </c>
      <c r="U452" s="345">
        <f t="shared" si="182"/>
        <v>48699.25</v>
      </c>
      <c r="V452" s="345">
        <f t="shared" si="183"/>
        <v>2371616950.5625</v>
      </c>
      <c r="X452" s="371">
        <f t="shared" si="177"/>
        <v>11.700042270371046</v>
      </c>
      <c r="Y452" s="372">
        <f t="shared" si="178"/>
        <v>-52.976729726254874</v>
      </c>
      <c r="AA452" s="371">
        <f t="shared" si="179"/>
        <v>14.955871061020186</v>
      </c>
      <c r="AB452" s="372">
        <f t="shared" si="180"/>
        <v>-84.459675928236663</v>
      </c>
      <c r="AD452">
        <f t="shared" si="184"/>
        <v>0</v>
      </c>
      <c r="AE452">
        <f t="shared" si="187"/>
        <v>0</v>
      </c>
    </row>
    <row r="453" spans="1:31" x14ac:dyDescent="0.2">
      <c r="A453" s="373">
        <v>48978</v>
      </c>
      <c r="B453" s="390">
        <f t="shared" si="181"/>
        <v>48.978000000000002</v>
      </c>
      <c r="C453" s="363">
        <f t="shared" si="162"/>
        <v>64.362066515251968</v>
      </c>
      <c r="D453" s="364">
        <f t="shared" si="163"/>
        <v>1.5552585994951582</v>
      </c>
      <c r="E453" s="364">
        <f t="shared" si="164"/>
        <v>2.0836141907818164</v>
      </c>
      <c r="F453" s="365">
        <f t="shared" si="165"/>
        <v>1.0702153655044087</v>
      </c>
      <c r="G453" s="364">
        <f t="shared" si="166"/>
        <v>1.1122364400758284</v>
      </c>
      <c r="H453" s="365">
        <f t="shared" si="167"/>
        <v>-0.45311137364680099</v>
      </c>
      <c r="I453" s="363">
        <f t="shared" si="168"/>
        <v>166218.90324949109</v>
      </c>
      <c r="J453" s="366">
        <f t="shared" si="169"/>
        <v>1.5707903106319907</v>
      </c>
      <c r="K453" s="374">
        <f t="shared" si="185"/>
        <v>40.476804486258914</v>
      </c>
      <c r="L453" s="375">
        <f t="shared" si="186"/>
        <v>1.546088305307979</v>
      </c>
      <c r="M453" s="363">
        <f t="shared" si="170"/>
        <v>1.613922657985047</v>
      </c>
      <c r="N453" s="366">
        <f t="shared" si="171"/>
        <v>0.90255266019319247</v>
      </c>
      <c r="O453" s="367">
        <f t="shared" si="172"/>
        <v>1.0833711686297691</v>
      </c>
      <c r="P453" s="368">
        <f t="shared" si="173"/>
        <v>0.53875503089217469</v>
      </c>
      <c r="Q453" s="369">
        <f t="shared" si="174"/>
        <v>-19.404698627888088</v>
      </c>
      <c r="R453" s="370">
        <f t="shared" si="175"/>
        <v>-137.74846803529641</v>
      </c>
      <c r="S453" s="372">
        <f t="shared" si="176"/>
        <v>42.251531964703588</v>
      </c>
      <c r="U453" s="345">
        <f t="shared" si="182"/>
        <v>48978</v>
      </c>
      <c r="V453" s="345">
        <f t="shared" si="183"/>
        <v>2398844484</v>
      </c>
      <c r="X453" s="371">
        <f t="shared" si="177"/>
        <v>11.669536090251178</v>
      </c>
      <c r="Y453" s="372">
        <f t="shared" si="178"/>
        <v>-53.127778928657953</v>
      </c>
      <c r="AA453" s="371">
        <f t="shared" si="179"/>
        <v>14.946365195140359</v>
      </c>
      <c r="AB453" s="372">
        <f t="shared" si="180"/>
        <v>-84.620689106638466</v>
      </c>
      <c r="AD453">
        <f t="shared" si="184"/>
        <v>0</v>
      </c>
      <c r="AE453">
        <f t="shared" si="187"/>
        <v>0</v>
      </c>
    </row>
    <row r="454" spans="1:31" x14ac:dyDescent="0.2">
      <c r="A454" s="373">
        <v>49263.25</v>
      </c>
      <c r="B454" s="390">
        <f t="shared" si="181"/>
        <v>49.263249999999999</v>
      </c>
      <c r="C454" s="363">
        <f t="shared" si="162"/>
        <v>64.736823760203706</v>
      </c>
      <c r="D454" s="364">
        <f t="shared" si="163"/>
        <v>1.5553485535600742</v>
      </c>
      <c r="E454" s="364">
        <f t="shared" si="164"/>
        <v>2.0929603230825284</v>
      </c>
      <c r="F454" s="365">
        <f t="shared" si="165"/>
        <v>1.0726566258421268</v>
      </c>
      <c r="G454" s="364">
        <f t="shared" si="166"/>
        <v>1.11348073656461</v>
      </c>
      <c r="H454" s="365">
        <f t="shared" si="167"/>
        <v>-0.45540109885236024</v>
      </c>
      <c r="I454" s="363">
        <f t="shared" si="168"/>
        <v>167186.96936387316</v>
      </c>
      <c r="J454" s="366">
        <f t="shared" si="169"/>
        <v>1.5707903454675012</v>
      </c>
      <c r="K454" s="374">
        <f t="shared" si="185"/>
        <v>40.712399684596811</v>
      </c>
      <c r="L454" s="375">
        <f t="shared" si="186"/>
        <v>1.5462313149525595</v>
      </c>
      <c r="M454" s="363">
        <f t="shared" si="170"/>
        <v>1.6197200384654307</v>
      </c>
      <c r="N454" s="366">
        <f t="shared" si="171"/>
        <v>0.90537497664039635</v>
      </c>
      <c r="O454" s="367">
        <f t="shared" si="172"/>
        <v>1.084334004364077</v>
      </c>
      <c r="P454" s="368">
        <f t="shared" si="173"/>
        <v>0.5417050376373016</v>
      </c>
      <c r="Q454" s="369">
        <f t="shared" si="174"/>
        <v>-19.44543264726849</v>
      </c>
      <c r="R454" s="370">
        <f t="shared" si="175"/>
        <v>-138.06747760417963</v>
      </c>
      <c r="S454" s="372">
        <f t="shared" si="176"/>
        <v>41.932522395820371</v>
      </c>
      <c r="U454" s="345">
        <f t="shared" si="182"/>
        <v>49263.25</v>
      </c>
      <c r="V454" s="345">
        <f t="shared" si="183"/>
        <v>2426867800.5625</v>
      </c>
      <c r="X454" s="371">
        <f t="shared" si="177"/>
        <v>11.638360753491579</v>
      </c>
      <c r="Y454" s="372">
        <f t="shared" si="178"/>
        <v>-53.281293896572123</v>
      </c>
      <c r="AA454" s="371">
        <f t="shared" si="179"/>
        <v>14.936806512519556</v>
      </c>
      <c r="AB454" s="372">
        <f t="shared" si="180"/>
        <v>-84.786183707607549</v>
      </c>
      <c r="AD454">
        <f t="shared" si="184"/>
        <v>0</v>
      </c>
      <c r="AE454">
        <f t="shared" si="187"/>
        <v>0</v>
      </c>
    </row>
    <row r="455" spans="1:31" x14ac:dyDescent="0.2">
      <c r="A455" s="373">
        <v>49548.5</v>
      </c>
      <c r="B455" s="390">
        <f t="shared" si="181"/>
        <v>49.548499999999997</v>
      </c>
      <c r="C455" s="363">
        <f t="shared" si="162"/>
        <v>65.11158152295863</v>
      </c>
      <c r="D455" s="364">
        <f t="shared" si="163"/>
        <v>1.555437472142204</v>
      </c>
      <c r="E455" s="364">
        <f t="shared" si="164"/>
        <v>2.1023188179592891</v>
      </c>
      <c r="F455" s="365">
        <f t="shared" si="165"/>
        <v>1.075076165899564</v>
      </c>
      <c r="G455" s="364">
        <f t="shared" si="166"/>
        <v>1.1147308578059281</v>
      </c>
      <c r="H455" s="365">
        <f t="shared" si="167"/>
        <v>-0.45768570036276207</v>
      </c>
      <c r="I455" s="363">
        <f t="shared" si="168"/>
        <v>168155.03547825548</v>
      </c>
      <c r="J455" s="366">
        <f t="shared" si="169"/>
        <v>1.5707903799019167</v>
      </c>
      <c r="K455" s="374">
        <f t="shared" si="185"/>
        <v>40.947995705993634</v>
      </c>
      <c r="L455" s="375">
        <f t="shared" si="186"/>
        <v>1.5463726789759529</v>
      </c>
      <c r="M455" s="363">
        <f t="shared" si="170"/>
        <v>1.6255302286900906</v>
      </c>
      <c r="N455" s="366">
        <f t="shared" si="171"/>
        <v>0.90817713946437684</v>
      </c>
      <c r="O455" s="367">
        <f t="shared" si="172"/>
        <v>1.0853021928953108</v>
      </c>
      <c r="P455" s="368">
        <f t="shared" si="173"/>
        <v>0.54465205448236742</v>
      </c>
      <c r="Q455" s="369">
        <f t="shared" si="174"/>
        <v>-19.485955876418885</v>
      </c>
      <c r="R455" s="370">
        <f t="shared" si="175"/>
        <v>-138.3861469965114</v>
      </c>
      <c r="S455" s="372">
        <f t="shared" si="176"/>
        <v>41.6138530034886</v>
      </c>
      <c r="U455" s="345">
        <f t="shared" si="182"/>
        <v>49548.5</v>
      </c>
      <c r="V455" s="345">
        <f t="shared" si="183"/>
        <v>2455053852.25</v>
      </c>
      <c r="X455" s="371">
        <f t="shared" si="177"/>
        <v>11.607228771353332</v>
      </c>
      <c r="Y455" s="372">
        <f t="shared" si="178"/>
        <v>-53.433748411100112</v>
      </c>
      <c r="AA455" s="371">
        <f t="shared" si="179"/>
        <v>14.927415265507411</v>
      </c>
      <c r="AB455" s="372">
        <f t="shared" si="180"/>
        <v>-84.952398585411274</v>
      </c>
      <c r="AD455">
        <f t="shared" si="184"/>
        <v>0</v>
      </c>
      <c r="AE455">
        <f t="shared" si="187"/>
        <v>0</v>
      </c>
    </row>
    <row r="456" spans="1:31" x14ac:dyDescent="0.2">
      <c r="A456" s="373">
        <v>49833.75</v>
      </c>
      <c r="B456" s="390">
        <f t="shared" si="181"/>
        <v>49.833750000000002</v>
      </c>
      <c r="C456" s="363">
        <f t="shared" si="162"/>
        <v>65.486339794627057</v>
      </c>
      <c r="D456" s="364">
        <f t="shared" si="163"/>
        <v>1.5555253730173821</v>
      </c>
      <c r="E456" s="364">
        <f t="shared" si="164"/>
        <v>2.1116895110483043</v>
      </c>
      <c r="F456" s="365">
        <f t="shared" si="165"/>
        <v>1.0774742463117521</v>
      </c>
      <c r="G456" s="364">
        <f t="shared" si="166"/>
        <v>1.1159867842252316</v>
      </c>
      <c r="H456" s="365">
        <f t="shared" si="167"/>
        <v>-0.45996517158821887</v>
      </c>
      <c r="I456" s="363">
        <f t="shared" si="168"/>
        <v>169123.10159263795</v>
      </c>
      <c r="J456" s="366">
        <f t="shared" si="169"/>
        <v>1.5707904139421249</v>
      </c>
      <c r="K456" s="374">
        <f t="shared" si="185"/>
        <v>41.183592536324142</v>
      </c>
      <c r="L456" s="375">
        <f t="shared" si="186"/>
        <v>1.5465124256145177</v>
      </c>
      <c r="M456" s="363">
        <f t="shared" si="170"/>
        <v>1.6313530917903478</v>
      </c>
      <c r="N456" s="366">
        <f t="shared" si="171"/>
        <v>0.91095932022921222</v>
      </c>
      <c r="O456" s="367">
        <f t="shared" si="172"/>
        <v>1.0862757307253443</v>
      </c>
      <c r="P456" s="368">
        <f t="shared" si="173"/>
        <v>0.54759607143073508</v>
      </c>
      <c r="Q456" s="369">
        <f t="shared" si="174"/>
        <v>-19.526270967218561</v>
      </c>
      <c r="R456" s="370">
        <f t="shared" si="175"/>
        <v>-138.70446955962055</v>
      </c>
      <c r="S456" s="372">
        <f t="shared" si="176"/>
        <v>41.295530440379451</v>
      </c>
      <c r="U456" s="345">
        <f t="shared" si="182"/>
        <v>49833.75</v>
      </c>
      <c r="V456" s="345">
        <f t="shared" si="183"/>
        <v>2483402639.0625</v>
      </c>
      <c r="X456" s="371">
        <f t="shared" si="177"/>
        <v>11.576140799590986</v>
      </c>
      <c r="Y456" s="372">
        <f t="shared" si="178"/>
        <v>-53.58515068471003</v>
      </c>
      <c r="AA456" s="371">
        <f t="shared" si="179"/>
        <v>14.918188146470076</v>
      </c>
      <c r="AB456" s="372">
        <f t="shared" si="180"/>
        <v>-85.119318874910491</v>
      </c>
      <c r="AD456">
        <f t="shared" si="184"/>
        <v>0</v>
      </c>
      <c r="AE456">
        <f t="shared" si="187"/>
        <v>0</v>
      </c>
    </row>
    <row r="457" spans="1:31" x14ac:dyDescent="0.2">
      <c r="A457" s="373">
        <v>50119</v>
      </c>
      <c r="B457" s="390">
        <f t="shared" si="181"/>
        <v>50.119</v>
      </c>
      <c r="C457" s="363">
        <f t="shared" si="162"/>
        <v>65.861098566521605</v>
      </c>
      <c r="D457" s="364">
        <f t="shared" si="163"/>
        <v>1.5556122735569193</v>
      </c>
      <c r="E457" s="364">
        <f t="shared" si="164"/>
        <v>2.121072240677996</v>
      </c>
      <c r="F457" s="365">
        <f t="shared" si="165"/>
        <v>1.0798511240982638</v>
      </c>
      <c r="G457" s="364">
        <f t="shared" si="166"/>
        <v>1.1172484962452918</v>
      </c>
      <c r="H457" s="365">
        <f t="shared" si="167"/>
        <v>-0.46223950618175891</v>
      </c>
      <c r="I457" s="363">
        <f t="shared" si="168"/>
        <v>170091.16770702065</v>
      </c>
      <c r="J457" s="366">
        <f t="shared" si="169"/>
        <v>1.5707904475948564</v>
      </c>
      <c r="K457" s="374">
        <f t="shared" si="185"/>
        <v>41.419190161784428</v>
      </c>
      <c r="L457" s="375">
        <f t="shared" si="186"/>
        <v>1.546650582462421</v>
      </c>
      <c r="M457" s="363">
        <f t="shared" si="170"/>
        <v>1.6371884925482654</v>
      </c>
      <c r="N457" s="366">
        <f t="shared" si="171"/>
        <v>0.91372168929832498</v>
      </c>
      <c r="O457" s="367">
        <f t="shared" si="172"/>
        <v>1.0872546143519728</v>
      </c>
      <c r="P457" s="368">
        <f t="shared" si="173"/>
        <v>0.55053707858335599</v>
      </c>
      <c r="Q457" s="369">
        <f t="shared" si="174"/>
        <v>-19.56638051911289</v>
      </c>
      <c r="R457" s="370">
        <f t="shared" si="175"/>
        <v>-139.02243881230609</v>
      </c>
      <c r="S457" s="372">
        <f t="shared" si="176"/>
        <v>40.977561187693908</v>
      </c>
      <c r="U457" s="345">
        <f t="shared" si="182"/>
        <v>50119</v>
      </c>
      <c r="V457" s="345">
        <f t="shared" si="183"/>
        <v>2511914161</v>
      </c>
      <c r="X457" s="371">
        <f t="shared" si="177"/>
        <v>11.54509747479745</v>
      </c>
      <c r="Y457" s="372">
        <f t="shared" si="178"/>
        <v>-53.735508897863262</v>
      </c>
      <c r="AA457" s="371">
        <f t="shared" si="179"/>
        <v>14.909121919369285</v>
      </c>
      <c r="AB457" s="372">
        <f t="shared" si="180"/>
        <v>-85.286929914442823</v>
      </c>
      <c r="AD457">
        <f t="shared" si="184"/>
        <v>0</v>
      </c>
      <c r="AE457">
        <f t="shared" si="187"/>
        <v>0</v>
      </c>
    </row>
    <row r="458" spans="1:31" x14ac:dyDescent="0.2">
      <c r="A458" s="373">
        <v>50410.75</v>
      </c>
      <c r="B458" s="390">
        <f t="shared" si="181"/>
        <v>50.41075</v>
      </c>
      <c r="C458" s="363">
        <f t="shared" si="162"/>
        <v>66.244397485995393</v>
      </c>
      <c r="D458" s="364">
        <f t="shared" si="163"/>
        <v>1.5557001372082782</v>
      </c>
      <c r="E458" s="364">
        <f t="shared" si="164"/>
        <v>2.1306810601798269</v>
      </c>
      <c r="F458" s="365">
        <f t="shared" si="165"/>
        <v>1.0822604951725834</v>
      </c>
      <c r="G458" s="364">
        <f t="shared" si="166"/>
        <v>1.1185449233844442</v>
      </c>
      <c r="H458" s="365">
        <f t="shared" si="167"/>
        <v>-0.46456034620239761</v>
      </c>
      <c r="I458" s="363">
        <f t="shared" si="168"/>
        <v>171081.29317195035</v>
      </c>
      <c r="J458" s="366">
        <f t="shared" si="169"/>
        <v>1.5707904816204683</v>
      </c>
      <c r="K458" s="374">
        <f t="shared" si="185"/>
        <v>41.6601571656037</v>
      </c>
      <c r="L458" s="375">
        <f t="shared" si="186"/>
        <v>1.5467902710583659</v>
      </c>
      <c r="M458" s="363">
        <f t="shared" si="170"/>
        <v>1.6431696949818986</v>
      </c>
      <c r="N458" s="366">
        <f t="shared" si="171"/>
        <v>0.91652668684034666</v>
      </c>
      <c r="O458" s="367">
        <f t="shared" si="172"/>
        <v>1.0882613300804254</v>
      </c>
      <c r="P458" s="368">
        <f t="shared" si="173"/>
        <v>0.55354197888182577</v>
      </c>
      <c r="Q458" s="369">
        <f t="shared" si="174"/>
        <v>-19.607194086777703</v>
      </c>
      <c r="R458" s="370">
        <f t="shared" si="175"/>
        <v>-139.34728158153351</v>
      </c>
      <c r="S458" s="372">
        <f t="shared" si="176"/>
        <v>40.652718418466492</v>
      </c>
      <c r="U458" s="345">
        <f t="shared" si="182"/>
        <v>50410.75</v>
      </c>
      <c r="V458" s="345">
        <f t="shared" si="183"/>
        <v>2541243715.5625</v>
      </c>
      <c r="X458" s="371">
        <f t="shared" si="177"/>
        <v>11.513393593316374</v>
      </c>
      <c r="Y458" s="372">
        <f t="shared" si="178"/>
        <v>-53.888221801270397</v>
      </c>
      <c r="AA458" s="371">
        <f t="shared" si="179"/>
        <v>14.900012233185546</v>
      </c>
      <c r="AB458" s="372">
        <f t="shared" si="180"/>
        <v>-85.459059780263118</v>
      </c>
      <c r="AD458">
        <f t="shared" si="184"/>
        <v>0</v>
      </c>
      <c r="AE458">
        <f t="shared" si="187"/>
        <v>0</v>
      </c>
    </row>
    <row r="459" spans="1:31" x14ac:dyDescent="0.2">
      <c r="A459" s="373">
        <v>50702.5</v>
      </c>
      <c r="B459" s="390">
        <f t="shared" si="181"/>
        <v>50.702500000000001</v>
      </c>
      <c r="C459" s="363">
        <f t="shared" si="162"/>
        <v>66.627696910993208</v>
      </c>
      <c r="D459" s="364">
        <f t="shared" si="163"/>
        <v>1.5557869899267522</v>
      </c>
      <c r="E459" s="364">
        <f t="shared" si="164"/>
        <v>2.140302137332271</v>
      </c>
      <c r="F459" s="365">
        <f t="shared" si="165"/>
        <v>1.0846482188147946</v>
      </c>
      <c r="G459" s="364">
        <f t="shared" si="166"/>
        <v>1.1198473613717808</v>
      </c>
      <c r="H459" s="365">
        <f t="shared" si="167"/>
        <v>-0.46687580016669206</v>
      </c>
      <c r="I459" s="363">
        <f t="shared" si="168"/>
        <v>172071.41863688029</v>
      </c>
      <c r="J459" s="366">
        <f t="shared" si="169"/>
        <v>1.570790515254503</v>
      </c>
      <c r="K459" s="374">
        <f t="shared" si="185"/>
        <v>41.901124972983766</v>
      </c>
      <c r="L459" s="375">
        <f t="shared" si="186"/>
        <v>1.5469283529958362</v>
      </c>
      <c r="M459" s="363">
        <f t="shared" si="170"/>
        <v>1.6491637320557784</v>
      </c>
      <c r="N459" s="366">
        <f t="shared" si="171"/>
        <v>0.91931131611700412</v>
      </c>
      <c r="O459" s="367">
        <f t="shared" si="172"/>
        <v>1.0892736305879234</v>
      </c>
      <c r="P459" s="368">
        <f t="shared" si="173"/>
        <v>0.55654371001847125</v>
      </c>
      <c r="Q459" s="369">
        <f t="shared" si="174"/>
        <v>-19.647797980308013</v>
      </c>
      <c r="R459" s="370">
        <f t="shared" si="175"/>
        <v>-139.67174157384869</v>
      </c>
      <c r="S459" s="372">
        <f t="shared" si="176"/>
        <v>40.328258426151308</v>
      </c>
      <c r="U459" s="345">
        <f t="shared" si="182"/>
        <v>50702.5</v>
      </c>
      <c r="V459" s="345">
        <f t="shared" si="183"/>
        <v>2570743506.25</v>
      </c>
      <c r="X459" s="371">
        <f t="shared" si="177"/>
        <v>11.481737704050087</v>
      </c>
      <c r="Y459" s="372">
        <f t="shared" si="178"/>
        <v>-54.039859721348883</v>
      </c>
      <c r="AA459" s="371">
        <f t="shared" si="179"/>
        <v>14.891064228921525</v>
      </c>
      <c r="AB459" s="372">
        <f t="shared" si="180"/>
        <v>-85.631881852499802</v>
      </c>
      <c r="AD459">
        <f t="shared" si="184"/>
        <v>0</v>
      </c>
      <c r="AE459">
        <f t="shared" si="187"/>
        <v>0</v>
      </c>
    </row>
    <row r="460" spans="1:31" x14ac:dyDescent="0.2">
      <c r="A460" s="373">
        <v>50994.25</v>
      </c>
      <c r="B460" s="390">
        <f t="shared" si="181"/>
        <v>50.994250000000001</v>
      </c>
      <c r="C460" s="363">
        <f t="shared" si="162"/>
        <v>67.010996832840348</v>
      </c>
      <c r="D460" s="364">
        <f t="shared" si="163"/>
        <v>1.5558728490584932</v>
      </c>
      <c r="E460" s="364">
        <f t="shared" si="164"/>
        <v>2.1499353075743781</v>
      </c>
      <c r="F460" s="365">
        <f t="shared" si="165"/>
        <v>1.0870145586005919</v>
      </c>
      <c r="G460" s="364">
        <f t="shared" si="166"/>
        <v>1.1211557892590343</v>
      </c>
      <c r="H460" s="365">
        <f t="shared" si="167"/>
        <v>-0.46918586206097845</v>
      </c>
      <c r="I460" s="363">
        <f t="shared" si="168"/>
        <v>173061.5441018104</v>
      </c>
      <c r="J460" s="366">
        <f t="shared" si="169"/>
        <v>1.5707905485036813</v>
      </c>
      <c r="K460" s="374">
        <f t="shared" si="185"/>
        <v>42.142093570140354</v>
      </c>
      <c r="L460" s="375">
        <f t="shared" si="186"/>
        <v>1.5470648558301519</v>
      </c>
      <c r="M460" s="363">
        <f t="shared" si="170"/>
        <v>1.6551704643317477</v>
      </c>
      <c r="N460" s="366">
        <f t="shared" si="171"/>
        <v>0.9220757554616682</v>
      </c>
      <c r="O460" s="367">
        <f t="shared" si="172"/>
        <v>1.0902915121153549</v>
      </c>
      <c r="P460" s="368">
        <f t="shared" si="173"/>
        <v>0.55954226171801003</v>
      </c>
      <c r="Q460" s="369">
        <f t="shared" si="174"/>
        <v>-19.688194819956969</v>
      </c>
      <c r="R460" s="370">
        <f t="shared" si="175"/>
        <v>-139.99581238738116</v>
      </c>
      <c r="S460" s="372">
        <f t="shared" si="176"/>
        <v>40.004187612618836</v>
      </c>
      <c r="U460" s="345">
        <f t="shared" si="182"/>
        <v>50994.25</v>
      </c>
      <c r="V460" s="345">
        <f t="shared" si="183"/>
        <v>2600413533.0625</v>
      </c>
      <c r="X460" s="371">
        <f t="shared" si="177"/>
        <v>11.450130428375427</v>
      </c>
      <c r="Y460" s="372">
        <f t="shared" si="178"/>
        <v>-54.190431297429846</v>
      </c>
      <c r="AA460" s="371">
        <f t="shared" si="179"/>
        <v>14.88227466494723</v>
      </c>
      <c r="AB460" s="372">
        <f t="shared" si="180"/>
        <v>-85.805381089951339</v>
      </c>
      <c r="AD460">
        <f t="shared" si="184"/>
        <v>0</v>
      </c>
      <c r="AE460">
        <f t="shared" si="187"/>
        <v>0</v>
      </c>
    </row>
    <row r="461" spans="1:31" x14ac:dyDescent="0.2">
      <c r="A461" s="373">
        <v>51286</v>
      </c>
      <c r="B461" s="390">
        <f t="shared" si="181"/>
        <v>51.286000000000001</v>
      </c>
      <c r="C461" s="363">
        <f t="shared" ref="C461:C524" si="188">SQRT(1+(A461/pole1)^2)</f>
        <v>67.394297243059469</v>
      </c>
      <c r="D461" s="364">
        <f t="shared" ref="D461:D524" si="189">ATAN(A461/pole1)</f>
        <v>1.5559577315550923</v>
      </c>
      <c r="E461" s="364">
        <f t="shared" ref="E461:E524" si="190">SQRT(1+(A461/Zero1)^2)</f>
        <v>2.1595804090763973</v>
      </c>
      <c r="F461" s="365">
        <f t="shared" ref="F461:F524" si="191">ATAN(A461/Zero1)</f>
        <v>1.0893597743637551</v>
      </c>
      <c r="G461" s="364">
        <f t="shared" ref="G461:G524" si="192">IF(VIN_nom&gt;Vout, 1, SQRT(1+(A461/z_RHP)^2))</f>
        <v>1.1224701860994963</v>
      </c>
      <c r="H461" s="365">
        <f t="shared" ref="H461:H524" si="193">IF(VIN_nom&gt;Vout, 0, -ATAN(A461/z_RHP))</f>
        <v>-0.47149052612976028</v>
      </c>
      <c r="I461" s="363">
        <f t="shared" ref="I461:I524" si="194">SQRT(1+(A461/Pole2)^2)</f>
        <v>174051.66956674072</v>
      </c>
      <c r="J461" s="366">
        <f t="shared" ref="J461:J524" si="195">ATAN(A461/Pole2)</f>
        <v>1.5707905813745713</v>
      </c>
      <c r="K461" s="374">
        <f t="shared" si="185"/>
        <v>42.383062943602688</v>
      </c>
      <c r="L461" s="375">
        <f t="shared" si="186"/>
        <v>1.5471998064902077</v>
      </c>
      <c r="M461" s="363">
        <f t="shared" ref="M461:M524" si="196">SQRT(1+(A461/pole4)^2)</f>
        <v>1.6611897540952374</v>
      </c>
      <c r="N461" s="366">
        <f t="shared" ref="N461:N524" si="197">ATAN(A461/pole4)</f>
        <v>0.92482018186550197</v>
      </c>
      <c r="O461" s="367">
        <f t="shared" ref="O461:O524" si="198">SQRT((1-(V461/pterm2))^2+(A461/pterm1)^2)</f>
        <v>1.0913149708999821</v>
      </c>
      <c r="P461" s="368">
        <f t="shared" ref="P461:P524" si="199">IF((ATAN((A461/pterm1)/(1-A461^2/pterm2))&gt;0),ATAN((A461/pterm1)/(1-A461^2/pterm2)),PI()+ATAN((A461/pterm1)/(1-A461^2/pterm2)))</f>
        <v>0.56253762381139161</v>
      </c>
      <c r="Q461" s="369">
        <f t="shared" ref="Q461:Q524" si="200">20*LOG10(((E461*K461*G461)/(C461*I461*O461*M461))*Adc)</f>
        <v>-19.728387174673163</v>
      </c>
      <c r="R461" s="370">
        <f t="shared" ref="R461:R524" si="201">((F461+L461+H461)-(D461+J461+P461+N461))*radconv</f>
        <v>-140.31948779190827</v>
      </c>
      <c r="S461" s="372">
        <f t="shared" ref="S461:S524" si="202">IF(R461&gt;0,R461,R461+180)</f>
        <v>39.680512208091727</v>
      </c>
      <c r="U461" s="345">
        <f t="shared" si="182"/>
        <v>51286</v>
      </c>
      <c r="V461" s="345">
        <f t="shared" si="183"/>
        <v>2630253796</v>
      </c>
      <c r="X461" s="371">
        <f t="shared" ref="X461:X524" si="203">20*LOG10((K461/(I461*M461))*AEA)</f>
        <v>11.418572368349194</v>
      </c>
      <c r="Y461" s="372">
        <f t="shared" ref="Y461:Y524" si="204">(L461-(J461+N461))*radconv</f>
        <v>-54.339945127824173</v>
      </c>
      <c r="AA461" s="371">
        <f t="shared" ref="AA461:AA524" si="205">20*LOG10((E461*G461/(C461*O461))*Acs*Am)</f>
        <v>14.873640370257268</v>
      </c>
      <c r="AB461" s="372">
        <f t="shared" ref="AB461:AB524" si="206">(F461+H461-(D461+P461))*radconv</f>
        <v>-85.979542664084093</v>
      </c>
      <c r="AD461">
        <f t="shared" si="184"/>
        <v>0</v>
      </c>
      <c r="AE461">
        <f t="shared" si="187"/>
        <v>0</v>
      </c>
    </row>
    <row r="462" spans="1:31" x14ac:dyDescent="0.2">
      <c r="A462" s="373">
        <v>51584.75</v>
      </c>
      <c r="B462" s="390">
        <f t="shared" ref="B462:B525" si="207">A462/1000</f>
        <v>51.58475</v>
      </c>
      <c r="C462" s="363">
        <f t="shared" si="188"/>
        <v>67.786794732964097</v>
      </c>
      <c r="D462" s="364">
        <f t="shared" si="189"/>
        <v>1.5560436558888542</v>
      </c>
      <c r="E462" s="364">
        <f t="shared" si="190"/>
        <v>2.1694691247660414</v>
      </c>
      <c r="F462" s="365">
        <f t="shared" si="191"/>
        <v>1.0917396364152241</v>
      </c>
      <c r="G462" s="364">
        <f t="shared" si="192"/>
        <v>1.1238222830685172</v>
      </c>
      <c r="H462" s="365">
        <f t="shared" si="193"/>
        <v>-0.47384488694914112</v>
      </c>
      <c r="I462" s="363">
        <f t="shared" si="194"/>
        <v>175065.55125533705</v>
      </c>
      <c r="J462" s="366">
        <f t="shared" si="195"/>
        <v>1.57079061464883</v>
      </c>
      <c r="K462" s="374">
        <f t="shared" si="185"/>
        <v>42.629814720855734</v>
      </c>
      <c r="L462" s="375">
        <f t="shared" si="186"/>
        <v>1.5473364140470571</v>
      </c>
      <c r="M462" s="363">
        <f t="shared" si="196"/>
        <v>1.6673663365297013</v>
      </c>
      <c r="N462" s="366">
        <f t="shared" si="197"/>
        <v>0.92760990019106804</v>
      </c>
      <c r="O462" s="367">
        <f t="shared" si="198"/>
        <v>1.092368761331864</v>
      </c>
      <c r="P462" s="368">
        <f t="shared" si="199"/>
        <v>0.56560153823321835</v>
      </c>
      <c r="Q462" s="369">
        <f t="shared" si="200"/>
        <v>-19.769334598242786</v>
      </c>
      <c r="R462" s="370">
        <f t="shared" si="201"/>
        <v>-140.65051310226025</v>
      </c>
      <c r="S462" s="372">
        <f t="shared" si="202"/>
        <v>39.349486897739752</v>
      </c>
      <c r="U462" s="345">
        <f t="shared" ref="U462:U525" si="208">IF(Q462&lt;0,A462,1000000000)</f>
        <v>51584.75</v>
      </c>
      <c r="V462" s="345">
        <f t="shared" ref="V462:V525" si="209">A462^2</f>
        <v>2660986432.5625</v>
      </c>
      <c r="X462" s="371">
        <f t="shared" si="203"/>
        <v>11.386308741299171</v>
      </c>
      <c r="Y462" s="372">
        <f t="shared" si="204"/>
        <v>-54.49195908410065</v>
      </c>
      <c r="AA462" s="371">
        <f t="shared" si="205"/>
        <v>14.864956573737665</v>
      </c>
      <c r="AB462" s="372">
        <f t="shared" si="206"/>
        <v>-86.158554018159577</v>
      </c>
      <c r="AD462">
        <f t="shared" ref="AD462:AD525" si="210">SUM((Q463&lt;0)*(Q462&gt;0))*A462</f>
        <v>0</v>
      </c>
      <c r="AE462">
        <f t="shared" si="187"/>
        <v>0</v>
      </c>
    </row>
    <row r="463" spans="1:31" x14ac:dyDescent="0.2">
      <c r="A463" s="373">
        <v>51883.5</v>
      </c>
      <c r="B463" s="390">
        <f t="shared" si="207"/>
        <v>51.883499999999998</v>
      </c>
      <c r="C463" s="363">
        <f t="shared" si="188"/>
        <v>68.179292717575791</v>
      </c>
      <c r="D463" s="364">
        <f t="shared" si="189"/>
        <v>1.5561285909161766</v>
      </c>
      <c r="E463" s="364">
        <f t="shared" si="190"/>
        <v>2.1793700162262915</v>
      </c>
      <c r="F463" s="365">
        <f t="shared" si="191"/>
        <v>1.0940978882663022</v>
      </c>
      <c r="G463" s="364">
        <f t="shared" si="192"/>
        <v>1.1251805944097557</v>
      </c>
      <c r="H463" s="365">
        <f t="shared" si="193"/>
        <v>-0.47619357642037585</v>
      </c>
      <c r="I463" s="363">
        <f t="shared" si="194"/>
        <v>176079.43294393361</v>
      </c>
      <c r="J463" s="366">
        <f t="shared" si="195"/>
        <v>1.5707906475398963</v>
      </c>
      <c r="K463" s="374">
        <f t="shared" si="185"/>
        <v>42.876567284493802</v>
      </c>
      <c r="L463" s="375">
        <f t="shared" si="186"/>
        <v>1.5474714492666841</v>
      </c>
      <c r="M463" s="363">
        <f t="shared" si="196"/>
        <v>1.6735557994479708</v>
      </c>
      <c r="N463" s="366">
        <f t="shared" si="197"/>
        <v>0.93037900499908621</v>
      </c>
      <c r="O463" s="367">
        <f t="shared" si="198"/>
        <v>1.093428391867145</v>
      </c>
      <c r="P463" s="368">
        <f t="shared" si="199"/>
        <v>0.56866208691440601</v>
      </c>
      <c r="Q463" s="369">
        <f t="shared" si="200"/>
        <v>-19.810072899914807</v>
      </c>
      <c r="R463" s="370">
        <f t="shared" si="201"/>
        <v>-140.98111111453349</v>
      </c>
      <c r="S463" s="372">
        <f t="shared" si="202"/>
        <v>39.018888885466509</v>
      </c>
      <c r="U463" s="345">
        <f t="shared" si="208"/>
        <v>51883.5</v>
      </c>
      <c r="V463" s="345">
        <f t="shared" si="209"/>
        <v>2691897572.25</v>
      </c>
      <c r="X463" s="371">
        <f t="shared" si="203"/>
        <v>11.354097937286003</v>
      </c>
      <c r="Y463" s="372">
        <f t="shared" si="204"/>
        <v>-54.642882039150962</v>
      </c>
      <c r="AA463" s="371">
        <f t="shared" si="205"/>
        <v>14.856429076078815</v>
      </c>
      <c r="AB463" s="372">
        <f t="shared" si="206"/>
        <v>-86.338229075382557</v>
      </c>
      <c r="AD463">
        <f t="shared" si="210"/>
        <v>0</v>
      </c>
      <c r="AE463">
        <f t="shared" si="187"/>
        <v>0</v>
      </c>
    </row>
    <row r="464" spans="1:31" x14ac:dyDescent="0.2">
      <c r="A464" s="373">
        <v>52182.25</v>
      </c>
      <c r="B464" s="390">
        <f t="shared" si="207"/>
        <v>52.182250000000003</v>
      </c>
      <c r="C464" s="363">
        <f t="shared" si="188"/>
        <v>68.571791188399573</v>
      </c>
      <c r="D464" s="364">
        <f t="shared" si="189"/>
        <v>1.5562125536239142</v>
      </c>
      <c r="E464" s="364">
        <f t="shared" si="190"/>
        <v>2.1892829182647309</v>
      </c>
      <c r="F464" s="365">
        <f t="shared" si="191"/>
        <v>1.0964347970555708</v>
      </c>
      <c r="G464" s="364">
        <f t="shared" si="192"/>
        <v>1.1265450976446116</v>
      </c>
      <c r="H464" s="365">
        <f t="shared" si="193"/>
        <v>-0.47853658919242031</v>
      </c>
      <c r="I464" s="363">
        <f t="shared" si="194"/>
        <v>177093.31463253032</v>
      </c>
      <c r="J464" s="366">
        <f t="shared" si="195"/>
        <v>1.5707906800543514</v>
      </c>
      <c r="K464" s="374">
        <f t="shared" si="185"/>
        <v>43.123320621017747</v>
      </c>
      <c r="L464" s="375">
        <f t="shared" si="186"/>
        <v>1.5476049391350475</v>
      </c>
      <c r="M464" s="363">
        <f t="shared" si="196"/>
        <v>1.679758000466548</v>
      </c>
      <c r="N464" s="366">
        <f t="shared" si="197"/>
        <v>0.93312768192230489</v>
      </c>
      <c r="O464" s="367">
        <f t="shared" si="198"/>
        <v>1.0944938584552488</v>
      </c>
      <c r="P464" s="368">
        <f t="shared" si="199"/>
        <v>0.57171925928145473</v>
      </c>
      <c r="Q464" s="369">
        <f t="shared" si="200"/>
        <v>-19.850604679860755</v>
      </c>
      <c r="R464" s="370">
        <f t="shared" si="201"/>
        <v>-141.31127567384934</v>
      </c>
      <c r="S464" s="372">
        <f t="shared" si="202"/>
        <v>38.688724326150663</v>
      </c>
      <c r="U464" s="345">
        <f t="shared" si="208"/>
        <v>52182.25</v>
      </c>
      <c r="V464" s="345">
        <f t="shared" si="209"/>
        <v>2722987215.0625</v>
      </c>
      <c r="X464" s="371">
        <f t="shared" si="203"/>
        <v>11.321940542381594</v>
      </c>
      <c r="Y464" s="372">
        <f t="shared" si="204"/>
        <v>-54.792723083143692</v>
      </c>
      <c r="AA464" s="371">
        <f t="shared" si="205"/>
        <v>14.848054691037273</v>
      </c>
      <c r="AB464" s="372">
        <f t="shared" si="206"/>
        <v>-86.518552590705639</v>
      </c>
      <c r="AD464">
        <f t="shared" si="210"/>
        <v>0</v>
      </c>
      <c r="AE464">
        <f t="shared" si="187"/>
        <v>0</v>
      </c>
    </row>
    <row r="465" spans="1:31" x14ac:dyDescent="0.2">
      <c r="A465" s="373">
        <v>52481</v>
      </c>
      <c r="B465" s="390">
        <f t="shared" si="207"/>
        <v>52.481000000000002</v>
      </c>
      <c r="C465" s="363">
        <f t="shared" si="188"/>
        <v>68.964290137133872</v>
      </c>
      <c r="D465" s="364">
        <f t="shared" si="189"/>
        <v>1.5562955606122653</v>
      </c>
      <c r="E465" s="364">
        <f t="shared" si="190"/>
        <v>2.1992076684687563</v>
      </c>
      <c r="F465" s="365">
        <f t="shared" si="191"/>
        <v>1.0987506260405988</v>
      </c>
      <c r="G465" s="364">
        <f t="shared" si="192"/>
        <v>1.1279157703010378</v>
      </c>
      <c r="H465" s="365">
        <f t="shared" si="193"/>
        <v>-0.4808739201893712</v>
      </c>
      <c r="I465" s="363">
        <f t="shared" si="194"/>
        <v>178107.19632112724</v>
      </c>
      <c r="J465" s="366">
        <f t="shared" si="195"/>
        <v>1.5707907121986273</v>
      </c>
      <c r="K465" s="374">
        <f t="shared" si="185"/>
        <v>43.370074717235603</v>
      </c>
      <c r="L465" s="375">
        <f t="shared" si="186"/>
        <v>1.5477369100241827</v>
      </c>
      <c r="M465" s="363">
        <f t="shared" si="196"/>
        <v>1.685972799006197</v>
      </c>
      <c r="N465" s="366">
        <f t="shared" si="197"/>
        <v>0.93585611509949851</v>
      </c>
      <c r="O465" s="367">
        <f t="shared" si="198"/>
        <v>1.0955651570425364</v>
      </c>
      <c r="P465" s="368">
        <f t="shared" si="199"/>
        <v>0.5747730448769085</v>
      </c>
      <c r="Q465" s="369">
        <f t="shared" si="200"/>
        <v>-19.890932487812766</v>
      </c>
      <c r="R465" s="370">
        <f t="shared" si="201"/>
        <v>-141.64100079752222</v>
      </c>
      <c r="S465" s="372">
        <f t="shared" si="202"/>
        <v>38.358999202477776</v>
      </c>
      <c r="U465" s="345">
        <f t="shared" si="208"/>
        <v>52481</v>
      </c>
      <c r="V465" s="345">
        <f t="shared" si="209"/>
        <v>2754255361</v>
      </c>
      <c r="X465" s="371">
        <f t="shared" si="203"/>
        <v>11.289837123156532</v>
      </c>
      <c r="Y465" s="372">
        <f t="shared" si="204"/>
        <v>-54.941491255815663</v>
      </c>
      <c r="AA465" s="371">
        <f t="shared" si="205"/>
        <v>14.839830302310324</v>
      </c>
      <c r="AB465" s="372">
        <f t="shared" si="206"/>
        <v>-86.69950954170659</v>
      </c>
      <c r="AD465">
        <f t="shared" si="210"/>
        <v>0</v>
      </c>
      <c r="AE465">
        <f t="shared" si="187"/>
        <v>0</v>
      </c>
    </row>
    <row r="466" spans="1:31" x14ac:dyDescent="0.2">
      <c r="A466" s="373">
        <v>52786.5</v>
      </c>
      <c r="B466" s="390">
        <f t="shared" si="207"/>
        <v>52.786499999999997</v>
      </c>
      <c r="C466" s="363">
        <f t="shared" si="188"/>
        <v>69.365657748729191</v>
      </c>
      <c r="D466" s="364">
        <f t="shared" si="189"/>
        <v>1.5563794716211918</v>
      </c>
      <c r="E466" s="364">
        <f t="shared" si="190"/>
        <v>2.2093687462622502</v>
      </c>
      <c r="F466" s="365">
        <f t="shared" si="191"/>
        <v>1.1010972498814398</v>
      </c>
      <c r="G466" s="364">
        <f t="shared" si="192"/>
        <v>1.1293237688096442</v>
      </c>
      <c r="H466" s="365">
        <f t="shared" si="193"/>
        <v>-0.48325818038495499</v>
      </c>
      <c r="I466" s="363">
        <f t="shared" si="194"/>
        <v>179143.98579683073</v>
      </c>
      <c r="J466" s="366">
        <f t="shared" si="195"/>
        <v>1.5707907446929044</v>
      </c>
      <c r="K466" s="374">
        <f t="shared" si="185"/>
        <v>43.622404782808829</v>
      </c>
      <c r="L466" s="375">
        <f t="shared" si="186"/>
        <v>1.5478703186882998</v>
      </c>
      <c r="M466" s="363">
        <f t="shared" si="196"/>
        <v>1.6923408986623922</v>
      </c>
      <c r="N466" s="366">
        <f t="shared" si="197"/>
        <v>0.93862545017813437</v>
      </c>
      <c r="O466" s="367">
        <f t="shared" si="198"/>
        <v>1.096666687617228</v>
      </c>
      <c r="P466" s="368">
        <f t="shared" si="199"/>
        <v>0.57789231494605875</v>
      </c>
      <c r="Q466" s="369">
        <f t="shared" si="200"/>
        <v>-19.931963136341398</v>
      </c>
      <c r="R466" s="370">
        <f t="shared" si="201"/>
        <v>-141.97771527942388</v>
      </c>
      <c r="S466" s="372">
        <f t="shared" si="202"/>
        <v>38.022284720576124</v>
      </c>
      <c r="U466" s="345">
        <f t="shared" si="208"/>
        <v>52786.5</v>
      </c>
      <c r="V466" s="345">
        <f t="shared" si="209"/>
        <v>2786414582.25</v>
      </c>
      <c r="X466" s="371">
        <f t="shared" si="203"/>
        <v>11.257064743808487</v>
      </c>
      <c r="Y466" s="372">
        <f t="shared" si="204"/>
        <v>-55.092520576432143</v>
      </c>
      <c r="AA466" s="371">
        <f t="shared" si="205"/>
        <v>14.831572033129737</v>
      </c>
      <c r="AB466" s="372">
        <f t="shared" si="206"/>
        <v>-86.88519470299174</v>
      </c>
      <c r="AD466">
        <f t="shared" si="210"/>
        <v>0</v>
      </c>
      <c r="AE466">
        <f t="shared" si="187"/>
        <v>0</v>
      </c>
    </row>
    <row r="467" spans="1:31" x14ac:dyDescent="0.2">
      <c r="A467" s="373">
        <v>53092</v>
      </c>
      <c r="B467" s="390">
        <f t="shared" si="207"/>
        <v>53.091999999999999</v>
      </c>
      <c r="C467" s="363">
        <f t="shared" si="188"/>
        <v>69.767025843112478</v>
      </c>
      <c r="D467" s="364">
        <f t="shared" si="189"/>
        <v>1.5564624171544896</v>
      </c>
      <c r="E467" s="364">
        <f t="shared" si="190"/>
        <v>2.2195418788288608</v>
      </c>
      <c r="F467" s="365">
        <f t="shared" si="191"/>
        <v>1.1034223752186223</v>
      </c>
      <c r="G467" s="364">
        <f t="shared" si="192"/>
        <v>1.1307381711720073</v>
      </c>
      <c r="H467" s="365">
        <f t="shared" si="193"/>
        <v>-0.48563648929055148</v>
      </c>
      <c r="I467" s="363">
        <f t="shared" si="194"/>
        <v>180180.77527253437</v>
      </c>
      <c r="J467" s="366">
        <f t="shared" si="195"/>
        <v>1.5707907768132268</v>
      </c>
      <c r="K467" s="374">
        <f t="shared" si="185"/>
        <v>43.874735615837771</v>
      </c>
      <c r="L467" s="375">
        <f t="shared" si="186"/>
        <v>1.5480021928443282</v>
      </c>
      <c r="M467" s="363">
        <f t="shared" si="196"/>
        <v>1.6987218798802228</v>
      </c>
      <c r="N467" s="366">
        <f t="shared" si="197"/>
        <v>0.94137400106216651</v>
      </c>
      <c r="O467" s="367">
        <f t="shared" si="198"/>
        <v>1.0977743081239899</v>
      </c>
      <c r="P467" s="368">
        <f t="shared" si="199"/>
        <v>0.58100802172498689</v>
      </c>
      <c r="Q467" s="369">
        <f t="shared" si="200"/>
        <v>-19.972785728828935</v>
      </c>
      <c r="R467" s="370">
        <f t="shared" si="201"/>
        <v>-142.31395812466164</v>
      </c>
      <c r="S467" s="372">
        <f t="shared" si="202"/>
        <v>37.686041875338361</v>
      </c>
      <c r="U467" s="345">
        <f t="shared" si="208"/>
        <v>53092</v>
      </c>
      <c r="V467" s="345">
        <f t="shared" si="209"/>
        <v>2818760464</v>
      </c>
      <c r="X467" s="371">
        <f t="shared" si="203"/>
        <v>11.224349944467411</v>
      </c>
      <c r="Y467" s="372">
        <f t="shared" si="204"/>
        <v>-55.242446949827091</v>
      </c>
      <c r="AA467" s="371">
        <f t="shared" si="205"/>
        <v>14.823464239983279</v>
      </c>
      <c r="AB467" s="372">
        <f t="shared" si="206"/>
        <v>-87.071511174834498</v>
      </c>
      <c r="AD467">
        <f t="shared" si="210"/>
        <v>0</v>
      </c>
      <c r="AE467">
        <f t="shared" si="187"/>
        <v>0</v>
      </c>
    </row>
    <row r="468" spans="1:31" x14ac:dyDescent="0.2">
      <c r="A468" s="373">
        <v>53397.5</v>
      </c>
      <c r="B468" s="390">
        <f t="shared" si="207"/>
        <v>53.397500000000001</v>
      </c>
      <c r="C468" s="363">
        <f t="shared" si="188"/>
        <v>70.168394411999031</v>
      </c>
      <c r="D468" s="364">
        <f t="shared" si="189"/>
        <v>1.55654441377879</v>
      </c>
      <c r="E468" s="364">
        <f t="shared" si="190"/>
        <v>2.2297269011688288</v>
      </c>
      <c r="F468" s="365">
        <f t="shared" si="191"/>
        <v>1.1057262713434273</v>
      </c>
      <c r="G468" s="364">
        <f t="shared" si="192"/>
        <v>1.1321589533871881</v>
      </c>
      <c r="H468" s="365">
        <f t="shared" si="193"/>
        <v>-0.48800884235631159</v>
      </c>
      <c r="I468" s="363">
        <f t="shared" si="194"/>
        <v>181217.56474823825</v>
      </c>
      <c r="J468" s="366">
        <f t="shared" si="195"/>
        <v>1.5707908085660129</v>
      </c>
      <c r="K468" s="374">
        <f t="shared" si="185"/>
        <v>44.127067203156884</v>
      </c>
      <c r="L468" s="375">
        <f t="shared" si="186"/>
        <v>1.5481325588119506</v>
      </c>
      <c r="M468" s="363">
        <f t="shared" si="196"/>
        <v>1.7051155980413424</v>
      </c>
      <c r="N468" s="366">
        <f t="shared" si="197"/>
        <v>0.94410195979471112</v>
      </c>
      <c r="O468" s="367">
        <f t="shared" si="198"/>
        <v>1.0988880142197281</v>
      </c>
      <c r="P468" s="368">
        <f t="shared" si="199"/>
        <v>0.58412015440632747</v>
      </c>
      <c r="Q468" s="369">
        <f t="shared" si="200"/>
        <v>-20.013402837005358</v>
      </c>
      <c r="R468" s="370">
        <f t="shared" si="201"/>
        <v>-142.64972346889707</v>
      </c>
      <c r="S468" s="372">
        <f t="shared" si="202"/>
        <v>37.350276531102935</v>
      </c>
      <c r="U468" s="345">
        <f t="shared" si="208"/>
        <v>53397.5</v>
      </c>
      <c r="V468" s="345">
        <f t="shared" si="209"/>
        <v>2851293006.25</v>
      </c>
      <c r="X468" s="371">
        <f t="shared" si="203"/>
        <v>11.191693270448296</v>
      </c>
      <c r="Y468" s="372">
        <f t="shared" si="204"/>
        <v>-55.391279871621549</v>
      </c>
      <c r="AA468" s="371">
        <f t="shared" si="205"/>
        <v>14.815503805825971</v>
      </c>
      <c r="AB468" s="372">
        <f t="shared" si="206"/>
        <v>-87.258443597275516</v>
      </c>
      <c r="AD468">
        <f t="shared" si="210"/>
        <v>0</v>
      </c>
      <c r="AE468">
        <f t="shared" si="187"/>
        <v>0</v>
      </c>
    </row>
    <row r="469" spans="1:31" x14ac:dyDescent="0.2">
      <c r="A469" s="373">
        <v>53703</v>
      </c>
      <c r="B469" s="390">
        <f t="shared" si="207"/>
        <v>53.703000000000003</v>
      </c>
      <c r="C469" s="363">
        <f t="shared" si="188"/>
        <v>70.569763447292544</v>
      </c>
      <c r="D469" s="364">
        <f t="shared" si="189"/>
        <v>1.5566254776838824</v>
      </c>
      <c r="E469" s="364">
        <f t="shared" si="190"/>
        <v>2.2399236510923366</v>
      </c>
      <c r="F469" s="365">
        <f t="shared" si="191"/>
        <v>1.1080092035536526</v>
      </c>
      <c r="G469" s="364">
        <f t="shared" si="192"/>
        <v>1.1335860914665861</v>
      </c>
      <c r="H469" s="365">
        <f t="shared" si="193"/>
        <v>-0.49037523532330207</v>
      </c>
      <c r="I469" s="363">
        <f t="shared" si="194"/>
        <v>182254.35422394224</v>
      </c>
      <c r="J469" s="366">
        <f t="shared" si="195"/>
        <v>1.5707908399575354</v>
      </c>
      <c r="K469" s="374">
        <f t="shared" si="185"/>
        <v>44.379399531899956</v>
      </c>
      <c r="L469" s="375">
        <f t="shared" si="186"/>
        <v>1.5482614423124641</v>
      </c>
      <c r="M469" s="363">
        <f t="shared" si="196"/>
        <v>1.711521910401878</v>
      </c>
      <c r="N469" s="366">
        <f t="shared" si="197"/>
        <v>0.94680951677810266</v>
      </c>
      <c r="O469" s="367">
        <f t="shared" si="198"/>
        <v>1.1000078015590109</v>
      </c>
      <c r="P469" s="368">
        <f t="shared" si="199"/>
        <v>0.58722870230862378</v>
      </c>
      <c r="Q469" s="369">
        <f t="shared" si="200"/>
        <v>-20.053816983271453</v>
      </c>
      <c r="R469" s="370">
        <f t="shared" si="201"/>
        <v>-142.98500561915921</v>
      </c>
      <c r="S469" s="372">
        <f t="shared" si="202"/>
        <v>37.01499438084079</v>
      </c>
      <c r="U469" s="345">
        <f t="shared" si="208"/>
        <v>53703</v>
      </c>
      <c r="V469" s="345">
        <f t="shared" si="209"/>
        <v>2884012209</v>
      </c>
      <c r="X469" s="371">
        <f t="shared" si="203"/>
        <v>11.159095247560787</v>
      </c>
      <c r="Y469" s="372">
        <f t="shared" si="204"/>
        <v>-55.539028777703344</v>
      </c>
      <c r="AA469" s="371">
        <f t="shared" si="205"/>
        <v>14.807687682447384</v>
      </c>
      <c r="AB469" s="372">
        <f t="shared" si="206"/>
        <v>-87.445976841455874</v>
      </c>
      <c r="AD469">
        <f t="shared" si="210"/>
        <v>0</v>
      </c>
      <c r="AE469">
        <f t="shared" si="187"/>
        <v>0</v>
      </c>
    </row>
    <row r="470" spans="1:31" x14ac:dyDescent="0.2">
      <c r="A470" s="373">
        <v>54015.75</v>
      </c>
      <c r="B470" s="390">
        <f t="shared" si="207"/>
        <v>54.015749999999997</v>
      </c>
      <c r="C470" s="363">
        <f t="shared" si="188"/>
        <v>70.980658081871965</v>
      </c>
      <c r="D470" s="364">
        <f t="shared" si="189"/>
        <v>1.5567075156987009</v>
      </c>
      <c r="E470" s="364">
        <f t="shared" si="190"/>
        <v>2.2503743679917245</v>
      </c>
      <c r="F470" s="365">
        <f t="shared" si="191"/>
        <v>1.1103248701521928</v>
      </c>
      <c r="G470" s="364">
        <f t="shared" si="192"/>
        <v>1.13505365667283</v>
      </c>
      <c r="H470" s="365">
        <f t="shared" si="193"/>
        <v>-0.49279160846740461</v>
      </c>
      <c r="I470" s="363">
        <f t="shared" si="194"/>
        <v>183315.74835987182</v>
      </c>
      <c r="J470" s="366">
        <f t="shared" si="195"/>
        <v>1.5707908717262025</v>
      </c>
      <c r="K470" s="374">
        <f t="shared" si="185"/>
        <v>44.637720862294934</v>
      </c>
      <c r="L470" s="375">
        <f t="shared" si="186"/>
        <v>1.5483918750108392</v>
      </c>
      <c r="M470" s="363">
        <f t="shared" si="196"/>
        <v>1.7180931536994566</v>
      </c>
      <c r="N470" s="366">
        <f t="shared" si="197"/>
        <v>0.94956039171491746</v>
      </c>
      <c r="O470" s="367">
        <f t="shared" si="198"/>
        <v>1.1011604581227779</v>
      </c>
      <c r="P470" s="368">
        <f t="shared" si="199"/>
        <v>0.59040729657013868</v>
      </c>
      <c r="Q470" s="369">
        <f t="shared" si="200"/>
        <v>-20.094982560600435</v>
      </c>
      <c r="R470" s="370">
        <f t="shared" si="201"/>
        <v>-143.32773824848988</v>
      </c>
      <c r="S470" s="372">
        <f t="shared" si="202"/>
        <v>36.672261751510121</v>
      </c>
      <c r="U470" s="345">
        <f t="shared" si="208"/>
        <v>54015.75</v>
      </c>
      <c r="V470" s="345">
        <f t="shared" si="209"/>
        <v>2917701248.0625</v>
      </c>
      <c r="X470" s="371">
        <f t="shared" si="203"/>
        <v>11.125784906274834</v>
      </c>
      <c r="Y470" s="372">
        <f t="shared" si="204"/>
        <v>-55.689170878805847</v>
      </c>
      <c r="AA470" s="371">
        <f t="shared" si="205"/>
        <v>14.79983244640435</v>
      </c>
      <c r="AB470" s="372">
        <f t="shared" si="206"/>
        <v>-87.63856736968404</v>
      </c>
      <c r="AD470">
        <f t="shared" si="210"/>
        <v>0</v>
      </c>
      <c r="AE470">
        <f t="shared" si="187"/>
        <v>0</v>
      </c>
    </row>
    <row r="471" spans="1:31" x14ac:dyDescent="0.2">
      <c r="A471" s="373">
        <v>54328.5</v>
      </c>
      <c r="B471" s="390">
        <f t="shared" si="207"/>
        <v>54.328499999999998</v>
      </c>
      <c r="C471" s="363">
        <f t="shared" si="188"/>
        <v>71.391553188668937</v>
      </c>
      <c r="D471" s="364">
        <f t="shared" si="189"/>
        <v>1.5567886093721217</v>
      </c>
      <c r="E471" s="364">
        <f t="shared" si="190"/>
        <v>2.2608370405012641</v>
      </c>
      <c r="F471" s="365">
        <f t="shared" si="191"/>
        <v>1.1126191161344678</v>
      </c>
      <c r="G471" s="364">
        <f t="shared" si="192"/>
        <v>1.1365278321594039</v>
      </c>
      <c r="H471" s="365">
        <f t="shared" si="193"/>
        <v>-0.49520172716107752</v>
      </c>
      <c r="I471" s="363">
        <f t="shared" si="194"/>
        <v>184377.14249580161</v>
      </c>
      <c r="J471" s="366">
        <f t="shared" si="195"/>
        <v>1.5707909031291079</v>
      </c>
      <c r="K471" s="374">
        <f t="shared" ref="K471:K534" si="211">SQRT(1+(A471/Zero2)^2)</f>
        <v>44.896042943358651</v>
      </c>
      <c r="L471" s="375">
        <f t="shared" ref="L471:L534" si="212">ATAN(A471/Zero2)</f>
        <v>1.5485208067485456</v>
      </c>
      <c r="M471" s="363">
        <f t="shared" si="196"/>
        <v>1.7246772992147787</v>
      </c>
      <c r="N471" s="366">
        <f t="shared" si="197"/>
        <v>0.95229028364254642</v>
      </c>
      <c r="O471" s="367">
        <f t="shared" si="198"/>
        <v>1.1023194787673458</v>
      </c>
      <c r="P471" s="368">
        <f t="shared" si="199"/>
        <v>0.59358211163723984</v>
      </c>
      <c r="Q471" s="369">
        <f t="shared" si="200"/>
        <v>-20.135940625709566</v>
      </c>
      <c r="R471" s="370">
        <f t="shared" si="201"/>
        <v>-143.66995293633451</v>
      </c>
      <c r="S471" s="372">
        <f t="shared" si="202"/>
        <v>36.330047063665489</v>
      </c>
      <c r="U471" s="345">
        <f t="shared" si="208"/>
        <v>54328.5</v>
      </c>
      <c r="V471" s="345">
        <f t="shared" si="209"/>
        <v>2951585912.25</v>
      </c>
      <c r="X471" s="371">
        <f t="shared" si="203"/>
        <v>11.092537087384212</v>
      </c>
      <c r="Y471" s="372">
        <f t="shared" si="204"/>
        <v>-55.838196719794205</v>
      </c>
      <c r="AA471" s="371">
        <f t="shared" si="205"/>
        <v>14.792122200185851</v>
      </c>
      <c r="AB471" s="372">
        <f t="shared" si="206"/>
        <v>-87.831756216540299</v>
      </c>
      <c r="AD471">
        <f t="shared" si="210"/>
        <v>0</v>
      </c>
      <c r="AE471">
        <f t="shared" si="187"/>
        <v>0</v>
      </c>
    </row>
    <row r="472" spans="1:31" x14ac:dyDescent="0.2">
      <c r="A472" s="373">
        <v>54641.25</v>
      </c>
      <c r="B472" s="390">
        <f t="shared" si="207"/>
        <v>54.641249999999999</v>
      </c>
      <c r="C472" s="363">
        <f t="shared" si="188"/>
        <v>71.802448759576563</v>
      </c>
      <c r="D472" s="364">
        <f t="shared" si="189"/>
        <v>1.556868774915289</v>
      </c>
      <c r="E472" s="364">
        <f t="shared" si="190"/>
        <v>2.2713115034023637</v>
      </c>
      <c r="F472" s="365">
        <f t="shared" si="191"/>
        <v>1.1148922135328341</v>
      </c>
      <c r="G472" s="364">
        <f t="shared" si="192"/>
        <v>1.1380085922374517</v>
      </c>
      <c r="H472" s="365">
        <f t="shared" si="193"/>
        <v>-0.49760558776564007</v>
      </c>
      <c r="I472" s="363">
        <f t="shared" si="194"/>
        <v>185438.53663173158</v>
      </c>
      <c r="J472" s="366">
        <f t="shared" si="195"/>
        <v>1.5707909341725315</v>
      </c>
      <c r="K472" s="374">
        <f t="shared" si="211"/>
        <v>45.154365762207675</v>
      </c>
      <c r="L472" s="375">
        <f t="shared" si="212"/>
        <v>1.5486482632817185</v>
      </c>
      <c r="M472" s="363">
        <f t="shared" si="196"/>
        <v>1.7312741997439953</v>
      </c>
      <c r="N472" s="366">
        <f t="shared" si="197"/>
        <v>0.95499939150282953</v>
      </c>
      <c r="O472" s="367">
        <f t="shared" si="198"/>
        <v>1.1034848588245436</v>
      </c>
      <c r="P472" s="368">
        <f t="shared" si="199"/>
        <v>0.59675313645807726</v>
      </c>
      <c r="Q472" s="369">
        <f t="shared" si="200"/>
        <v>-20.176693732901096</v>
      </c>
      <c r="R472" s="370">
        <f t="shared" si="201"/>
        <v>-144.01164410668159</v>
      </c>
      <c r="S472" s="372">
        <f t="shared" si="202"/>
        <v>35.988355893318413</v>
      </c>
      <c r="U472" s="345">
        <f t="shared" si="208"/>
        <v>54641.25</v>
      </c>
      <c r="V472" s="345">
        <f t="shared" si="209"/>
        <v>2985666201.5625</v>
      </c>
      <c r="X472" s="371">
        <f t="shared" si="203"/>
        <v>11.059352294358602</v>
      </c>
      <c r="Y472" s="372">
        <f t="shared" si="204"/>
        <v>-55.986116223838138</v>
      </c>
      <c r="AA472" s="371">
        <f t="shared" si="205"/>
        <v>14.784553886019927</v>
      </c>
      <c r="AB472" s="372">
        <f t="shared" si="206"/>
        <v>-88.025527882843434</v>
      </c>
      <c r="AD472">
        <f t="shared" si="210"/>
        <v>0</v>
      </c>
      <c r="AE472">
        <f t="shared" si="187"/>
        <v>0</v>
      </c>
    </row>
    <row r="473" spans="1:31" x14ac:dyDescent="0.2">
      <c r="A473" s="373">
        <v>54954</v>
      </c>
      <c r="B473" s="390">
        <f t="shared" si="207"/>
        <v>54.954000000000001</v>
      </c>
      <c r="C473" s="363">
        <f t="shared" si="188"/>
        <v>72.213344786672451</v>
      </c>
      <c r="D473" s="364">
        <f t="shared" si="189"/>
        <v>1.5569480281704273</v>
      </c>
      <c r="E473" s="364">
        <f t="shared" si="190"/>
        <v>2.2817975943256505</v>
      </c>
      <c r="F473" s="365">
        <f t="shared" si="191"/>
        <v>1.1171444302617586</v>
      </c>
      <c r="G473" s="364">
        <f t="shared" si="192"/>
        <v>1.1394959112372012</v>
      </c>
      <c r="H473" s="365">
        <f t="shared" si="193"/>
        <v>-0.50000318695058232</v>
      </c>
      <c r="I473" s="363">
        <f t="shared" si="194"/>
        <v>186499.93076766169</v>
      </c>
      <c r="J473" s="366">
        <f t="shared" si="195"/>
        <v>1.5707909648626113</v>
      </c>
      <c r="K473" s="374">
        <f t="shared" si="211"/>
        <v>45.4126893062517</v>
      </c>
      <c r="L473" s="375">
        <f t="shared" si="212"/>
        <v>1.5487742697806466</v>
      </c>
      <c r="M473" s="363">
        <f t="shared" si="196"/>
        <v>1.7378837100353481</v>
      </c>
      <c r="N473" s="366">
        <f t="shared" si="197"/>
        <v>0.95768791244024432</v>
      </c>
      <c r="O473" s="367">
        <f t="shared" si="198"/>
        <v>1.1046565936247417</v>
      </c>
      <c r="P473" s="368">
        <f t="shared" si="199"/>
        <v>0.59992036011783911</v>
      </c>
      <c r="Q473" s="369">
        <f t="shared" si="200"/>
        <v>-20.217244388000005</v>
      </c>
      <c r="R473" s="370">
        <f t="shared" si="201"/>
        <v>-144.35280635440563</v>
      </c>
      <c r="S473" s="372">
        <f t="shared" si="202"/>
        <v>35.647193645594371</v>
      </c>
      <c r="U473" s="345">
        <f t="shared" si="208"/>
        <v>54954</v>
      </c>
      <c r="V473" s="345">
        <f t="shared" si="209"/>
        <v>3019942116</v>
      </c>
      <c r="X473" s="371">
        <f t="shared" si="203"/>
        <v>11.026231011144391</v>
      </c>
      <c r="Y473" s="372">
        <f t="shared" si="204"/>
        <v>-56.132939244684565</v>
      </c>
      <c r="AA473" s="371">
        <f t="shared" si="205"/>
        <v>14.777124514135224</v>
      </c>
      <c r="AB473" s="372">
        <f t="shared" si="206"/>
        <v>-88.219867109720994</v>
      </c>
      <c r="AD473">
        <f t="shared" si="210"/>
        <v>0</v>
      </c>
      <c r="AE473">
        <f t="shared" si="187"/>
        <v>0</v>
      </c>
    </row>
    <row r="474" spans="1:31" x14ac:dyDescent="0.2">
      <c r="A474" s="373">
        <v>55274</v>
      </c>
      <c r="B474" s="390">
        <f t="shared" si="207"/>
        <v>55.274000000000001</v>
      </c>
      <c r="C474" s="363">
        <f t="shared" si="188"/>
        <v>72.633766445561008</v>
      </c>
      <c r="D474" s="364">
        <f t="shared" si="189"/>
        <v>1.5570281905239474</v>
      </c>
      <c r="E474" s="364">
        <f t="shared" si="190"/>
        <v>2.2925386371419632</v>
      </c>
      <c r="F474" s="365">
        <f t="shared" si="191"/>
        <v>1.1194275194992185</v>
      </c>
      <c r="G474" s="364">
        <f t="shared" si="192"/>
        <v>1.1410244704540899</v>
      </c>
      <c r="H474" s="365">
        <f t="shared" si="193"/>
        <v>-0.50244988199391438</v>
      </c>
      <c r="I474" s="363">
        <f t="shared" si="194"/>
        <v>187585.92956381742</v>
      </c>
      <c r="J474" s="366">
        <f t="shared" si="195"/>
        <v>1.5707909959046624</v>
      </c>
      <c r="K474" s="374">
        <f t="shared" si="211"/>
        <v>45.677001903638107</v>
      </c>
      <c r="L474" s="375">
        <f t="shared" si="212"/>
        <v>1.5489017221052668</v>
      </c>
      <c r="M474" s="363">
        <f t="shared" si="196"/>
        <v>1.7446593405271298</v>
      </c>
      <c r="N474" s="366">
        <f t="shared" si="197"/>
        <v>0.96041765264466927</v>
      </c>
      <c r="O474" s="367">
        <f t="shared" si="198"/>
        <v>1.1058620634891825</v>
      </c>
      <c r="P474" s="368">
        <f t="shared" si="199"/>
        <v>0.60315705903158412</v>
      </c>
      <c r="Q474" s="369">
        <f t="shared" si="200"/>
        <v>-20.25852808429773</v>
      </c>
      <c r="R474" s="370">
        <f t="shared" si="201"/>
        <v>-144.70132431999818</v>
      </c>
      <c r="S474" s="372">
        <f t="shared" si="202"/>
        <v>35.298675680001821</v>
      </c>
      <c r="U474" s="345">
        <f t="shared" si="208"/>
        <v>55274</v>
      </c>
      <c r="V474" s="345">
        <f t="shared" si="209"/>
        <v>3055215076</v>
      </c>
      <c r="X474" s="371">
        <f t="shared" si="203"/>
        <v>10.992408148426083</v>
      </c>
      <c r="Y474" s="372">
        <f t="shared" si="204"/>
        <v>-56.282041136024333</v>
      </c>
      <c r="AA474" s="371">
        <f t="shared" si="205"/>
        <v>14.769663680555814</v>
      </c>
      <c r="AB474" s="372">
        <f t="shared" si="206"/>
        <v>-88.419283183973874</v>
      </c>
      <c r="AD474">
        <f t="shared" si="210"/>
        <v>0</v>
      </c>
      <c r="AE474">
        <f t="shared" ref="AE474:AE537" si="213">IF(AD474&gt;0,S474,0)</f>
        <v>0</v>
      </c>
    </row>
    <row r="475" spans="1:31" x14ac:dyDescent="0.2">
      <c r="A475" s="373">
        <v>55594</v>
      </c>
      <c r="B475" s="390">
        <f t="shared" si="207"/>
        <v>55.594000000000001</v>
      </c>
      <c r="C475" s="363">
        <f t="shared" si="188"/>
        <v>73.054188565822187</v>
      </c>
      <c r="D475" s="364">
        <f t="shared" si="189"/>
        <v>1.5571074302196739</v>
      </c>
      <c r="E475" s="364">
        <f t="shared" si="190"/>
        <v>2.303291518319142</v>
      </c>
      <c r="F475" s="365">
        <f t="shared" si="191"/>
        <v>1.121689303300426</v>
      </c>
      <c r="G475" s="364">
        <f t="shared" si="192"/>
        <v>1.1425598419046452</v>
      </c>
      <c r="H475" s="365">
        <f t="shared" si="193"/>
        <v>-0.50489001587642046</v>
      </c>
      <c r="I475" s="363">
        <f t="shared" si="194"/>
        <v>188671.9283599733</v>
      </c>
      <c r="J475" s="366">
        <f t="shared" si="195"/>
        <v>1.5707910265893563</v>
      </c>
      <c r="K475" s="374">
        <f t="shared" si="211"/>
        <v>45.941315234468433</v>
      </c>
      <c r="L475" s="375">
        <f t="shared" si="212"/>
        <v>1.5490277078936456</v>
      </c>
      <c r="M475" s="363">
        <f t="shared" si="196"/>
        <v>1.7514478706740124</v>
      </c>
      <c r="N475" s="366">
        <f t="shared" si="197"/>
        <v>0.96312625221102155</v>
      </c>
      <c r="O475" s="367">
        <f t="shared" si="198"/>
        <v>1.1070741762418186</v>
      </c>
      <c r="P475" s="368">
        <f t="shared" si="199"/>
        <v>0.60638975582820442</v>
      </c>
      <c r="Q475" s="369">
        <f t="shared" si="200"/>
        <v>-20.299604991190719</v>
      </c>
      <c r="R475" s="370">
        <f t="shared" si="201"/>
        <v>-145.04927763805048</v>
      </c>
      <c r="S475" s="372">
        <f t="shared" si="202"/>
        <v>34.950722361949516</v>
      </c>
      <c r="U475" s="345">
        <f t="shared" si="208"/>
        <v>55594</v>
      </c>
      <c r="V475" s="345">
        <f t="shared" si="209"/>
        <v>3090692836</v>
      </c>
      <c r="X475" s="371">
        <f t="shared" si="203"/>
        <v>10.958652738556609</v>
      </c>
      <c r="Y475" s="372">
        <f t="shared" si="204"/>
        <v>-56.430015763887091</v>
      </c>
      <c r="AA475" s="371">
        <f t="shared" si="205"/>
        <v>14.762342183532295</v>
      </c>
      <c r="AB475" s="372">
        <f t="shared" si="206"/>
        <v>-88.619261874163442</v>
      </c>
      <c r="AD475">
        <f t="shared" si="210"/>
        <v>0</v>
      </c>
      <c r="AE475">
        <f t="shared" si="213"/>
        <v>0</v>
      </c>
    </row>
    <row r="476" spans="1:31" x14ac:dyDescent="0.2">
      <c r="A476" s="373">
        <v>55914</v>
      </c>
      <c r="B476" s="390">
        <f t="shared" si="207"/>
        <v>55.914000000000001</v>
      </c>
      <c r="C476" s="363">
        <f t="shared" si="188"/>
        <v>73.474611139536066</v>
      </c>
      <c r="D476" s="364">
        <f t="shared" si="189"/>
        <v>1.5571857630949792</v>
      </c>
      <c r="E476" s="364">
        <f t="shared" si="190"/>
        <v>2.3140560728268511</v>
      </c>
      <c r="F476" s="365">
        <f t="shared" si="191"/>
        <v>1.1239300556884875</v>
      </c>
      <c r="G476" s="364">
        <f t="shared" si="192"/>
        <v>1.1441019981630547</v>
      </c>
      <c r="H476" s="365">
        <f t="shared" si="193"/>
        <v>-0.50732358601330463</v>
      </c>
      <c r="I476" s="363">
        <f t="shared" si="194"/>
        <v>189757.92715612939</v>
      </c>
      <c r="J476" s="366">
        <f t="shared" si="195"/>
        <v>1.5707910569228285</v>
      </c>
      <c r="K476" s="374">
        <f t="shared" si="211"/>
        <v>46.205629286155968</v>
      </c>
      <c r="L476" s="375">
        <f t="shared" si="212"/>
        <v>1.5491522523092107</v>
      </c>
      <c r="M476" s="363">
        <f t="shared" si="196"/>
        <v>1.758249151060834</v>
      </c>
      <c r="N476" s="366">
        <f t="shared" si="197"/>
        <v>0.96581391649418424</v>
      </c>
      <c r="O476" s="367">
        <f t="shared" si="198"/>
        <v>1.1082929268777482</v>
      </c>
      <c r="P476" s="368">
        <f t="shared" si="199"/>
        <v>0.60961843925929426</v>
      </c>
      <c r="Q476" s="369">
        <f t="shared" si="200"/>
        <v>-20.340477643735547</v>
      </c>
      <c r="R476" s="370">
        <f t="shared" si="201"/>
        <v>-145.39666104758697</v>
      </c>
      <c r="S476" s="372">
        <f t="shared" si="202"/>
        <v>34.603338952413026</v>
      </c>
      <c r="U476" s="345">
        <f t="shared" si="208"/>
        <v>55914</v>
      </c>
      <c r="V476" s="345">
        <f t="shared" si="209"/>
        <v>3126375396</v>
      </c>
      <c r="X476" s="371">
        <f t="shared" si="203"/>
        <v>10.924965239428053</v>
      </c>
      <c r="Y476" s="372">
        <f t="shared" si="204"/>
        <v>-56.576873452834299</v>
      </c>
      <c r="AA476" s="371">
        <f t="shared" si="205"/>
        <v>14.755157030116024</v>
      </c>
      <c r="AB476" s="372">
        <f t="shared" si="206"/>
        <v>-88.819787594752725</v>
      </c>
      <c r="AD476">
        <f t="shared" si="210"/>
        <v>0</v>
      </c>
      <c r="AE476">
        <f t="shared" si="213"/>
        <v>0</v>
      </c>
    </row>
    <row r="477" spans="1:31" x14ac:dyDescent="0.2">
      <c r="A477" s="373">
        <v>56234</v>
      </c>
      <c r="B477" s="390">
        <f t="shared" si="207"/>
        <v>56.234000000000002</v>
      </c>
      <c r="C477" s="363">
        <f t="shared" si="188"/>
        <v>73.895034158962943</v>
      </c>
      <c r="D477" s="364">
        <f t="shared" si="189"/>
        <v>1.5572632046268553</v>
      </c>
      <c r="E477" s="364">
        <f t="shared" si="190"/>
        <v>2.3248321385137736</v>
      </c>
      <c r="F477" s="365">
        <f t="shared" si="191"/>
        <v>1.1261500464589655</v>
      </c>
      <c r="G477" s="364">
        <f t="shared" si="192"/>
        <v>1.145650911830308</v>
      </c>
      <c r="H477" s="365">
        <f t="shared" si="193"/>
        <v>-0.50975059014463309</v>
      </c>
      <c r="I477" s="363">
        <f t="shared" si="194"/>
        <v>190843.92595228562</v>
      </c>
      <c r="J477" s="366">
        <f t="shared" si="195"/>
        <v>1.5707910869110753</v>
      </c>
      <c r="K477" s="374">
        <f t="shared" si="211"/>
        <v>46.469944046400322</v>
      </c>
      <c r="L477" s="375">
        <f t="shared" si="212"/>
        <v>1.5492753799430663</v>
      </c>
      <c r="M477" s="363">
        <f t="shared" si="196"/>
        <v>1.7650630342969038</v>
      </c>
      <c r="N477" s="366">
        <f t="shared" si="197"/>
        <v>0.96848084889675046</v>
      </c>
      <c r="O477" s="367">
        <f t="shared" si="198"/>
        <v>1.1095183103916813</v>
      </c>
      <c r="P477" s="368">
        <f t="shared" si="199"/>
        <v>0.61284309822507077</v>
      </c>
      <c r="Q477" s="369">
        <f t="shared" si="200"/>
        <v>-20.381148529426397</v>
      </c>
      <c r="R477" s="370">
        <f t="shared" si="201"/>
        <v>-145.74346945725873</v>
      </c>
      <c r="S477" s="372">
        <f t="shared" si="202"/>
        <v>34.256530542741274</v>
      </c>
      <c r="U477" s="345">
        <f t="shared" si="208"/>
        <v>56234</v>
      </c>
      <c r="V477" s="345">
        <f t="shared" si="209"/>
        <v>3162262756</v>
      </c>
      <c r="X477" s="371">
        <f t="shared" si="203"/>
        <v>10.891346089508181</v>
      </c>
      <c r="Y477" s="372">
        <f t="shared" si="204"/>
        <v>-56.722624448353187</v>
      </c>
      <c r="AA477" s="371">
        <f t="shared" si="205"/>
        <v>14.748105294345045</v>
      </c>
      <c r="AB477" s="372">
        <f t="shared" si="206"/>
        <v>-89.020845008905553</v>
      </c>
      <c r="AD477">
        <f t="shared" si="210"/>
        <v>0</v>
      </c>
      <c r="AE477">
        <f t="shared" si="213"/>
        <v>0</v>
      </c>
    </row>
    <row r="478" spans="1:31" x14ac:dyDescent="0.2">
      <c r="A478" s="373">
        <v>56561.5</v>
      </c>
      <c r="B478" s="390">
        <f t="shared" si="207"/>
        <v>56.561500000000002</v>
      </c>
      <c r="C478" s="363">
        <f t="shared" si="188"/>
        <v>74.325311296519914</v>
      </c>
      <c r="D478" s="364">
        <f t="shared" si="189"/>
        <v>1.557341554053133</v>
      </c>
      <c r="E478" s="364">
        <f t="shared" si="190"/>
        <v>2.3358725210232465</v>
      </c>
      <c r="F478" s="365">
        <f t="shared" si="191"/>
        <v>1.1284008482158678</v>
      </c>
      <c r="G478" s="364">
        <f t="shared" si="192"/>
        <v>1.1472430964298401</v>
      </c>
      <c r="H478" s="365">
        <f t="shared" si="193"/>
        <v>-0.51222767651943812</v>
      </c>
      <c r="I478" s="363">
        <f t="shared" si="194"/>
        <v>191955.37784522693</v>
      </c>
      <c r="J478" s="366">
        <f t="shared" si="195"/>
        <v>1.5707911172508284</v>
      </c>
      <c r="K478" s="374">
        <f t="shared" si="211"/>
        <v>46.740454404955855</v>
      </c>
      <c r="L478" s="375">
        <f t="shared" si="212"/>
        <v>1.549399951478909</v>
      </c>
      <c r="M478" s="363">
        <f t="shared" si="196"/>
        <v>1.7720495155909008</v>
      </c>
      <c r="N478" s="366">
        <f t="shared" si="197"/>
        <v>0.9711890313095507</v>
      </c>
      <c r="O478" s="367">
        <f t="shared" si="198"/>
        <v>1.1107792764954076</v>
      </c>
      <c r="P478" s="368">
        <f t="shared" si="199"/>
        <v>0.6161391566522908</v>
      </c>
      <c r="Q478" s="369">
        <f t="shared" si="200"/>
        <v>-20.4225662705514</v>
      </c>
      <c r="R478" s="370">
        <f t="shared" si="201"/>
        <v>-146.09780567709296</v>
      </c>
      <c r="S478" s="372">
        <f t="shared" si="202"/>
        <v>33.902194322907036</v>
      </c>
      <c r="U478" s="345">
        <f t="shared" si="208"/>
        <v>56561.5</v>
      </c>
      <c r="V478" s="345">
        <f t="shared" si="209"/>
        <v>3199203282.25</v>
      </c>
      <c r="X478" s="371">
        <f t="shared" si="203"/>
        <v>10.857010199307114</v>
      </c>
      <c r="Y478" s="372">
        <f t="shared" si="204"/>
        <v>-56.870656186015914</v>
      </c>
      <c r="AA478" s="371">
        <f t="shared" si="205"/>
        <v>14.74102344342111</v>
      </c>
      <c r="AB478" s="372">
        <f t="shared" si="206"/>
        <v>-89.227149491077057</v>
      </c>
      <c r="AD478">
        <f t="shared" si="210"/>
        <v>0</v>
      </c>
      <c r="AE478">
        <f t="shared" si="213"/>
        <v>0</v>
      </c>
    </row>
    <row r="479" spans="1:31" x14ac:dyDescent="0.2">
      <c r="A479" s="373">
        <v>56889</v>
      </c>
      <c r="B479" s="390">
        <f t="shared" si="207"/>
        <v>56.889000000000003</v>
      </c>
      <c r="C479" s="363">
        <f t="shared" si="188"/>
        <v>74.755588885080442</v>
      </c>
      <c r="D479" s="364">
        <f t="shared" si="189"/>
        <v>1.5574190015539466</v>
      </c>
      <c r="E479" s="364">
        <f t="shared" si="190"/>
        <v>2.3469246259449208</v>
      </c>
      <c r="F479" s="365">
        <f t="shared" si="191"/>
        <v>1.1306304622909142</v>
      </c>
      <c r="G479" s="364">
        <f t="shared" si="192"/>
        <v>1.1488423009264659</v>
      </c>
      <c r="H479" s="365">
        <f t="shared" si="193"/>
        <v>-0.51469788173871622</v>
      </c>
      <c r="I479" s="363">
        <f t="shared" si="194"/>
        <v>193066.82973816842</v>
      </c>
      <c r="J479" s="366">
        <f t="shared" si="195"/>
        <v>1.5707911472412603</v>
      </c>
      <c r="K479" s="374">
        <f t="shared" si="211"/>
        <v>47.010965480485616</v>
      </c>
      <c r="L479" s="375">
        <f t="shared" si="212"/>
        <v>1.5495230893945182</v>
      </c>
      <c r="M479" s="363">
        <f t="shared" si="196"/>
        <v>1.7790488914091844</v>
      </c>
      <c r="N479" s="366">
        <f t="shared" si="197"/>
        <v>0.97387592350151908</v>
      </c>
      <c r="O479" s="367">
        <f t="shared" si="198"/>
        <v>1.1120471794286961</v>
      </c>
      <c r="P479" s="368">
        <f t="shared" si="199"/>
        <v>0.61943097670679215</v>
      </c>
      <c r="Q479" s="369">
        <f t="shared" si="200"/>
        <v>-20.463777801083541</v>
      </c>
      <c r="R479" s="370">
        <f t="shared" si="201"/>
        <v>-146.45152936368893</v>
      </c>
      <c r="S479" s="372">
        <f t="shared" si="202"/>
        <v>33.548470636311066</v>
      </c>
      <c r="U479" s="345">
        <f t="shared" si="208"/>
        <v>56889</v>
      </c>
      <c r="V479" s="345">
        <f t="shared" si="209"/>
        <v>3236358321</v>
      </c>
      <c r="X479" s="371">
        <f t="shared" si="203"/>
        <v>10.822746768736017</v>
      </c>
      <c r="Y479" s="372">
        <f t="shared" si="204"/>
        <v>-57.017550204252913</v>
      </c>
      <c r="AA479" s="371">
        <f t="shared" si="205"/>
        <v>14.734075343460065</v>
      </c>
      <c r="AB479" s="372">
        <f t="shared" si="206"/>
        <v>-89.433979159436007</v>
      </c>
      <c r="AD479">
        <f t="shared" si="210"/>
        <v>0</v>
      </c>
      <c r="AE479">
        <f t="shared" si="213"/>
        <v>0</v>
      </c>
    </row>
    <row r="480" spans="1:31" x14ac:dyDescent="0.2">
      <c r="A480" s="373">
        <v>57216.5</v>
      </c>
      <c r="B480" s="390">
        <f t="shared" si="207"/>
        <v>57.216500000000003</v>
      </c>
      <c r="C480" s="363">
        <f t="shared" si="188"/>
        <v>75.185866916901475</v>
      </c>
      <c r="D480" s="364">
        <f t="shared" si="189"/>
        <v>1.5574955626131326</v>
      </c>
      <c r="E480" s="364">
        <f t="shared" si="190"/>
        <v>2.3579882884467747</v>
      </c>
      <c r="F480" s="365">
        <f t="shared" si="191"/>
        <v>1.132839164596749</v>
      </c>
      <c r="G480" s="364">
        <f t="shared" si="192"/>
        <v>1.1504484960457302</v>
      </c>
      <c r="H480" s="365">
        <f t="shared" si="193"/>
        <v>-0.51716120441529378</v>
      </c>
      <c r="I480" s="363">
        <f t="shared" si="194"/>
        <v>194178.28163111012</v>
      </c>
      <c r="J480" s="366">
        <f t="shared" si="195"/>
        <v>1.5707911768883696</v>
      </c>
      <c r="K480" s="374">
        <f t="shared" si="211"/>
        <v>47.281477260683559</v>
      </c>
      <c r="L480" s="375">
        <f t="shared" si="212"/>
        <v>1.5496448182926654</v>
      </c>
      <c r="M480" s="363">
        <f t="shared" si="196"/>
        <v>1.7860610101551118</v>
      </c>
      <c r="N480" s="366">
        <f t="shared" si="197"/>
        <v>0.97654173720587589</v>
      </c>
      <c r="O480" s="367">
        <f t="shared" si="198"/>
        <v>1.1133220138267184</v>
      </c>
      <c r="P480" s="368">
        <f t="shared" si="199"/>
        <v>0.62271854697064788</v>
      </c>
      <c r="Q480" s="369">
        <f t="shared" si="200"/>
        <v>-20.504785641082446</v>
      </c>
      <c r="R480" s="370">
        <f t="shared" si="201"/>
        <v>-146.80463558402542</v>
      </c>
      <c r="S480" s="372">
        <f t="shared" si="202"/>
        <v>33.195364415974581</v>
      </c>
      <c r="U480" s="345">
        <f t="shared" si="208"/>
        <v>57216.5</v>
      </c>
      <c r="V480" s="345">
        <f t="shared" si="209"/>
        <v>3273727872.25</v>
      </c>
      <c r="X480" s="371">
        <f t="shared" si="203"/>
        <v>10.788556207695974</v>
      </c>
      <c r="Y480" s="372">
        <f t="shared" si="204"/>
        <v>-57.163317225192898</v>
      </c>
      <c r="AA480" s="371">
        <f t="shared" si="205"/>
        <v>14.727258064501207</v>
      </c>
      <c r="AB480" s="372">
        <f t="shared" si="206"/>
        <v>-89.641318358832592</v>
      </c>
      <c r="AD480">
        <f t="shared" si="210"/>
        <v>0</v>
      </c>
      <c r="AE480">
        <f t="shared" si="213"/>
        <v>0</v>
      </c>
    </row>
    <row r="481" spans="1:31" x14ac:dyDescent="0.2">
      <c r="A481" s="373">
        <v>57544</v>
      </c>
      <c r="B481" s="390">
        <f t="shared" si="207"/>
        <v>57.543999999999997</v>
      </c>
      <c r="C481" s="363">
        <f t="shared" si="188"/>
        <v>75.616145384416114</v>
      </c>
      <c r="D481" s="364">
        <f t="shared" si="189"/>
        <v>1.557571252362139</v>
      </c>
      <c r="E481" s="364">
        <f t="shared" si="190"/>
        <v>2.3690633466051159</v>
      </c>
      <c r="F481" s="365">
        <f t="shared" si="191"/>
        <v>1.1350272267108208</v>
      </c>
      <c r="G481" s="364">
        <f t="shared" si="192"/>
        <v>1.1520616525488234</v>
      </c>
      <c r="H481" s="365">
        <f t="shared" si="193"/>
        <v>-0.51961764350381789</v>
      </c>
      <c r="I481" s="363">
        <f t="shared" si="194"/>
        <v>195289.73352405193</v>
      </c>
      <c r="J481" s="366">
        <f t="shared" si="195"/>
        <v>1.5707912061980176</v>
      </c>
      <c r="K481" s="374">
        <f t="shared" si="211"/>
        <v>47.551989733523627</v>
      </c>
      <c r="L481" s="375">
        <f t="shared" si="212"/>
        <v>1.5497651622164534</v>
      </c>
      <c r="M481" s="363">
        <f t="shared" si="196"/>
        <v>1.7930857223295529</v>
      </c>
      <c r="N481" s="366">
        <f t="shared" si="197"/>
        <v>0.97918668204525261</v>
      </c>
      <c r="O481" s="367">
        <f t="shared" si="198"/>
        <v>1.1146037743255428</v>
      </c>
      <c r="P481" s="368">
        <f t="shared" si="199"/>
        <v>0.62600185618704629</v>
      </c>
      <c r="Q481" s="369">
        <f t="shared" si="200"/>
        <v>-20.545592263863885</v>
      </c>
      <c r="R481" s="370">
        <f t="shared" si="201"/>
        <v>-147.15711957322662</v>
      </c>
      <c r="S481" s="372">
        <f t="shared" si="202"/>
        <v>32.842880426773377</v>
      </c>
      <c r="U481" s="345">
        <f t="shared" si="208"/>
        <v>57544</v>
      </c>
      <c r="V481" s="345">
        <f t="shared" si="209"/>
        <v>3311311936</v>
      </c>
      <c r="X481" s="371">
        <f t="shared" si="203"/>
        <v>10.754438906819342</v>
      </c>
      <c r="Y481" s="372">
        <f t="shared" si="204"/>
        <v>-57.307967882095404</v>
      </c>
      <c r="AA481" s="371">
        <f t="shared" si="205"/>
        <v>14.720568742596399</v>
      </c>
      <c r="AB481" s="372">
        <f t="shared" si="206"/>
        <v>-89.849151691131183</v>
      </c>
      <c r="AD481">
        <f t="shared" si="210"/>
        <v>0</v>
      </c>
      <c r="AE481">
        <f t="shared" si="213"/>
        <v>0</v>
      </c>
    </row>
    <row r="482" spans="1:31" x14ac:dyDescent="0.2">
      <c r="A482" s="373">
        <v>57879</v>
      </c>
      <c r="B482" s="390">
        <f t="shared" si="207"/>
        <v>57.878999999999998</v>
      </c>
      <c r="C482" s="363">
        <f t="shared" si="188"/>
        <v>76.056278000359157</v>
      </c>
      <c r="D482" s="364">
        <f t="shared" si="189"/>
        <v>1.5576477894107461</v>
      </c>
      <c r="E482" s="364">
        <f t="shared" si="190"/>
        <v>2.380403656327156</v>
      </c>
      <c r="F482" s="365">
        <f t="shared" si="191"/>
        <v>1.1372443211540908</v>
      </c>
      <c r="G482" s="364">
        <f t="shared" si="192"/>
        <v>1.1537189234652083</v>
      </c>
      <c r="H482" s="365">
        <f t="shared" si="193"/>
        <v>-0.52212321433510078</v>
      </c>
      <c r="I482" s="363">
        <f t="shared" si="194"/>
        <v>196426.63851377889</v>
      </c>
      <c r="J482" s="366">
        <f t="shared" si="195"/>
        <v>1.5707912358357092</v>
      </c>
      <c r="K482" s="374">
        <f t="shared" si="211"/>
        <v>47.828697852854532</v>
      </c>
      <c r="L482" s="375">
        <f t="shared" si="212"/>
        <v>1.5498868536900405</v>
      </c>
      <c r="M482" s="363">
        <f t="shared" si="196"/>
        <v>1.8002841814173893</v>
      </c>
      <c r="N482" s="366">
        <f t="shared" si="197"/>
        <v>0.98187082326482256</v>
      </c>
      <c r="O482" s="367">
        <f t="shared" si="198"/>
        <v>1.1159220483640355</v>
      </c>
      <c r="P482" s="368">
        <f t="shared" si="199"/>
        <v>0.62935593558721259</v>
      </c>
      <c r="Q482" s="369">
        <f t="shared" si="200"/>
        <v>-20.587127738209539</v>
      </c>
      <c r="R482" s="370">
        <f t="shared" si="201"/>
        <v>-147.51702715057689</v>
      </c>
      <c r="S482" s="372">
        <f t="shared" si="202"/>
        <v>32.482972849423106</v>
      </c>
      <c r="U482" s="345">
        <f t="shared" si="208"/>
        <v>57879</v>
      </c>
      <c r="V482" s="345">
        <f t="shared" si="209"/>
        <v>3349978641</v>
      </c>
      <c r="X482" s="371">
        <f t="shared" si="203"/>
        <v>10.719616477204665</v>
      </c>
      <c r="Y482" s="372">
        <f t="shared" si="204"/>
        <v>-57.454787136037005</v>
      </c>
      <c r="AA482" s="371">
        <f t="shared" si="205"/>
        <v>14.713855697865423</v>
      </c>
      <c r="AB482" s="372">
        <f t="shared" si="206"/>
        <v>-90.062240014539881</v>
      </c>
      <c r="AD482">
        <f t="shared" si="210"/>
        <v>0</v>
      </c>
      <c r="AE482">
        <f t="shared" si="213"/>
        <v>0</v>
      </c>
    </row>
    <row r="483" spans="1:31" x14ac:dyDescent="0.2">
      <c r="A483" s="373">
        <v>58214</v>
      </c>
      <c r="B483" s="390">
        <f t="shared" si="207"/>
        <v>58.213999999999999</v>
      </c>
      <c r="C483" s="363">
        <f t="shared" si="188"/>
        <v>76.496411056706904</v>
      </c>
      <c r="D483" s="364">
        <f t="shared" si="189"/>
        <v>1.5577234457260514</v>
      </c>
      <c r="E483" s="364">
        <f t="shared" si="190"/>
        <v>2.3917555559508834</v>
      </c>
      <c r="F483" s="365">
        <f t="shared" si="191"/>
        <v>1.1394403804826367</v>
      </c>
      <c r="G483" s="364">
        <f t="shared" si="192"/>
        <v>1.1553834164917207</v>
      </c>
      <c r="H483" s="365">
        <f t="shared" si="193"/>
        <v>-0.52462158155581884</v>
      </c>
      <c r="I483" s="363">
        <f t="shared" si="194"/>
        <v>197563.54350350599</v>
      </c>
      <c r="J483" s="366">
        <f t="shared" si="195"/>
        <v>1.5707912651322928</v>
      </c>
      <c r="K483" s="374">
        <f t="shared" si="211"/>
        <v>48.105406672323454</v>
      </c>
      <c r="L483" s="375">
        <f t="shared" si="212"/>
        <v>1.5500071451936912</v>
      </c>
      <c r="M483" s="363">
        <f t="shared" si="196"/>
        <v>1.8074955074933272</v>
      </c>
      <c r="N483" s="366">
        <f t="shared" si="197"/>
        <v>0.98453356581980844</v>
      </c>
      <c r="O483" s="367">
        <f t="shared" si="198"/>
        <v>1.1172475580125902</v>
      </c>
      <c r="P483" s="368">
        <f t="shared" si="199"/>
        <v>0.63270553323028167</v>
      </c>
      <c r="Q483" s="369">
        <f t="shared" si="200"/>
        <v>-20.628457764447528</v>
      </c>
      <c r="R483" s="370">
        <f t="shared" si="201"/>
        <v>-147.87627410632837</v>
      </c>
      <c r="S483" s="372">
        <f t="shared" si="202"/>
        <v>32.123725893671633</v>
      </c>
      <c r="U483" s="345">
        <f t="shared" si="208"/>
        <v>58214</v>
      </c>
      <c r="V483" s="345">
        <f t="shared" si="209"/>
        <v>3388869796</v>
      </c>
      <c r="X483" s="371">
        <f t="shared" si="203"/>
        <v>10.684871468792792</v>
      </c>
      <c r="Y483" s="372">
        <f t="shared" si="204"/>
        <v>-57.600460529634177</v>
      </c>
      <c r="AA483" s="371">
        <f t="shared" si="205"/>
        <v>14.707270680039304</v>
      </c>
      <c r="AB483" s="372">
        <f t="shared" si="206"/>
        <v>-90.275813576694205</v>
      </c>
      <c r="AD483">
        <f t="shared" si="210"/>
        <v>0</v>
      </c>
      <c r="AE483">
        <f t="shared" si="213"/>
        <v>0</v>
      </c>
    </row>
    <row r="484" spans="1:31" x14ac:dyDescent="0.2">
      <c r="A484" s="373">
        <v>58549</v>
      </c>
      <c r="B484" s="390">
        <f t="shared" si="207"/>
        <v>58.548999999999999</v>
      </c>
      <c r="C484" s="363">
        <f t="shared" si="188"/>
        <v>76.936544545901072</v>
      </c>
      <c r="D484" s="364">
        <f t="shared" si="189"/>
        <v>1.5577982364225036</v>
      </c>
      <c r="E484" s="364">
        <f t="shared" si="190"/>
        <v>2.4031188812304958</v>
      </c>
      <c r="F484" s="365">
        <f t="shared" si="191"/>
        <v>1.1416156817617176</v>
      </c>
      <c r="G484" s="364">
        <f t="shared" si="192"/>
        <v>1.1570551004600478</v>
      </c>
      <c r="H484" s="365">
        <f t="shared" si="193"/>
        <v>-0.52711274513298512</v>
      </c>
      <c r="I484" s="363">
        <f t="shared" si="194"/>
        <v>198700.44849323327</v>
      </c>
      <c r="J484" s="366">
        <f t="shared" si="195"/>
        <v>1.5707912940936239</v>
      </c>
      <c r="K484" s="374">
        <f t="shared" si="211"/>
        <v>48.382116179917631</v>
      </c>
      <c r="L484" s="375">
        <f t="shared" si="212"/>
        <v>1.5501260607442362</v>
      </c>
      <c r="M484" s="363">
        <f t="shared" si="196"/>
        <v>1.8147195471649979</v>
      </c>
      <c r="N484" s="366">
        <f t="shared" si="197"/>
        <v>0.98717512727686885</v>
      </c>
      <c r="O484" s="367">
        <f t="shared" si="198"/>
        <v>1.1185802975353094</v>
      </c>
      <c r="P484" s="368">
        <f t="shared" si="199"/>
        <v>0.63605063758803004</v>
      </c>
      <c r="Q484" s="369">
        <f t="shared" si="200"/>
        <v>-20.669584845995455</v>
      </c>
      <c r="R484" s="370">
        <f t="shared" si="201"/>
        <v>-148.23485585932042</v>
      </c>
      <c r="S484" s="372">
        <f t="shared" si="202"/>
        <v>31.765144140679581</v>
      </c>
      <c r="U484" s="345">
        <f t="shared" si="208"/>
        <v>58549</v>
      </c>
      <c r="V484" s="345">
        <f t="shared" si="209"/>
        <v>3427985401</v>
      </c>
      <c r="X484" s="371">
        <f t="shared" si="203"/>
        <v>10.65020424025918</v>
      </c>
      <c r="Y484" s="372">
        <f t="shared" si="204"/>
        <v>-57.744999152810642</v>
      </c>
      <c r="AA484" s="371">
        <f t="shared" si="205"/>
        <v>14.700810827024986</v>
      </c>
      <c r="AB484" s="372">
        <f t="shared" si="206"/>
        <v>-90.489856706509741</v>
      </c>
      <c r="AD484">
        <f t="shared" si="210"/>
        <v>0</v>
      </c>
      <c r="AE484">
        <f t="shared" si="213"/>
        <v>0</v>
      </c>
    </row>
    <row r="485" spans="1:31" x14ac:dyDescent="0.2">
      <c r="A485" s="373">
        <v>58884</v>
      </c>
      <c r="B485" s="390">
        <f t="shared" si="207"/>
        <v>58.884</v>
      </c>
      <c r="C485" s="363">
        <f t="shared" si="188"/>
        <v>77.376678460555311</v>
      </c>
      <c r="D485" s="364">
        <f t="shared" si="189"/>
        <v>1.5578721762706949</v>
      </c>
      <c r="E485" s="364">
        <f t="shared" si="190"/>
        <v>2.4144934708483818</v>
      </c>
      <c r="F485" s="365">
        <f t="shared" si="191"/>
        <v>1.1437704976293133</v>
      </c>
      <c r="G485" s="364">
        <f t="shared" si="192"/>
        <v>1.1587339442474749</v>
      </c>
      <c r="H485" s="365">
        <f t="shared" si="193"/>
        <v>-0.5295967053914411</v>
      </c>
      <c r="I485" s="363">
        <f t="shared" si="194"/>
        <v>199837.35348296069</v>
      </c>
      <c r="J485" s="366">
        <f t="shared" si="195"/>
        <v>1.5707913227254242</v>
      </c>
      <c r="K485" s="374">
        <f t="shared" si="211"/>
        <v>48.658826363897518</v>
      </c>
      <c r="L485" s="375">
        <f t="shared" si="212"/>
        <v>1.5502436238123531</v>
      </c>
      <c r="M485" s="363">
        <f t="shared" si="196"/>
        <v>1.8219561492045317</v>
      </c>
      <c r="N485" s="366">
        <f t="shared" si="197"/>
        <v>0.98979572293757967</v>
      </c>
      <c r="O485" s="367">
        <f t="shared" si="198"/>
        <v>1.1199202611987118</v>
      </c>
      <c r="P485" s="368">
        <f t="shared" si="199"/>
        <v>0.63939123730626113</v>
      </c>
      <c r="Q485" s="369">
        <f t="shared" si="200"/>
        <v>-20.710511440388188</v>
      </c>
      <c r="R485" s="370">
        <f t="shared" si="201"/>
        <v>-148.59276799433312</v>
      </c>
      <c r="S485" s="372">
        <f t="shared" si="202"/>
        <v>31.407232005666884</v>
      </c>
      <c r="U485" s="345">
        <f t="shared" si="208"/>
        <v>58884</v>
      </c>
      <c r="V485" s="345">
        <f t="shared" si="209"/>
        <v>3467325456</v>
      </c>
      <c r="X485" s="371">
        <f t="shared" si="203"/>
        <v>10.61561513128273</v>
      </c>
      <c r="Y485" s="372">
        <f t="shared" si="204"/>
        <v>-57.888413996995162</v>
      </c>
      <c r="AA485" s="371">
        <f t="shared" si="205"/>
        <v>14.694473341608706</v>
      </c>
      <c r="AB485" s="372">
        <f t="shared" si="206"/>
        <v>-90.704353997337961</v>
      </c>
      <c r="AD485">
        <f t="shared" si="210"/>
        <v>0</v>
      </c>
      <c r="AE485">
        <f t="shared" si="213"/>
        <v>0</v>
      </c>
    </row>
    <row r="486" spans="1:31" x14ac:dyDescent="0.2">
      <c r="A486" s="373">
        <v>59227</v>
      </c>
      <c r="B486" s="390">
        <f t="shared" si="207"/>
        <v>59.226999999999997</v>
      </c>
      <c r="C486" s="363">
        <f t="shared" si="188"/>
        <v>77.827323469141348</v>
      </c>
      <c r="D486" s="364">
        <f t="shared" si="189"/>
        <v>1.5579470153523158</v>
      </c>
      <c r="E486" s="364">
        <f t="shared" si="190"/>
        <v>2.4261511980452939</v>
      </c>
      <c r="F486" s="365">
        <f t="shared" si="191"/>
        <v>1.145955826888712</v>
      </c>
      <c r="G486" s="364">
        <f t="shared" si="192"/>
        <v>1.1604602657051024</v>
      </c>
      <c r="H486" s="365">
        <f t="shared" si="193"/>
        <v>-0.53213252141263023</v>
      </c>
      <c r="I486" s="363">
        <f t="shared" si="194"/>
        <v>201001.40844259225</v>
      </c>
      <c r="J486" s="366">
        <f t="shared" si="195"/>
        <v>1.5707913517053798</v>
      </c>
      <c r="K486" s="374">
        <f t="shared" si="211"/>
        <v>48.942145241096931</v>
      </c>
      <c r="L486" s="375">
        <f t="shared" si="212"/>
        <v>1.5503626169957132</v>
      </c>
      <c r="M486" s="363">
        <f t="shared" si="196"/>
        <v>1.8293784258708434</v>
      </c>
      <c r="N486" s="366">
        <f t="shared" si="197"/>
        <v>0.99245739968400937</v>
      </c>
      <c r="O486" s="367">
        <f t="shared" si="198"/>
        <v>1.1212997029852798</v>
      </c>
      <c r="P486" s="368">
        <f t="shared" si="199"/>
        <v>0.64280693358032803</v>
      </c>
      <c r="Q486" s="369">
        <f t="shared" si="200"/>
        <v>-20.752210179961374</v>
      </c>
      <c r="R486" s="370">
        <f t="shared" si="201"/>
        <v>-148.9585290483293</v>
      </c>
      <c r="S486" s="372">
        <f t="shared" si="202"/>
        <v>31.041470951670703</v>
      </c>
      <c r="U486" s="345">
        <f t="shared" si="208"/>
        <v>59227</v>
      </c>
      <c r="V486" s="345">
        <f t="shared" si="209"/>
        <v>3507837529</v>
      </c>
      <c r="X486" s="371">
        <f t="shared" si="203"/>
        <v>10.58028128919559</v>
      </c>
      <c r="Y486" s="372">
        <f t="shared" si="204"/>
        <v>-58.034100694391952</v>
      </c>
      <c r="AA486" s="371">
        <f t="shared" si="205"/>
        <v>14.688108444122662</v>
      </c>
      <c r="AB486" s="372">
        <f t="shared" si="206"/>
        <v>-90.92442835393733</v>
      </c>
      <c r="AD486">
        <f t="shared" si="210"/>
        <v>0</v>
      </c>
      <c r="AE486">
        <f t="shared" si="213"/>
        <v>0</v>
      </c>
    </row>
    <row r="487" spans="1:31" x14ac:dyDescent="0.2">
      <c r="A487" s="373">
        <v>59570</v>
      </c>
      <c r="B487" s="390">
        <f t="shared" si="207"/>
        <v>59.57</v>
      </c>
      <c r="C487" s="363">
        <f t="shared" si="188"/>
        <v>78.277968908610532</v>
      </c>
      <c r="D487" s="364">
        <f t="shared" si="189"/>
        <v>1.5580209927387436</v>
      </c>
      <c r="E487" s="364">
        <f t="shared" si="190"/>
        <v>2.4378204008791866</v>
      </c>
      <c r="F487" s="365">
        <f t="shared" si="191"/>
        <v>1.1481202452136139</v>
      </c>
      <c r="G487" s="364">
        <f t="shared" si="192"/>
        <v>1.1621940271467925</v>
      </c>
      <c r="H487" s="365">
        <f t="shared" si="193"/>
        <v>-0.53466078778877812</v>
      </c>
      <c r="I487" s="363">
        <f t="shared" si="194"/>
        <v>202165.46340222398</v>
      </c>
      <c r="J487" s="366">
        <f t="shared" si="195"/>
        <v>1.5707913803516063</v>
      </c>
      <c r="K487" s="374">
        <f t="shared" si="211"/>
        <v>49.225464803309606</v>
      </c>
      <c r="L487" s="375">
        <f t="shared" si="212"/>
        <v>1.5504802404385885</v>
      </c>
      <c r="M487" s="363">
        <f t="shared" si="196"/>
        <v>1.8368135580166836</v>
      </c>
      <c r="N487" s="366">
        <f t="shared" si="197"/>
        <v>0.99509754691176122</v>
      </c>
      <c r="O487" s="367">
        <f t="shared" si="198"/>
        <v>1.1226867059104977</v>
      </c>
      <c r="P487" s="368">
        <f t="shared" si="199"/>
        <v>0.64621788396510638</v>
      </c>
      <c r="Q487" s="369">
        <f t="shared" si="200"/>
        <v>-20.793703814543932</v>
      </c>
      <c r="R487" s="370">
        <f t="shared" si="201"/>
        <v>-149.32357926756762</v>
      </c>
      <c r="S487" s="372">
        <f t="shared" si="202"/>
        <v>30.676420732432376</v>
      </c>
      <c r="U487" s="345">
        <f t="shared" si="208"/>
        <v>59570</v>
      </c>
      <c r="V487" s="345">
        <f t="shared" si="209"/>
        <v>3548584900</v>
      </c>
      <c r="X487" s="371">
        <f t="shared" si="203"/>
        <v>10.54503000412971</v>
      </c>
      <c r="Y487" s="372">
        <f t="shared" si="204"/>
        <v>-58.178632302459782</v>
      </c>
      <c r="AA487" s="371">
        <f t="shared" si="205"/>
        <v>14.681866094605983</v>
      </c>
      <c r="AB487" s="372">
        <f t="shared" si="206"/>
        <v>-91.14494696510782</v>
      </c>
      <c r="AD487">
        <f t="shared" si="210"/>
        <v>0</v>
      </c>
      <c r="AE487">
        <f t="shared" si="213"/>
        <v>0</v>
      </c>
    </row>
    <row r="488" spans="1:31" x14ac:dyDescent="0.2">
      <c r="A488" s="373">
        <v>59913</v>
      </c>
      <c r="B488" s="390">
        <f t="shared" si="207"/>
        <v>59.912999999999997</v>
      </c>
      <c r="C488" s="363">
        <f t="shared" si="188"/>
        <v>78.728614771563741</v>
      </c>
      <c r="D488" s="364">
        <f t="shared" si="189"/>
        <v>1.5580941232262988</v>
      </c>
      <c r="E488" s="364">
        <f t="shared" si="190"/>
        <v>2.4495009153433465</v>
      </c>
      <c r="F488" s="365">
        <f t="shared" si="191"/>
        <v>1.1502640313217736</v>
      </c>
      <c r="G488" s="364">
        <f t="shared" si="192"/>
        <v>1.1639351953254431</v>
      </c>
      <c r="H488" s="365">
        <f t="shared" si="193"/>
        <v>-0.53718150600727133</v>
      </c>
      <c r="I488" s="363">
        <f t="shared" si="194"/>
        <v>203329.51836185585</v>
      </c>
      <c r="J488" s="366">
        <f t="shared" si="195"/>
        <v>1.5707914086698351</v>
      </c>
      <c r="K488" s="374">
        <f t="shared" si="211"/>
        <v>49.508785038775336</v>
      </c>
      <c r="L488" s="375">
        <f t="shared" si="212"/>
        <v>1.550596517653231</v>
      </c>
      <c r="M488" s="363">
        <f t="shared" si="196"/>
        <v>1.8442613901616216</v>
      </c>
      <c r="N488" s="366">
        <f t="shared" si="197"/>
        <v>0.99771638842476085</v>
      </c>
      <c r="O488" s="367">
        <f t="shared" si="198"/>
        <v>1.1240812638304387</v>
      </c>
      <c r="P488" s="368">
        <f t="shared" si="199"/>
        <v>0.64962407683629564</v>
      </c>
      <c r="Q488" s="369">
        <f t="shared" si="200"/>
        <v>-20.834994840334456</v>
      </c>
      <c r="R488" s="370">
        <f t="shared" si="201"/>
        <v>-149.68791442585729</v>
      </c>
      <c r="S488" s="372">
        <f t="shared" si="202"/>
        <v>30.312085574142714</v>
      </c>
      <c r="U488" s="345">
        <f t="shared" si="208"/>
        <v>59913</v>
      </c>
      <c r="V488" s="345">
        <f t="shared" si="209"/>
        <v>3589567569</v>
      </c>
      <c r="X488" s="371">
        <f t="shared" si="203"/>
        <v>10.509861582037171</v>
      </c>
      <c r="Y488" s="372">
        <f t="shared" si="204"/>
        <v>-58.322020297394594</v>
      </c>
      <c r="AA488" s="371">
        <f t="shared" si="205"/>
        <v>14.675743490907998</v>
      </c>
      <c r="AB488" s="372">
        <f t="shared" si="206"/>
        <v>-91.365894128462685</v>
      </c>
      <c r="AD488">
        <f t="shared" si="210"/>
        <v>0</v>
      </c>
      <c r="AE488">
        <f t="shared" si="213"/>
        <v>0</v>
      </c>
    </row>
    <row r="489" spans="1:31" x14ac:dyDescent="0.2">
      <c r="A489" s="373">
        <v>60256</v>
      </c>
      <c r="B489" s="390">
        <f t="shared" si="207"/>
        <v>60.256</v>
      </c>
      <c r="C489" s="363">
        <f t="shared" si="188"/>
        <v>79.179261050770194</v>
      </c>
      <c r="D489" s="364">
        <f t="shared" si="189"/>
        <v>1.5581664212744879</v>
      </c>
      <c r="E489" s="364">
        <f t="shared" si="190"/>
        <v>2.4611925803870007</v>
      </c>
      <c r="F489" s="365">
        <f t="shared" si="191"/>
        <v>1.1523874594011414</v>
      </c>
      <c r="G489" s="364">
        <f t="shared" si="192"/>
        <v>1.1656837370509856</v>
      </c>
      <c r="H489" s="365">
        <f t="shared" si="193"/>
        <v>-0.53969467793031489</v>
      </c>
      <c r="I489" s="363">
        <f t="shared" si="194"/>
        <v>204493.5733214879</v>
      </c>
      <c r="J489" s="366">
        <f t="shared" si="195"/>
        <v>1.5707914366656679</v>
      </c>
      <c r="K489" s="374">
        <f t="shared" si="211"/>
        <v>49.792105936001569</v>
      </c>
      <c r="L489" s="375">
        <f t="shared" si="212"/>
        <v>1.550711471616895</v>
      </c>
      <c r="M489" s="363">
        <f t="shared" si="196"/>
        <v>1.851721769063212</v>
      </c>
      <c r="N489" s="366">
        <f t="shared" si="197"/>
        <v>1.0003141455984144</v>
      </c>
      <c r="O489" s="367">
        <f t="shared" si="198"/>
        <v>1.1254833706053915</v>
      </c>
      <c r="P489" s="368">
        <f t="shared" si="199"/>
        <v>0.65302550075799404</v>
      </c>
      <c r="Q489" s="369">
        <f t="shared" si="200"/>
        <v>-20.876085708276296</v>
      </c>
      <c r="R489" s="370">
        <f t="shared" si="201"/>
        <v>-150.05153046102001</v>
      </c>
      <c r="S489" s="372">
        <f t="shared" si="202"/>
        <v>29.948469538979992</v>
      </c>
      <c r="U489" s="345">
        <f t="shared" si="208"/>
        <v>60256</v>
      </c>
      <c r="V489" s="345">
        <f t="shared" si="209"/>
        <v>3630785536</v>
      </c>
      <c r="X489" s="371">
        <f t="shared" si="203"/>
        <v>10.47477631015024</v>
      </c>
      <c r="Y489" s="372">
        <f t="shared" si="204"/>
        <v>-58.464276046894149</v>
      </c>
      <c r="AA489" s="371">
        <f t="shared" si="205"/>
        <v>14.669737894853085</v>
      </c>
      <c r="AB489" s="372">
        <f t="shared" si="206"/>
        <v>-91.58725441412588</v>
      </c>
      <c r="AD489">
        <f t="shared" si="210"/>
        <v>0</v>
      </c>
      <c r="AE489">
        <f t="shared" si="213"/>
        <v>0</v>
      </c>
    </row>
    <row r="490" spans="1:31" x14ac:dyDescent="0.2">
      <c r="A490" s="373">
        <v>60607</v>
      </c>
      <c r="B490" s="390">
        <f t="shared" si="207"/>
        <v>60.606999999999999</v>
      </c>
      <c r="C490" s="363">
        <f t="shared" si="188"/>
        <v>79.640418453923473</v>
      </c>
      <c r="D490" s="364">
        <f t="shared" si="189"/>
        <v>1.5582395585277862</v>
      </c>
      <c r="E490" s="364">
        <f t="shared" si="190"/>
        <v>2.4731683160576554</v>
      </c>
      <c r="F490" s="365">
        <f t="shared" si="191"/>
        <v>1.1545396190937149</v>
      </c>
      <c r="G490" s="364">
        <f t="shared" si="192"/>
        <v>1.1674806600441607</v>
      </c>
      <c r="H490" s="365">
        <f t="shared" si="193"/>
        <v>-0.54225865608105495</v>
      </c>
      <c r="I490" s="363">
        <f t="shared" si="194"/>
        <v>205684.77825102405</v>
      </c>
      <c r="J490" s="366">
        <f t="shared" si="195"/>
        <v>1.5707914649864123</v>
      </c>
      <c r="K490" s="374">
        <f t="shared" si="211"/>
        <v>50.082035574176679</v>
      </c>
      <c r="L490" s="375">
        <f t="shared" si="212"/>
        <v>1.5508277602440115</v>
      </c>
      <c r="M490" s="363">
        <f t="shared" si="196"/>
        <v>1.8593689825276096</v>
      </c>
      <c r="N490" s="366">
        <f t="shared" si="197"/>
        <v>1.002950892573323</v>
      </c>
      <c r="O490" s="367">
        <f t="shared" si="198"/>
        <v>1.1269259881865579</v>
      </c>
      <c r="P490" s="368">
        <f t="shared" si="199"/>
        <v>0.65650130935766693</v>
      </c>
      <c r="Q490" s="369">
        <f t="shared" si="200"/>
        <v>-20.917930259766251</v>
      </c>
      <c r="R490" s="370">
        <f t="shared" si="201"/>
        <v>-150.42287878854475</v>
      </c>
      <c r="S490" s="372">
        <f t="shared" si="202"/>
        <v>29.57712121145525</v>
      </c>
      <c r="U490" s="345">
        <f t="shared" si="208"/>
        <v>60607</v>
      </c>
      <c r="V490" s="345">
        <f t="shared" si="209"/>
        <v>3673208449</v>
      </c>
      <c r="X490" s="371">
        <f t="shared" si="203"/>
        <v>10.4389590853207</v>
      </c>
      <c r="Y490" s="372">
        <f t="shared" si="204"/>
        <v>-58.608689295485291</v>
      </c>
      <c r="AA490" s="371">
        <f t="shared" si="205"/>
        <v>14.663710568192666</v>
      </c>
      <c r="AB490" s="372">
        <f t="shared" si="206"/>
        <v>-91.81418949305943</v>
      </c>
      <c r="AD490">
        <f t="shared" si="210"/>
        <v>0</v>
      </c>
      <c r="AE490">
        <f t="shared" si="213"/>
        <v>0</v>
      </c>
    </row>
    <row r="491" spans="1:31" x14ac:dyDescent="0.2">
      <c r="A491" s="373">
        <v>60958</v>
      </c>
      <c r="B491" s="390">
        <f t="shared" si="207"/>
        <v>60.957999999999998</v>
      </c>
      <c r="C491" s="363">
        <f t="shared" si="188"/>
        <v>80.101576278172814</v>
      </c>
      <c r="D491" s="364">
        <f t="shared" si="189"/>
        <v>1.5583118536553029</v>
      </c>
      <c r="E491" s="364">
        <f t="shared" si="190"/>
        <v>2.485155396494017</v>
      </c>
      <c r="F491" s="365">
        <f t="shared" si="191"/>
        <v>1.156671026810177</v>
      </c>
      <c r="G491" s="364">
        <f t="shared" si="192"/>
        <v>1.1692852344176616</v>
      </c>
      <c r="H491" s="365">
        <f t="shared" si="193"/>
        <v>-0.54481473694512095</v>
      </c>
      <c r="I491" s="363">
        <f t="shared" si="194"/>
        <v>206875.98318056038</v>
      </c>
      <c r="J491" s="366">
        <f t="shared" si="195"/>
        <v>1.5707914929810114</v>
      </c>
      <c r="K491" s="374">
        <f t="shared" si="211"/>
        <v>50.371965881817061</v>
      </c>
      <c r="L491" s="375">
        <f t="shared" si="212"/>
        <v>1.5509427102075253</v>
      </c>
      <c r="M491" s="363">
        <f t="shared" si="196"/>
        <v>1.8670290171838564</v>
      </c>
      <c r="N491" s="366">
        <f t="shared" si="197"/>
        <v>1.0055660215486213</v>
      </c>
      <c r="O491" s="367">
        <f t="shared" si="198"/>
        <v>1.1283764978687347</v>
      </c>
      <c r="P491" s="368">
        <f t="shared" si="199"/>
        <v>0.65997210032578024</v>
      </c>
      <c r="Q491" s="369">
        <f t="shared" si="200"/>
        <v>-20.95957026076394</v>
      </c>
      <c r="R491" s="370">
        <f t="shared" si="201"/>
        <v>-150.79346595710433</v>
      </c>
      <c r="S491" s="372">
        <f t="shared" si="202"/>
        <v>29.206534042895669</v>
      </c>
      <c r="U491" s="345">
        <f t="shared" si="208"/>
        <v>60958</v>
      </c>
      <c r="V491" s="345">
        <f t="shared" si="209"/>
        <v>3715877764</v>
      </c>
      <c r="X491" s="371">
        <f t="shared" si="203"/>
        <v>10.403229485415419</v>
      </c>
      <c r="Y491" s="372">
        <f t="shared" si="204"/>
        <v>-58.751940605023812</v>
      </c>
      <c r="AA491" s="371">
        <f t="shared" si="205"/>
        <v>14.657800167100266</v>
      </c>
      <c r="AB491" s="372">
        <f t="shared" si="206"/>
        <v>-92.041525352080527</v>
      </c>
      <c r="AD491">
        <f t="shared" si="210"/>
        <v>0</v>
      </c>
      <c r="AE491">
        <f t="shared" si="213"/>
        <v>0</v>
      </c>
    </row>
    <row r="492" spans="1:31" x14ac:dyDescent="0.2">
      <c r="A492" s="373">
        <v>61309</v>
      </c>
      <c r="B492" s="390">
        <f t="shared" si="207"/>
        <v>61.308999999999997</v>
      </c>
      <c r="C492" s="363">
        <f t="shared" si="188"/>
        <v>80.562734516286937</v>
      </c>
      <c r="D492" s="364">
        <f t="shared" si="189"/>
        <v>1.5583833211177975</v>
      </c>
      <c r="E492" s="364">
        <f t="shared" si="190"/>
        <v>2.4971536583213396</v>
      </c>
      <c r="F492" s="365">
        <f t="shared" si="191"/>
        <v>1.1587819621701561</v>
      </c>
      <c r="G492" s="364">
        <f t="shared" si="192"/>
        <v>1.1710974248008583</v>
      </c>
      <c r="H492" s="365">
        <f t="shared" si="193"/>
        <v>-0.54736292370658779</v>
      </c>
      <c r="I492" s="363">
        <f t="shared" si="194"/>
        <v>208067.18811009685</v>
      </c>
      <c r="J492" s="366">
        <f t="shared" si="195"/>
        <v>1.5707915206550671</v>
      </c>
      <c r="K492" s="374">
        <f t="shared" si="211"/>
        <v>50.661896847428991</v>
      </c>
      <c r="L492" s="375">
        <f t="shared" si="212"/>
        <v>1.5510563444873271</v>
      </c>
      <c r="M492" s="363">
        <f t="shared" si="196"/>
        <v>1.8747017158697188</v>
      </c>
      <c r="N492" s="366">
        <f t="shared" si="197"/>
        <v>1.0081597619663785</v>
      </c>
      <c r="O492" s="367">
        <f t="shared" si="198"/>
        <v>1.1298348930887345</v>
      </c>
      <c r="P492" s="368">
        <f t="shared" si="199"/>
        <v>0.66343786201518495</v>
      </c>
      <c r="Q492" s="369">
        <f t="shared" si="200"/>
        <v>-21.001008198230309</v>
      </c>
      <c r="R492" s="370">
        <f t="shared" si="201"/>
        <v>-151.16328811904876</v>
      </c>
      <c r="S492" s="372">
        <f t="shared" si="202"/>
        <v>28.836711880951242</v>
      </c>
      <c r="U492" s="345">
        <f t="shared" si="208"/>
        <v>61309</v>
      </c>
      <c r="V492" s="345">
        <f t="shared" si="209"/>
        <v>3758793481</v>
      </c>
      <c r="X492" s="371">
        <f t="shared" si="203"/>
        <v>10.36758776068149</v>
      </c>
      <c r="Y492" s="372">
        <f t="shared" si="204"/>
        <v>-58.894041805242082</v>
      </c>
      <c r="AA492" s="371">
        <f t="shared" si="205"/>
        <v>14.652003954367824</v>
      </c>
      <c r="AB492" s="372">
        <f t="shared" si="206"/>
        <v>-92.269246313806633</v>
      </c>
      <c r="AD492">
        <f t="shared" si="210"/>
        <v>0</v>
      </c>
      <c r="AE492">
        <f t="shared" si="213"/>
        <v>0</v>
      </c>
    </row>
    <row r="493" spans="1:31" x14ac:dyDescent="0.2">
      <c r="A493" s="373">
        <v>61660</v>
      </c>
      <c r="B493" s="390">
        <f t="shared" si="207"/>
        <v>61.66</v>
      </c>
      <c r="C493" s="363">
        <f t="shared" si="188"/>
        <v>81.023893161199126</v>
      </c>
      <c r="D493" s="364">
        <f t="shared" si="189"/>
        <v>1.5584539750468418</v>
      </c>
      <c r="E493" s="364">
        <f t="shared" si="190"/>
        <v>2.5091629411388179</v>
      </c>
      <c r="F493" s="365">
        <f t="shared" si="191"/>
        <v>1.1608727001773589</v>
      </c>
      <c r="G493" s="364">
        <f t="shared" si="192"/>
        <v>1.1729171958928977</v>
      </c>
      <c r="H493" s="365">
        <f t="shared" si="193"/>
        <v>-0.54990321993995916</v>
      </c>
      <c r="I493" s="363">
        <f t="shared" si="194"/>
        <v>209258.39303963349</v>
      </c>
      <c r="J493" s="366">
        <f t="shared" si="195"/>
        <v>1.5707915480140531</v>
      </c>
      <c r="K493" s="374">
        <f t="shared" si="211"/>
        <v>50.95182845978028</v>
      </c>
      <c r="L493" s="375">
        <f t="shared" si="212"/>
        <v>1.5511686855403952</v>
      </c>
      <c r="M493" s="363">
        <f t="shared" si="196"/>
        <v>1.8823869237276409</v>
      </c>
      <c r="N493" s="366">
        <f t="shared" si="197"/>
        <v>1.0107323406821123</v>
      </c>
      <c r="O493" s="367">
        <f t="shared" si="198"/>
        <v>1.1313011672896776</v>
      </c>
      <c r="P493" s="368">
        <f t="shared" si="199"/>
        <v>0.66689858298191296</v>
      </c>
      <c r="Q493" s="369">
        <f t="shared" si="200"/>
        <v>-21.042246514537478</v>
      </c>
      <c r="R493" s="370">
        <f t="shared" si="201"/>
        <v>-151.53234158810585</v>
      </c>
      <c r="S493" s="372">
        <f t="shared" si="202"/>
        <v>28.467658411894149</v>
      </c>
      <c r="U493" s="345">
        <f t="shared" si="208"/>
        <v>61660</v>
      </c>
      <c r="V493" s="345">
        <f t="shared" si="209"/>
        <v>3801955600</v>
      </c>
      <c r="X493" s="371">
        <f t="shared" si="203"/>
        <v>10.332034143041763</v>
      </c>
      <c r="Y493" s="372">
        <f t="shared" si="204"/>
        <v>-59.035004607627471</v>
      </c>
      <c r="AA493" s="371">
        <f t="shared" si="205"/>
        <v>14.646319255700384</v>
      </c>
      <c r="AB493" s="372">
        <f t="shared" si="206"/>
        <v>-92.497336980478309</v>
      </c>
      <c r="AD493">
        <f t="shared" si="210"/>
        <v>0</v>
      </c>
      <c r="AE493">
        <f t="shared" si="213"/>
        <v>0</v>
      </c>
    </row>
    <row r="494" spans="1:31" x14ac:dyDescent="0.2">
      <c r="A494" s="373">
        <v>62019</v>
      </c>
      <c r="B494" s="390">
        <f t="shared" si="207"/>
        <v>62.018999999999998</v>
      </c>
      <c r="C494" s="363">
        <f t="shared" si="188"/>
        <v>81.495562958070238</v>
      </c>
      <c r="D494" s="364">
        <f t="shared" si="189"/>
        <v>1.5585254121581527</v>
      </c>
      <c r="E494" s="364">
        <f t="shared" si="190"/>
        <v>2.5214571763061993</v>
      </c>
      <c r="F494" s="365">
        <f t="shared" si="191"/>
        <v>1.1629904791153567</v>
      </c>
      <c r="G494" s="364">
        <f t="shared" si="192"/>
        <v>1.1747862483771778</v>
      </c>
      <c r="H494" s="365">
        <f t="shared" si="193"/>
        <v>-0.55249325645330261</v>
      </c>
      <c r="I494" s="363">
        <f t="shared" si="194"/>
        <v>210476.74793907427</v>
      </c>
      <c r="J494" s="366">
        <f t="shared" si="195"/>
        <v>1.5707915756762585</v>
      </c>
      <c r="K494" s="374">
        <f t="shared" si="211"/>
        <v>51.248368857625586</v>
      </c>
      <c r="L494" s="375">
        <f t="shared" si="212"/>
        <v>1.5512822721722808</v>
      </c>
      <c r="M494" s="363">
        <f t="shared" si="196"/>
        <v>1.8902600740717781</v>
      </c>
      <c r="N494" s="366">
        <f t="shared" si="197"/>
        <v>1.0133418967582715</v>
      </c>
      <c r="O494" s="367">
        <f t="shared" si="198"/>
        <v>1.1328090044126815</v>
      </c>
      <c r="P494" s="368">
        <f t="shared" si="199"/>
        <v>0.67043295469936071</v>
      </c>
      <c r="Q494" s="369">
        <f t="shared" si="200"/>
        <v>-21.084220738014842</v>
      </c>
      <c r="R494" s="370">
        <f t="shared" si="201"/>
        <v>-151.90900768194354</v>
      </c>
      <c r="S494" s="372">
        <f t="shared" si="202"/>
        <v>28.090992318056465</v>
      </c>
      <c r="U494" s="345">
        <f t="shared" si="208"/>
        <v>62019</v>
      </c>
      <c r="V494" s="345">
        <f t="shared" si="209"/>
        <v>3846356361</v>
      </c>
      <c r="X494" s="371">
        <f t="shared" si="203"/>
        <v>10.295761551804528</v>
      </c>
      <c r="Y494" s="372">
        <f t="shared" si="204"/>
        <v>-59.178014707669014</v>
      </c>
      <c r="AA494" s="371">
        <f t="shared" si="205"/>
        <v>14.640617623460255</v>
      </c>
      <c r="AB494" s="372">
        <f t="shared" si="206"/>
        <v>-92.730992974274557</v>
      </c>
      <c r="AD494">
        <f t="shared" si="210"/>
        <v>0</v>
      </c>
      <c r="AE494">
        <f t="shared" si="213"/>
        <v>0</v>
      </c>
    </row>
    <row r="495" spans="1:31" x14ac:dyDescent="0.2">
      <c r="A495" s="373">
        <v>62378</v>
      </c>
      <c r="B495" s="390">
        <f t="shared" si="207"/>
        <v>62.378</v>
      </c>
      <c r="C495" s="363">
        <f t="shared" si="188"/>
        <v>81.967233166048061</v>
      </c>
      <c r="D495" s="364">
        <f t="shared" si="189"/>
        <v>1.5585960271179471</v>
      </c>
      <c r="E495" s="364">
        <f t="shared" si="190"/>
        <v>2.5337626104050002</v>
      </c>
      <c r="F495" s="365">
        <f t="shared" si="191"/>
        <v>1.1650876970355253</v>
      </c>
      <c r="G495" s="364">
        <f t="shared" si="192"/>
        <v>1.1766631566002186</v>
      </c>
      <c r="H495" s="365">
        <f t="shared" si="193"/>
        <v>-0.55507504744918723</v>
      </c>
      <c r="I495" s="363">
        <f t="shared" si="194"/>
        <v>211695.10283851519</v>
      </c>
      <c r="J495" s="366">
        <f t="shared" si="195"/>
        <v>1.570791603020059</v>
      </c>
      <c r="K495" s="374">
        <f t="shared" si="211"/>
        <v>51.544909909065524</v>
      </c>
      <c r="L495" s="375">
        <f t="shared" si="212"/>
        <v>1.5513945518637786</v>
      </c>
      <c r="M495" s="363">
        <f t="shared" si="196"/>
        <v>1.8981459898423809</v>
      </c>
      <c r="N495" s="366">
        <f t="shared" si="197"/>
        <v>1.0159297873465578</v>
      </c>
      <c r="O495" s="367">
        <f t="shared" si="198"/>
        <v>1.1343250699126946</v>
      </c>
      <c r="P495" s="368">
        <f t="shared" si="199"/>
        <v>0.67396202972981267</v>
      </c>
      <c r="Q495" s="369">
        <f t="shared" si="200"/>
        <v>-21.125991167462004</v>
      </c>
      <c r="R495" s="370">
        <f t="shared" si="201"/>
        <v>-152.2848623412608</v>
      </c>
      <c r="S495" s="372">
        <f t="shared" si="202"/>
        <v>27.715137658739195</v>
      </c>
      <c r="U495" s="345">
        <f t="shared" si="208"/>
        <v>62378</v>
      </c>
      <c r="V495" s="345">
        <f t="shared" si="209"/>
        <v>3891014884</v>
      </c>
      <c r="X495" s="371">
        <f t="shared" si="203"/>
        <v>10.259581564032681</v>
      </c>
      <c r="Y495" s="372">
        <f t="shared" si="204"/>
        <v>-59.31985833061804</v>
      </c>
      <c r="AA495" s="371">
        <f t="shared" si="205"/>
        <v>14.635027181784935</v>
      </c>
      <c r="AB495" s="372">
        <f t="shared" si="206"/>
        <v>-92.965004010642787</v>
      </c>
      <c r="AD495">
        <f t="shared" si="210"/>
        <v>0</v>
      </c>
      <c r="AE495">
        <f t="shared" si="213"/>
        <v>0</v>
      </c>
    </row>
    <row r="496" spans="1:31" x14ac:dyDescent="0.2">
      <c r="A496" s="373">
        <v>62737</v>
      </c>
      <c r="B496" s="390">
        <f t="shared" si="207"/>
        <v>62.737000000000002</v>
      </c>
      <c r="C496" s="363">
        <f t="shared" si="188"/>
        <v>82.43890377807621</v>
      </c>
      <c r="D496" s="364">
        <f t="shared" si="189"/>
        <v>1.5586658340372277</v>
      </c>
      <c r="E496" s="364">
        <f t="shared" si="190"/>
        <v>2.5460790810588327</v>
      </c>
      <c r="F496" s="365">
        <f t="shared" si="191"/>
        <v>1.1671646337417789</v>
      </c>
      <c r="G496" s="364">
        <f t="shared" si="192"/>
        <v>1.1785478830298139</v>
      </c>
      <c r="H496" s="365">
        <f t="shared" si="193"/>
        <v>-0.5576485979856971</v>
      </c>
      <c r="I496" s="363">
        <f t="shared" si="194"/>
        <v>212913.45773795625</v>
      </c>
      <c r="J496" s="366">
        <f t="shared" si="195"/>
        <v>1.5707916300509208</v>
      </c>
      <c r="K496" s="374">
        <f t="shared" si="211"/>
        <v>51.841451602884121</v>
      </c>
      <c r="L496" s="375">
        <f t="shared" si="212"/>
        <v>1.5515055470397801</v>
      </c>
      <c r="M496" s="363">
        <f t="shared" si="196"/>
        <v>1.9060445125955001</v>
      </c>
      <c r="N496" s="366">
        <f t="shared" si="197"/>
        <v>1.0184962469086078</v>
      </c>
      <c r="O496" s="367">
        <f t="shared" si="198"/>
        <v>1.135849356797388</v>
      </c>
      <c r="P496" s="368">
        <f t="shared" si="199"/>
        <v>0.67748579648251384</v>
      </c>
      <c r="Q496" s="369">
        <f t="shared" si="200"/>
        <v>-21.167560278795566</v>
      </c>
      <c r="R496" s="370">
        <f t="shared" si="201"/>
        <v>-152.65990211780431</v>
      </c>
      <c r="S496" s="372">
        <f t="shared" si="202"/>
        <v>27.340097882195693</v>
      </c>
      <c r="U496" s="345">
        <f t="shared" si="208"/>
        <v>62737</v>
      </c>
      <c r="V496" s="345">
        <f t="shared" si="209"/>
        <v>3935931169</v>
      </c>
      <c r="X496" s="371">
        <f t="shared" si="203"/>
        <v>10.223494371764172</v>
      </c>
      <c r="Y496" s="372">
        <f t="shared" si="204"/>
        <v>-59.460547625598352</v>
      </c>
      <c r="AA496" s="371">
        <f t="shared" si="205"/>
        <v>14.629545262719891</v>
      </c>
      <c r="AB496" s="372">
        <f t="shared" si="206"/>
        <v>-93.19935449220597</v>
      </c>
      <c r="AD496">
        <f t="shared" si="210"/>
        <v>0</v>
      </c>
      <c r="AE496">
        <f t="shared" si="213"/>
        <v>0</v>
      </c>
    </row>
    <row r="497" spans="1:31" x14ac:dyDescent="0.2">
      <c r="A497" s="373">
        <v>63096</v>
      </c>
      <c r="B497" s="390">
        <f t="shared" si="207"/>
        <v>63.095999999999997</v>
      </c>
      <c r="C497" s="363">
        <f t="shared" si="188"/>
        <v>82.910574787258881</v>
      </c>
      <c r="D497" s="364">
        <f t="shared" si="189"/>
        <v>1.5587348467059232</v>
      </c>
      <c r="E497" s="364">
        <f t="shared" si="190"/>
        <v>2.5584064288738655</v>
      </c>
      <c r="F497" s="365">
        <f t="shared" si="191"/>
        <v>1.1692215643523944</v>
      </c>
      <c r="G497" s="364">
        <f t="shared" si="192"/>
        <v>1.1804403902176179</v>
      </c>
      <c r="H497" s="365">
        <f t="shared" si="193"/>
        <v>-0.56021391352530125</v>
      </c>
      <c r="I497" s="363">
        <f t="shared" si="194"/>
        <v>214131.8126373975</v>
      </c>
      <c r="J497" s="366">
        <f t="shared" si="195"/>
        <v>1.5707916567741851</v>
      </c>
      <c r="K497" s="374">
        <f t="shared" si="211"/>
        <v>52.137993928120537</v>
      </c>
      <c r="L497" s="375">
        <f t="shared" si="212"/>
        <v>1.5516152796151252</v>
      </c>
      <c r="M497" s="363">
        <f t="shared" si="196"/>
        <v>1.913955486251433</v>
      </c>
      <c r="N497" s="366">
        <f t="shared" si="197"/>
        <v>1.0210415071682155</v>
      </c>
      <c r="O497" s="367">
        <f t="shared" si="198"/>
        <v>1.1373818580831474</v>
      </c>
      <c r="P497" s="368">
        <f t="shared" si="199"/>
        <v>0.68100424358500444</v>
      </c>
      <c r="Q497" s="369">
        <f t="shared" si="200"/>
        <v>-21.208930504033798</v>
      </c>
      <c r="R497" s="370">
        <f t="shared" si="201"/>
        <v>-153.03412372141872</v>
      </c>
      <c r="S497" s="372">
        <f t="shared" si="202"/>
        <v>26.965876278581277</v>
      </c>
      <c r="U497" s="345">
        <f t="shared" si="208"/>
        <v>63096</v>
      </c>
      <c r="V497" s="345">
        <f t="shared" si="209"/>
        <v>3981105216</v>
      </c>
      <c r="X497" s="371">
        <f t="shared" si="203"/>
        <v>10.187500149221068</v>
      </c>
      <c r="Y497" s="372">
        <f t="shared" si="204"/>
        <v>-59.600094614083559</v>
      </c>
      <c r="AA497" s="371">
        <f t="shared" si="205"/>
        <v>14.624169260024759</v>
      </c>
      <c r="AB497" s="372">
        <f t="shared" si="206"/>
        <v>-93.434029107335164</v>
      </c>
      <c r="AD497">
        <f t="shared" si="210"/>
        <v>0</v>
      </c>
      <c r="AE497">
        <f t="shared" si="213"/>
        <v>0</v>
      </c>
    </row>
    <row r="498" spans="1:31" x14ac:dyDescent="0.2">
      <c r="A498" s="373">
        <v>63463.25</v>
      </c>
      <c r="B498" s="390">
        <f t="shared" si="207"/>
        <v>63.463250000000002</v>
      </c>
      <c r="C498" s="363">
        <f t="shared" si="188"/>
        <v>83.393085436648192</v>
      </c>
      <c r="D498" s="364">
        <f t="shared" si="189"/>
        <v>1.5588046375327174</v>
      </c>
      <c r="E498" s="364">
        <f t="shared" si="190"/>
        <v>2.5710281571656082</v>
      </c>
      <c r="F498" s="365">
        <f t="shared" si="191"/>
        <v>1.1713053452907254</v>
      </c>
      <c r="G498" s="364">
        <f t="shared" si="192"/>
        <v>1.1823844002347097</v>
      </c>
      <c r="H498" s="365">
        <f t="shared" si="193"/>
        <v>-0.56282966637784104</v>
      </c>
      <c r="I498" s="363">
        <f t="shared" si="194"/>
        <v>215378.16594330239</v>
      </c>
      <c r="J498" s="366">
        <f t="shared" si="195"/>
        <v>1.5707916837987246</v>
      </c>
      <c r="K498" s="374">
        <f t="shared" si="211"/>
        <v>52.441351586856563</v>
      </c>
      <c r="L498" s="375">
        <f t="shared" si="212"/>
        <v>1.5517262497733</v>
      </c>
      <c r="M498" s="363">
        <f t="shared" si="196"/>
        <v>1.9220609811315514</v>
      </c>
      <c r="N498" s="366">
        <f t="shared" si="197"/>
        <v>1.0236235618926235</v>
      </c>
      <c r="O498" s="367">
        <f t="shared" si="198"/>
        <v>1.1389580694715775</v>
      </c>
      <c r="P498" s="368">
        <f t="shared" si="199"/>
        <v>0.6845980303089968</v>
      </c>
      <c r="Q498" s="369">
        <f t="shared" si="200"/>
        <v>-21.251048134355898</v>
      </c>
      <c r="R498" s="370">
        <f t="shared" si="201"/>
        <v>-153.41609526379492</v>
      </c>
      <c r="S498" s="372">
        <f t="shared" si="202"/>
        <v>26.583904736205085</v>
      </c>
      <c r="U498" s="345">
        <f t="shared" si="208"/>
        <v>63463.25</v>
      </c>
      <c r="V498" s="345">
        <f t="shared" si="209"/>
        <v>4027584100.5625</v>
      </c>
      <c r="X498" s="371">
        <f t="shared" si="203"/>
        <v>10.150775123938301</v>
      </c>
      <c r="Y498" s="372">
        <f t="shared" si="204"/>
        <v>-59.74167887910248</v>
      </c>
      <c r="AA498" s="371">
        <f t="shared" si="205"/>
        <v>14.618776654985425</v>
      </c>
      <c r="AB498" s="372">
        <f t="shared" si="206"/>
        <v>-93.674416384692421</v>
      </c>
      <c r="AD498">
        <f t="shared" si="210"/>
        <v>0</v>
      </c>
      <c r="AE498">
        <f t="shared" si="213"/>
        <v>0</v>
      </c>
    </row>
    <row r="499" spans="1:31" x14ac:dyDescent="0.2">
      <c r="A499" s="373">
        <v>63830.5</v>
      </c>
      <c r="B499" s="390">
        <f t="shared" si="207"/>
        <v>63.830500000000001</v>
      </c>
      <c r="C499" s="363">
        <f t="shared" si="188"/>
        <v>83.875596487551817</v>
      </c>
      <c r="D499" s="364">
        <f t="shared" si="189"/>
        <v>1.5588736253886204</v>
      </c>
      <c r="E499" s="364">
        <f t="shared" si="190"/>
        <v>2.5836609401263884</v>
      </c>
      <c r="F499" s="365">
        <f t="shared" si="191"/>
        <v>1.1733687578659353</v>
      </c>
      <c r="G499" s="364">
        <f t="shared" si="192"/>
        <v>1.1843364737277313</v>
      </c>
      <c r="H499" s="365">
        <f t="shared" si="193"/>
        <v>-0.56543681423094849</v>
      </c>
      <c r="I499" s="363">
        <f t="shared" si="194"/>
        <v>216624.51924920743</v>
      </c>
      <c r="J499" s="366">
        <f t="shared" si="195"/>
        <v>1.5707917105122917</v>
      </c>
      <c r="K499" s="374">
        <f t="shared" si="211"/>
        <v>52.744709883946761</v>
      </c>
      <c r="L499" s="375">
        <f t="shared" si="212"/>
        <v>1.5518359434552937</v>
      </c>
      <c r="M499" s="363">
        <f t="shared" si="196"/>
        <v>1.9301791827311188</v>
      </c>
      <c r="N499" s="366">
        <f t="shared" si="197"/>
        <v>1.0261839136764743</v>
      </c>
      <c r="O499" s="367">
        <f t="shared" si="198"/>
        <v>1.1405428623865645</v>
      </c>
      <c r="P499" s="368">
        <f t="shared" si="199"/>
        <v>0.68818622669602314</v>
      </c>
      <c r="Q499" s="369">
        <f t="shared" si="200"/>
        <v>-21.292962645379241</v>
      </c>
      <c r="R499" s="370">
        <f t="shared" si="201"/>
        <v>-153.79720411968853</v>
      </c>
      <c r="S499" s="372">
        <f t="shared" si="202"/>
        <v>26.20279588031147</v>
      </c>
      <c r="U499" s="345">
        <f t="shared" si="208"/>
        <v>63830.5</v>
      </c>
      <c r="V499" s="345">
        <f t="shared" si="209"/>
        <v>4074332730.25</v>
      </c>
      <c r="X499" s="371">
        <f t="shared" si="203"/>
        <v>10.11414770448183</v>
      </c>
      <c r="Y499" s="372">
        <f t="shared" si="204"/>
        <v>-59.882092776103548</v>
      </c>
      <c r="AA499" s="371">
        <f t="shared" si="205"/>
        <v>14.613489563418554</v>
      </c>
      <c r="AB499" s="372">
        <f t="shared" si="206"/>
        <v>-93.915111343584968</v>
      </c>
      <c r="AD499">
        <f t="shared" si="210"/>
        <v>0</v>
      </c>
      <c r="AE499">
        <f t="shared" si="213"/>
        <v>0</v>
      </c>
    </row>
    <row r="500" spans="1:31" x14ac:dyDescent="0.2">
      <c r="A500" s="373">
        <v>64197.75</v>
      </c>
      <c r="B500" s="390">
        <f t="shared" si="207"/>
        <v>64.197749999999999</v>
      </c>
      <c r="C500" s="363">
        <f t="shared" si="188"/>
        <v>84.358107933080007</v>
      </c>
      <c r="D500" s="364">
        <f t="shared" si="189"/>
        <v>1.5589418240514672</v>
      </c>
      <c r="E500" s="364">
        <f t="shared" si="190"/>
        <v>2.5963046163908228</v>
      </c>
      <c r="F500" s="365">
        <f t="shared" si="191"/>
        <v>1.1754120819521303</v>
      </c>
      <c r="G500" s="364">
        <f t="shared" si="192"/>
        <v>1.1862965708908766</v>
      </c>
      <c r="H500" s="365">
        <f t="shared" si="193"/>
        <v>-0.56803536420847167</v>
      </c>
      <c r="I500" s="363">
        <f t="shared" si="194"/>
        <v>217870.87255511261</v>
      </c>
      <c r="J500" s="366">
        <f t="shared" si="195"/>
        <v>1.5707917369202233</v>
      </c>
      <c r="K500" s="374">
        <f t="shared" si="211"/>
        <v>53.04806880843973</v>
      </c>
      <c r="L500" s="375">
        <f t="shared" si="212"/>
        <v>1.5519443825572861</v>
      </c>
      <c r="M500" s="363">
        <f t="shared" si="196"/>
        <v>1.938309931391913</v>
      </c>
      <c r="N500" s="366">
        <f t="shared" si="197"/>
        <v>1.0287228018554189</v>
      </c>
      <c r="O500" s="367">
        <f t="shared" si="198"/>
        <v>1.1421362293830901</v>
      </c>
      <c r="P500" s="368">
        <f t="shared" si="199"/>
        <v>0.69176882127357353</v>
      </c>
      <c r="Q500" s="369">
        <f t="shared" si="200"/>
        <v>-21.334676505325163</v>
      </c>
      <c r="R500" s="370">
        <f t="shared" si="201"/>
        <v>-154.17744725241596</v>
      </c>
      <c r="S500" s="372">
        <f t="shared" si="202"/>
        <v>25.822552747584041</v>
      </c>
      <c r="U500" s="345">
        <f t="shared" si="208"/>
        <v>64197.75</v>
      </c>
      <c r="V500" s="345">
        <f t="shared" si="209"/>
        <v>4121351105.0625</v>
      </c>
      <c r="X500" s="371">
        <f t="shared" si="203"/>
        <v>10.077618022909828</v>
      </c>
      <c r="Y500" s="372">
        <f t="shared" si="204"/>
        <v>-60.021348763756514</v>
      </c>
      <c r="AA500" s="371">
        <f t="shared" si="205"/>
        <v>14.60830538504463</v>
      </c>
      <c r="AB500" s="372">
        <f t="shared" si="206"/>
        <v>-94.156098488659481</v>
      </c>
      <c r="AD500">
        <f t="shared" si="210"/>
        <v>0</v>
      </c>
      <c r="AE500">
        <f t="shared" si="213"/>
        <v>0</v>
      </c>
    </row>
    <row r="501" spans="1:31" x14ac:dyDescent="0.2">
      <c r="A501" s="373">
        <v>64565</v>
      </c>
      <c r="B501" s="390">
        <f t="shared" si="207"/>
        <v>64.564999999999998</v>
      </c>
      <c r="C501" s="363">
        <f t="shared" si="188"/>
        <v>84.840619766499771</v>
      </c>
      <c r="D501" s="364">
        <f t="shared" si="189"/>
        <v>1.5590092469856884</v>
      </c>
      <c r="E501" s="364">
        <f t="shared" si="190"/>
        <v>2.6089590275837908</v>
      </c>
      <c r="F501" s="365">
        <f t="shared" si="191"/>
        <v>1.1774355926714659</v>
      </c>
      <c r="G501" s="364">
        <f t="shared" si="192"/>
        <v>1.1882646520179074</v>
      </c>
      <c r="H501" s="365">
        <f t="shared" si="193"/>
        <v>-0.57062532385180276</v>
      </c>
      <c r="I501" s="363">
        <f t="shared" si="194"/>
        <v>219117.22586101794</v>
      </c>
      <c r="J501" s="366">
        <f t="shared" si="195"/>
        <v>1.5707917630277346</v>
      </c>
      <c r="K501" s="374">
        <f t="shared" si="211"/>
        <v>53.35142834963316</v>
      </c>
      <c r="L501" s="375">
        <f t="shared" si="212"/>
        <v>1.5520515884775647</v>
      </c>
      <c r="M501" s="363">
        <f t="shared" si="196"/>
        <v>1.9464530698787061</v>
      </c>
      <c r="N501" s="366">
        <f t="shared" si="197"/>
        <v>1.0312404628760976</v>
      </c>
      <c r="O501" s="367">
        <f t="shared" si="198"/>
        <v>1.1437381630276184</v>
      </c>
      <c r="P501" s="368">
        <f t="shared" si="199"/>
        <v>0.6953458028034305</v>
      </c>
      <c r="Q501" s="369">
        <f t="shared" si="200"/>
        <v>-21.376192139102702</v>
      </c>
      <c r="R501" s="370">
        <f t="shared" si="201"/>
        <v>-154.55682177994339</v>
      </c>
      <c r="S501" s="372">
        <f t="shared" si="202"/>
        <v>25.443178220056609</v>
      </c>
      <c r="U501" s="345">
        <f t="shared" si="208"/>
        <v>64565</v>
      </c>
      <c r="V501" s="345">
        <f t="shared" si="209"/>
        <v>4168639225</v>
      </c>
      <c r="X501" s="371">
        <f t="shared" si="203"/>
        <v>10.041186194032058</v>
      </c>
      <c r="Y501" s="372">
        <f t="shared" si="204"/>
        <v>-60.159459163723241</v>
      </c>
      <c r="AA501" s="371">
        <f t="shared" si="205"/>
        <v>14.603221580144869</v>
      </c>
      <c r="AB501" s="372">
        <f t="shared" si="206"/>
        <v>-94.39736261622015</v>
      </c>
      <c r="AD501">
        <f t="shared" si="210"/>
        <v>0</v>
      </c>
      <c r="AE501">
        <f t="shared" si="213"/>
        <v>0</v>
      </c>
    </row>
    <row r="502" spans="1:31" x14ac:dyDescent="0.2">
      <c r="A502" s="373">
        <v>64941</v>
      </c>
      <c r="B502" s="390">
        <f t="shared" si="207"/>
        <v>64.941000000000003</v>
      </c>
      <c r="C502" s="363">
        <f t="shared" si="188"/>
        <v>85.334628192441656</v>
      </c>
      <c r="D502" s="364">
        <f t="shared" si="189"/>
        <v>1.5590774863887689</v>
      </c>
      <c r="E502" s="364">
        <f t="shared" si="190"/>
        <v>2.6219258986992466</v>
      </c>
      <c r="F502" s="365">
        <f t="shared" si="191"/>
        <v>1.1794870703230158</v>
      </c>
      <c r="G502" s="364">
        <f t="shared" si="192"/>
        <v>1.1902878543269744</v>
      </c>
      <c r="H502" s="365">
        <f t="shared" si="193"/>
        <v>-0.57326809970706483</v>
      </c>
      <c r="I502" s="363">
        <f t="shared" si="194"/>
        <v>220393.27444650594</v>
      </c>
      <c r="J502" s="366">
        <f t="shared" si="195"/>
        <v>1.570791789451357</v>
      </c>
      <c r="K502" s="374">
        <f t="shared" si="211"/>
        <v>53.662016281884867</v>
      </c>
      <c r="L502" s="375">
        <f t="shared" si="212"/>
        <v>1.5521600928904287</v>
      </c>
      <c r="M502" s="363">
        <f t="shared" si="196"/>
        <v>1.954802899046391</v>
      </c>
      <c r="N502" s="366">
        <f t="shared" si="197"/>
        <v>1.0337963611053986</v>
      </c>
      <c r="O502" s="367">
        <f t="shared" si="198"/>
        <v>1.1453871314030841</v>
      </c>
      <c r="P502" s="368">
        <f t="shared" si="199"/>
        <v>0.69900218180181717</v>
      </c>
      <c r="Q502" s="369">
        <f t="shared" si="200"/>
        <v>-21.418494034355998</v>
      </c>
      <c r="R502" s="370">
        <f t="shared" si="201"/>
        <v>-154.94433243704376</v>
      </c>
      <c r="S502" s="372">
        <f t="shared" si="202"/>
        <v>25.055667562956245</v>
      </c>
      <c r="U502" s="345">
        <f t="shared" si="208"/>
        <v>64941</v>
      </c>
      <c r="V502" s="345">
        <f t="shared" si="209"/>
        <v>4217333481</v>
      </c>
      <c r="X502" s="371">
        <f t="shared" si="203"/>
        <v>10.003987830093298</v>
      </c>
      <c r="Y502" s="372">
        <f t="shared" si="204"/>
        <v>-60.299686014333787</v>
      </c>
      <c r="AA502" s="371">
        <f t="shared" si="205"/>
        <v>14.598118048830329</v>
      </c>
      <c r="AB502" s="372">
        <f t="shared" si="206"/>
        <v>-94.644646422709911</v>
      </c>
      <c r="AD502">
        <f t="shared" si="210"/>
        <v>0</v>
      </c>
      <c r="AE502">
        <f t="shared" si="213"/>
        <v>0</v>
      </c>
    </row>
    <row r="503" spans="1:31" x14ac:dyDescent="0.2">
      <c r="A503" s="373">
        <v>65317</v>
      </c>
      <c r="B503" s="390">
        <f t="shared" si="207"/>
        <v>65.316999999999993</v>
      </c>
      <c r="C503" s="363">
        <f t="shared" si="188"/>
        <v>85.828637011179808</v>
      </c>
      <c r="D503" s="364">
        <f t="shared" si="189"/>
        <v>1.5591449402532522</v>
      </c>
      <c r="E503" s="364">
        <f t="shared" si="190"/>
        <v>2.634903695715527</v>
      </c>
      <c r="F503" s="365">
        <f t="shared" si="191"/>
        <v>1.18151834800274</v>
      </c>
      <c r="G503" s="364">
        <f t="shared" si="192"/>
        <v>1.1923193416741045</v>
      </c>
      <c r="H503" s="365">
        <f t="shared" si="193"/>
        <v>-0.57590188832177025</v>
      </c>
      <c r="I503" s="363">
        <f t="shared" si="194"/>
        <v>221669.32303199405</v>
      </c>
      <c r="J503" s="366">
        <f t="shared" si="195"/>
        <v>1.5707918155707619</v>
      </c>
      <c r="K503" s="374">
        <f t="shared" si="211"/>
        <v>53.972604838639484</v>
      </c>
      <c r="L503" s="375">
        <f t="shared" si="212"/>
        <v>1.5522673485143805</v>
      </c>
      <c r="M503" s="363">
        <f t="shared" si="196"/>
        <v>1.9631653895141257</v>
      </c>
      <c r="N503" s="366">
        <f t="shared" si="197"/>
        <v>1.0363305010660275</v>
      </c>
      <c r="O503" s="367">
        <f t="shared" si="198"/>
        <v>1.1470450637721878</v>
      </c>
      <c r="P503" s="368">
        <f t="shared" si="199"/>
        <v>0.70265265400242582</v>
      </c>
      <c r="Q503" s="369">
        <f t="shared" si="200"/>
        <v>-21.460593154991709</v>
      </c>
      <c r="R503" s="370">
        <f t="shared" si="201"/>
        <v>-155.33092696963146</v>
      </c>
      <c r="S503" s="372">
        <f t="shared" si="202"/>
        <v>24.669073030368537</v>
      </c>
      <c r="U503" s="345">
        <f t="shared" si="208"/>
        <v>65317</v>
      </c>
      <c r="V503" s="345">
        <f t="shared" si="209"/>
        <v>4266310489</v>
      </c>
      <c r="X503" s="371">
        <f t="shared" si="203"/>
        <v>9.9668922276794163</v>
      </c>
      <c r="Y503" s="372">
        <f t="shared" si="204"/>
        <v>-60.438737740882331</v>
      </c>
      <c r="AA503" s="371">
        <f t="shared" si="205"/>
        <v>14.593114530608496</v>
      </c>
      <c r="AB503" s="372">
        <f t="shared" si="206"/>
        <v>-94.892189228749146</v>
      </c>
      <c r="AD503">
        <f t="shared" si="210"/>
        <v>0</v>
      </c>
      <c r="AE503">
        <f t="shared" si="213"/>
        <v>0</v>
      </c>
    </row>
    <row r="504" spans="1:31" x14ac:dyDescent="0.2">
      <c r="A504" s="373">
        <v>65693</v>
      </c>
      <c r="B504" s="390">
        <f t="shared" si="207"/>
        <v>65.692999999999998</v>
      </c>
      <c r="C504" s="363">
        <f t="shared" si="188"/>
        <v>86.322646215970508</v>
      </c>
      <c r="D504" s="364">
        <f t="shared" si="189"/>
        <v>1.5592116220650136</v>
      </c>
      <c r="E504" s="364">
        <f t="shared" si="190"/>
        <v>2.6478922579832123</v>
      </c>
      <c r="F504" s="365">
        <f t="shared" si="191"/>
        <v>1.1835297060813708</v>
      </c>
      <c r="G504" s="364">
        <f t="shared" si="192"/>
        <v>1.1943590717831931</v>
      </c>
      <c r="H504" s="365">
        <f t="shared" si="193"/>
        <v>-0.5785266991080279</v>
      </c>
      <c r="I504" s="363">
        <f t="shared" si="194"/>
        <v>222945.37161748233</v>
      </c>
      <c r="J504" s="366">
        <f t="shared" si="195"/>
        <v>1.570791841391173</v>
      </c>
      <c r="K504" s="374">
        <f t="shared" si="211"/>
        <v>54.283194009177478</v>
      </c>
      <c r="L504" s="375">
        <f t="shared" si="212"/>
        <v>1.5523733767823118</v>
      </c>
      <c r="M504" s="363">
        <f t="shared" si="196"/>
        <v>1.9715403801693143</v>
      </c>
      <c r="N504" s="366">
        <f t="shared" si="197"/>
        <v>1.0388431272855116</v>
      </c>
      <c r="O504" s="367">
        <f t="shared" si="198"/>
        <v>1.1487119521978248</v>
      </c>
      <c r="P504" s="368">
        <f t="shared" si="199"/>
        <v>0.70629720809955843</v>
      </c>
      <c r="Q504" s="369">
        <f t="shared" si="200"/>
        <v>-21.502491969382199</v>
      </c>
      <c r="R504" s="370">
        <f t="shared" si="201"/>
        <v>-155.71660276051648</v>
      </c>
      <c r="S504" s="372">
        <f t="shared" si="202"/>
        <v>24.28339723948352</v>
      </c>
      <c r="U504" s="345">
        <f t="shared" si="208"/>
        <v>65693</v>
      </c>
      <c r="V504" s="345">
        <f t="shared" si="209"/>
        <v>4315570249</v>
      </c>
      <c r="X504" s="371">
        <f t="shared" si="203"/>
        <v>9.9298994572709081</v>
      </c>
      <c r="Y504" s="372">
        <f t="shared" si="204"/>
        <v>-60.576627126049281</v>
      </c>
      <c r="AA504" s="371">
        <f t="shared" si="205"/>
        <v>14.588208486626515</v>
      </c>
      <c r="AB504" s="372">
        <f t="shared" si="206"/>
        <v>-95.139975634467206</v>
      </c>
      <c r="AD504">
        <f t="shared" si="210"/>
        <v>0</v>
      </c>
      <c r="AE504">
        <f t="shared" si="213"/>
        <v>0</v>
      </c>
    </row>
    <row r="505" spans="1:31" x14ac:dyDescent="0.2">
      <c r="A505" s="373">
        <v>66069</v>
      </c>
      <c r="B505" s="390">
        <f t="shared" si="207"/>
        <v>66.069000000000003</v>
      </c>
      <c r="C505" s="363">
        <f t="shared" si="188"/>
        <v>86.816655800223572</v>
      </c>
      <c r="D505" s="364">
        <f t="shared" si="189"/>
        <v>1.5592775450030039</v>
      </c>
      <c r="E505" s="364">
        <f t="shared" si="190"/>
        <v>2.6608914278576137</v>
      </c>
      <c r="F505" s="365">
        <f t="shared" si="191"/>
        <v>1.1855214201024122</v>
      </c>
      <c r="G505" s="364">
        <f t="shared" si="192"/>
        <v>1.1964070024954863</v>
      </c>
      <c r="H505" s="365">
        <f t="shared" si="193"/>
        <v>-0.58114254190872006</v>
      </c>
      <c r="I505" s="363">
        <f t="shared" si="194"/>
        <v>224221.4202029708</v>
      </c>
      <c r="J505" s="366">
        <f t="shared" si="195"/>
        <v>1.5707918669176952</v>
      </c>
      <c r="K505" s="374">
        <f t="shared" si="211"/>
        <v>54.593783783023234</v>
      </c>
      <c r="L505" s="375">
        <f t="shared" si="212"/>
        <v>1.5524781986394902</v>
      </c>
      <c r="M505" s="363">
        <f t="shared" si="196"/>
        <v>1.9799277123865457</v>
      </c>
      <c r="N505" s="366">
        <f t="shared" si="197"/>
        <v>1.0413344812437932</v>
      </c>
      <c r="O505" s="367">
        <f t="shared" si="198"/>
        <v>1.1503877887575873</v>
      </c>
      <c r="P505" s="368">
        <f t="shared" si="199"/>
        <v>0.70993583303934393</v>
      </c>
      <c r="Q505" s="369">
        <f t="shared" si="200"/>
        <v>-21.544192902960859</v>
      </c>
      <c r="R505" s="370">
        <f t="shared" si="201"/>
        <v>-156.10135734393114</v>
      </c>
      <c r="S505" s="372">
        <f t="shared" si="202"/>
        <v>23.898642656068859</v>
      </c>
      <c r="U505" s="345">
        <f t="shared" si="208"/>
        <v>66069</v>
      </c>
      <c r="V505" s="345">
        <f t="shared" si="209"/>
        <v>4365112761</v>
      </c>
      <c r="X505" s="371">
        <f t="shared" si="203"/>
        <v>9.893009572684198</v>
      </c>
      <c r="Y505" s="372">
        <f t="shared" si="204"/>
        <v>-60.713366805833232</v>
      </c>
      <c r="AA505" s="371">
        <f t="shared" si="205"/>
        <v>14.58339743763457</v>
      </c>
      <c r="AB505" s="372">
        <f t="shared" si="206"/>
        <v>-95.387990538097924</v>
      </c>
      <c r="AD505">
        <f t="shared" si="210"/>
        <v>0</v>
      </c>
      <c r="AE505">
        <f t="shared" si="213"/>
        <v>0</v>
      </c>
    </row>
    <row r="506" spans="1:31" x14ac:dyDescent="0.2">
      <c r="A506" s="373">
        <v>66453.75</v>
      </c>
      <c r="B506" s="390">
        <f t="shared" si="207"/>
        <v>66.453749999999999</v>
      </c>
      <c r="C506" s="363">
        <f t="shared" si="188"/>
        <v>87.3221620042452</v>
      </c>
      <c r="D506" s="364">
        <f t="shared" si="189"/>
        <v>1.5593442299182032</v>
      </c>
      <c r="E506" s="364">
        <f t="shared" si="190"/>
        <v>2.6742039243938711</v>
      </c>
      <c r="F506" s="365">
        <f t="shared" si="191"/>
        <v>1.1875394312449683</v>
      </c>
      <c r="G506" s="364">
        <f t="shared" si="192"/>
        <v>1.1985110363961191</v>
      </c>
      <c r="H506" s="365">
        <f t="shared" si="193"/>
        <v>-0.5838099859649577</v>
      </c>
      <c r="I506" s="363">
        <f t="shared" si="194"/>
        <v>225527.16406804186</v>
      </c>
      <c r="J506" s="366">
        <f t="shared" si="195"/>
        <v>1.5707918927392293</v>
      </c>
      <c r="K506" s="374">
        <f t="shared" si="211"/>
        <v>54.911601991255125</v>
      </c>
      <c r="L506" s="375">
        <f t="shared" si="212"/>
        <v>1.5525842323387462</v>
      </c>
      <c r="M506" s="363">
        <f t="shared" si="196"/>
        <v>1.9885228413271385</v>
      </c>
      <c r="N506" s="366">
        <f t="shared" si="197"/>
        <v>1.0438620403690482</v>
      </c>
      <c r="O506" s="367">
        <f t="shared" si="198"/>
        <v>1.1521118788335241</v>
      </c>
      <c r="P506" s="368">
        <f t="shared" si="199"/>
        <v>0.71365298442634117</v>
      </c>
      <c r="Q506" s="369">
        <f t="shared" si="200"/>
        <v>-21.586661915008193</v>
      </c>
      <c r="R506" s="370">
        <f t="shared" si="201"/>
        <v>-156.49410962625328</v>
      </c>
      <c r="S506" s="372">
        <f t="shared" si="202"/>
        <v>23.505890373746723</v>
      </c>
      <c r="U506" s="345">
        <f t="shared" si="208"/>
        <v>66453.75</v>
      </c>
      <c r="V506" s="345">
        <f t="shared" si="209"/>
        <v>4416100889.0625</v>
      </c>
      <c r="X506" s="371">
        <f t="shared" si="203"/>
        <v>9.8553677577232719</v>
      </c>
      <c r="Y506" s="372">
        <f t="shared" si="204"/>
        <v>-60.852111472350053</v>
      </c>
      <c r="AA506" s="371">
        <f t="shared" si="205"/>
        <v>14.57857024054816</v>
      </c>
      <c r="AB506" s="372">
        <f t="shared" si="206"/>
        <v>-95.641998153903259</v>
      </c>
      <c r="AD506">
        <f t="shared" si="210"/>
        <v>0</v>
      </c>
      <c r="AE506">
        <f t="shared" si="213"/>
        <v>0</v>
      </c>
    </row>
    <row r="507" spans="1:31" x14ac:dyDescent="0.2">
      <c r="A507" s="373">
        <v>66838.5</v>
      </c>
      <c r="B507" s="390">
        <f t="shared" si="207"/>
        <v>66.838499999999996</v>
      </c>
      <c r="C507" s="363">
        <f t="shared" si="188"/>
        <v>87.827668592107855</v>
      </c>
      <c r="D507" s="364">
        <f t="shared" si="189"/>
        <v>1.5594101472017043</v>
      </c>
      <c r="E507" s="364">
        <f t="shared" si="190"/>
        <v>2.6875272033602164</v>
      </c>
      <c r="F507" s="365">
        <f t="shared" si="191"/>
        <v>1.1895374420825704</v>
      </c>
      <c r="G507" s="364">
        <f t="shared" si="192"/>
        <v>1.2006235680876165</v>
      </c>
      <c r="H507" s="365">
        <f t="shared" si="193"/>
        <v>-0.58646806198973145</v>
      </c>
      <c r="I507" s="363">
        <f t="shared" si="194"/>
        <v>226832.90793311311</v>
      </c>
      <c r="J507" s="366">
        <f t="shared" si="195"/>
        <v>1.5707919182634842</v>
      </c>
      <c r="K507" s="374">
        <f t="shared" si="211"/>
        <v>55.229420809760711</v>
      </c>
      <c r="L507" s="375">
        <f t="shared" si="212"/>
        <v>1.5526890456930378</v>
      </c>
      <c r="M507" s="363">
        <f t="shared" si="196"/>
        <v>1.9971305646608501</v>
      </c>
      <c r="N507" s="366">
        <f t="shared" si="197"/>
        <v>1.0463678275989563</v>
      </c>
      <c r="O507" s="367">
        <f t="shared" si="198"/>
        <v>1.1538453216238869</v>
      </c>
      <c r="P507" s="368">
        <f t="shared" si="199"/>
        <v>0.71736390487013424</v>
      </c>
      <c r="Q507" s="369">
        <f t="shared" si="200"/>
        <v>-21.62892873448007</v>
      </c>
      <c r="R507" s="370">
        <f t="shared" si="201"/>
        <v>-156.88589257003528</v>
      </c>
      <c r="S507" s="372">
        <f t="shared" si="202"/>
        <v>23.114107429964719</v>
      </c>
      <c r="U507" s="345">
        <f t="shared" si="208"/>
        <v>66838.5</v>
      </c>
      <c r="V507" s="345">
        <f t="shared" si="209"/>
        <v>4467385082.25</v>
      </c>
      <c r="X507" s="371">
        <f t="shared" si="203"/>
        <v>9.817833735760038</v>
      </c>
      <c r="Y507" s="372">
        <f t="shared" si="204"/>
        <v>-60.989678604733314</v>
      </c>
      <c r="AA507" s="371">
        <f t="shared" si="205"/>
        <v>14.573837443039515</v>
      </c>
      <c r="AB507" s="372">
        <f t="shared" si="206"/>
        <v>-95.896213965301911</v>
      </c>
      <c r="AD507">
        <f t="shared" si="210"/>
        <v>0</v>
      </c>
      <c r="AE507">
        <f t="shared" si="213"/>
        <v>0</v>
      </c>
    </row>
    <row r="508" spans="1:31" x14ac:dyDescent="0.2">
      <c r="A508" s="373">
        <v>67223.25</v>
      </c>
      <c r="B508" s="390">
        <f t="shared" si="207"/>
        <v>67.223249999999993</v>
      </c>
      <c r="C508" s="363">
        <f t="shared" si="188"/>
        <v>88.333175557221679</v>
      </c>
      <c r="D508" s="364">
        <f t="shared" si="189"/>
        <v>1.5594753100317778</v>
      </c>
      <c r="E508" s="364">
        <f t="shared" si="190"/>
        <v>2.7008611051882965</v>
      </c>
      <c r="F508" s="365">
        <f t="shared" si="191"/>
        <v>1.1915157327628296</v>
      </c>
      <c r="G508" s="364">
        <f t="shared" si="192"/>
        <v>1.2027445527927587</v>
      </c>
      <c r="H508" s="365">
        <f t="shared" si="193"/>
        <v>-0.58911678188416905</v>
      </c>
      <c r="I508" s="363">
        <f t="shared" si="194"/>
        <v>228138.6517981845</v>
      </c>
      <c r="J508" s="366">
        <f t="shared" si="195"/>
        <v>1.5707919434955648</v>
      </c>
      <c r="K508" s="374">
        <f t="shared" si="211"/>
        <v>55.547240228064766</v>
      </c>
      <c r="L508" s="375">
        <f t="shared" si="212"/>
        <v>1.5527926596470409</v>
      </c>
      <c r="M508" s="363">
        <f t="shared" si="196"/>
        <v>2.005750720240342</v>
      </c>
      <c r="N508" s="366">
        <f t="shared" si="197"/>
        <v>1.0488520919707465</v>
      </c>
      <c r="O508" s="367">
        <f t="shared" si="198"/>
        <v>1.1555881086913045</v>
      </c>
      <c r="P508" s="368">
        <f t="shared" si="199"/>
        <v>0.72106858333632351</v>
      </c>
      <c r="Q508" s="369">
        <f t="shared" si="200"/>
        <v>-21.670995827391781</v>
      </c>
      <c r="R508" s="370">
        <f t="shared" si="201"/>
        <v>-157.27670399775349</v>
      </c>
      <c r="S508" s="372">
        <f t="shared" si="202"/>
        <v>22.723296002246514</v>
      </c>
      <c r="U508" s="345">
        <f t="shared" si="208"/>
        <v>67223.25</v>
      </c>
      <c r="V508" s="345">
        <f t="shared" si="209"/>
        <v>4518965340.5625</v>
      </c>
      <c r="X508" s="371">
        <f t="shared" si="203"/>
        <v>9.7804075137520456</v>
      </c>
      <c r="Y508" s="372">
        <f t="shared" si="204"/>
        <v>-61.126081272016165</v>
      </c>
      <c r="AA508" s="371">
        <f t="shared" si="205"/>
        <v>14.569196572135796</v>
      </c>
      <c r="AB508" s="372">
        <f t="shared" si="206"/>
        <v>-96.150622725737293</v>
      </c>
      <c r="AD508">
        <f t="shared" si="210"/>
        <v>0</v>
      </c>
      <c r="AE508">
        <f t="shared" si="213"/>
        <v>0</v>
      </c>
    </row>
    <row r="509" spans="1:31" x14ac:dyDescent="0.2">
      <c r="A509" s="373">
        <v>67608</v>
      </c>
      <c r="B509" s="390">
        <f t="shared" si="207"/>
        <v>67.608000000000004</v>
      </c>
      <c r="C509" s="363">
        <f t="shared" si="188"/>
        <v>88.838682893146796</v>
      </c>
      <c r="D509" s="364">
        <f t="shared" si="189"/>
        <v>1.5595397312867731</v>
      </c>
      <c r="E509" s="364">
        <f t="shared" si="190"/>
        <v>2.7142054733193768</v>
      </c>
      <c r="F509" s="365">
        <f t="shared" si="191"/>
        <v>1.1934745785480052</v>
      </c>
      <c r="G509" s="364">
        <f t="shared" si="192"/>
        <v>1.2048739458710778</v>
      </c>
      <c r="H509" s="365">
        <f t="shared" si="193"/>
        <v>-0.5917561579908841</v>
      </c>
      <c r="I509" s="363">
        <f t="shared" si="194"/>
        <v>229444.39566325603</v>
      </c>
      <c r="J509" s="366">
        <f t="shared" si="195"/>
        <v>1.5707919684404592</v>
      </c>
      <c r="K509" s="374">
        <f t="shared" si="211"/>
        <v>55.865060235930443</v>
      </c>
      <c r="L509" s="375">
        <f t="shared" si="212"/>
        <v>1.5528950946689131</v>
      </c>
      <c r="M509" s="363">
        <f t="shared" si="196"/>
        <v>2.0143831484615853</v>
      </c>
      <c r="N509" s="366">
        <f t="shared" si="197"/>
        <v>1.0513150793246409</v>
      </c>
      <c r="O509" s="367">
        <f t="shared" si="198"/>
        <v>1.1573402316167334</v>
      </c>
      <c r="P509" s="368">
        <f t="shared" si="199"/>
        <v>0.72476700906007707</v>
      </c>
      <c r="Q509" s="369">
        <f t="shared" si="200"/>
        <v>-21.712865617216334</v>
      </c>
      <c r="R509" s="370">
        <f t="shared" si="201"/>
        <v>-157.66654187947151</v>
      </c>
      <c r="S509" s="372">
        <f t="shared" si="202"/>
        <v>22.333458120528491</v>
      </c>
      <c r="U509" s="345">
        <f t="shared" si="208"/>
        <v>67608</v>
      </c>
      <c r="V509" s="345">
        <f t="shared" si="209"/>
        <v>4570841664</v>
      </c>
      <c r="X509" s="371">
        <f t="shared" si="203"/>
        <v>9.7430890826861987</v>
      </c>
      <c r="Y509" s="372">
        <f t="shared" si="204"/>
        <v>-61.261332387352525</v>
      </c>
      <c r="AA509" s="371">
        <f t="shared" si="205"/>
        <v>14.564645213377094</v>
      </c>
      <c r="AB509" s="372">
        <f t="shared" si="206"/>
        <v>-96.405209492118985</v>
      </c>
      <c r="AD509">
        <f t="shared" si="210"/>
        <v>0</v>
      </c>
      <c r="AE509">
        <f t="shared" si="213"/>
        <v>0</v>
      </c>
    </row>
    <row r="510" spans="1:31" x14ac:dyDescent="0.2">
      <c r="A510" s="373">
        <v>68001.75</v>
      </c>
      <c r="B510" s="390">
        <f t="shared" si="207"/>
        <v>68.001750000000001</v>
      </c>
      <c r="C510" s="363">
        <f t="shared" si="188"/>
        <v>89.356015339433057</v>
      </c>
      <c r="D510" s="364">
        <f t="shared" si="189"/>
        <v>1.5596049048054463</v>
      </c>
      <c r="E510" s="364">
        <f t="shared" si="190"/>
        <v>2.7278726665465198</v>
      </c>
      <c r="F510" s="365">
        <f t="shared" si="191"/>
        <v>1.195459394988901</v>
      </c>
      <c r="G510" s="364">
        <f t="shared" si="192"/>
        <v>1.2070618085842009</v>
      </c>
      <c r="H510" s="365">
        <f t="shared" si="193"/>
        <v>-0.59444761302725702</v>
      </c>
      <c r="I510" s="363">
        <f t="shared" si="194"/>
        <v>230780.68324446972</v>
      </c>
      <c r="J510" s="366">
        <f t="shared" si="195"/>
        <v>1.5707919936766046</v>
      </c>
      <c r="K510" s="374">
        <f t="shared" si="211"/>
        <v>56.190315229915868</v>
      </c>
      <c r="L510" s="375">
        <f t="shared" si="212"/>
        <v>1.5529987260821956</v>
      </c>
      <c r="M510" s="363">
        <f t="shared" si="196"/>
        <v>2.0232300475328904</v>
      </c>
      <c r="N510" s="366">
        <f t="shared" si="197"/>
        <v>1.053813904218061</v>
      </c>
      <c r="O510" s="367">
        <f t="shared" si="198"/>
        <v>1.1591429970949954</v>
      </c>
      <c r="P510" s="368">
        <f t="shared" si="199"/>
        <v>0.72854546286741861</v>
      </c>
      <c r="Q510" s="369">
        <f t="shared" si="200"/>
        <v>-21.75551302253951</v>
      </c>
      <c r="R510" s="370">
        <f t="shared" si="201"/>
        <v>-158.06448883634368</v>
      </c>
      <c r="S510" s="372">
        <f t="shared" si="202"/>
        <v>21.935511163656315</v>
      </c>
      <c r="U510" s="345">
        <f t="shared" si="208"/>
        <v>68001.75</v>
      </c>
      <c r="V510" s="345">
        <f t="shared" si="209"/>
        <v>4624238003.0625</v>
      </c>
      <c r="X510" s="371">
        <f t="shared" si="203"/>
        <v>9.7050092828399919</v>
      </c>
      <c r="Y510" s="372">
        <f t="shared" si="204"/>
        <v>-61.398568310963093</v>
      </c>
      <c r="AA510" s="371">
        <f t="shared" si="205"/>
        <v>14.560077607900118</v>
      </c>
      <c r="AB510" s="372">
        <f t="shared" si="206"/>
        <v>-96.665920525380571</v>
      </c>
      <c r="AD510">
        <f t="shared" si="210"/>
        <v>0</v>
      </c>
      <c r="AE510">
        <f t="shared" si="213"/>
        <v>0</v>
      </c>
    </row>
    <row r="511" spans="1:31" x14ac:dyDescent="0.2">
      <c r="A511" s="373">
        <v>68395.5</v>
      </c>
      <c r="B511" s="390">
        <f t="shared" si="207"/>
        <v>68.395499999999998</v>
      </c>
      <c r="C511" s="363">
        <f t="shared" si="188"/>
        <v>89.873348160897294</v>
      </c>
      <c r="D511" s="364">
        <f t="shared" si="189"/>
        <v>1.5596693280151834</v>
      </c>
      <c r="E511" s="364">
        <f t="shared" si="190"/>
        <v>2.741550499046927</v>
      </c>
      <c r="F511" s="365">
        <f t="shared" si="191"/>
        <v>1.1974244142650652</v>
      </c>
      <c r="G511" s="364">
        <f t="shared" si="192"/>
        <v>1.2092583834920845</v>
      </c>
      <c r="H511" s="365">
        <f t="shared" si="193"/>
        <v>-0.59712930956601096</v>
      </c>
      <c r="I511" s="363">
        <f t="shared" si="194"/>
        <v>232116.97082568359</v>
      </c>
      <c r="J511" s="366">
        <f t="shared" si="195"/>
        <v>1.5707920186221833</v>
      </c>
      <c r="K511" s="374">
        <f t="shared" si="211"/>
        <v>56.515570820409557</v>
      </c>
      <c r="L511" s="375">
        <f t="shared" si="212"/>
        <v>1.5531011646678998</v>
      </c>
      <c r="M511" s="363">
        <f t="shared" si="196"/>
        <v>2.0320894698608227</v>
      </c>
      <c r="N511" s="366">
        <f t="shared" si="197"/>
        <v>1.0562909559128941</v>
      </c>
      <c r="O511" s="367">
        <f t="shared" si="198"/>
        <v>1.1609555225247212</v>
      </c>
      <c r="P511" s="368">
        <f t="shared" si="199"/>
        <v>0.7323173460299941</v>
      </c>
      <c r="Q511" s="369">
        <f t="shared" si="200"/>
        <v>-21.797958790015862</v>
      </c>
      <c r="R511" s="370">
        <f t="shared" si="201"/>
        <v>-158.46141232167511</v>
      </c>
      <c r="S511" s="372">
        <f t="shared" si="202"/>
        <v>21.538587678324888</v>
      </c>
      <c r="U511" s="345">
        <f t="shared" si="208"/>
        <v>68395.5</v>
      </c>
      <c r="V511" s="345">
        <f t="shared" si="209"/>
        <v>4677944420.25</v>
      </c>
      <c r="X511" s="371">
        <f t="shared" si="203"/>
        <v>9.6670423077561356</v>
      </c>
      <c r="Y511" s="372">
        <f t="shared" si="204"/>
        <v>-61.53462504952445</v>
      </c>
      <c r="AA511" s="371">
        <f t="shared" si="205"/>
        <v>14.555598815507629</v>
      </c>
      <c r="AB511" s="372">
        <f t="shared" si="206"/>
        <v>-96.92678727215069</v>
      </c>
      <c r="AD511">
        <f t="shared" si="210"/>
        <v>0</v>
      </c>
      <c r="AE511">
        <f t="shared" si="213"/>
        <v>0</v>
      </c>
    </row>
    <row r="512" spans="1:31" x14ac:dyDescent="0.2">
      <c r="A512" s="373">
        <v>68789.25</v>
      </c>
      <c r="B512" s="390">
        <f t="shared" si="207"/>
        <v>68.789249999999996</v>
      </c>
      <c r="C512" s="363">
        <f t="shared" si="188"/>
        <v>90.390681351097697</v>
      </c>
      <c r="D512" s="364">
        <f t="shared" si="189"/>
        <v>1.5597330137981795</v>
      </c>
      <c r="E512" s="364">
        <f t="shared" si="190"/>
        <v>2.7552388123709641</v>
      </c>
      <c r="F512" s="365">
        <f t="shared" si="191"/>
        <v>1.1993699161505755</v>
      </c>
      <c r="G512" s="364">
        <f t="shared" si="192"/>
        <v>1.2114636232049736</v>
      </c>
      <c r="H512" s="365">
        <f t="shared" si="193"/>
        <v>-0.5998012622222828</v>
      </c>
      <c r="I512" s="363">
        <f t="shared" si="194"/>
        <v>233453.25840689757</v>
      </c>
      <c r="J512" s="366">
        <f t="shared" si="195"/>
        <v>1.5707920432821847</v>
      </c>
      <c r="K512" s="374">
        <f t="shared" si="211"/>
        <v>56.840826997171469</v>
      </c>
      <c r="L512" s="375">
        <f t="shared" si="212"/>
        <v>1.5532024309007522</v>
      </c>
      <c r="M512" s="363">
        <f t="shared" si="196"/>
        <v>2.0409612523622047</v>
      </c>
      <c r="N512" s="366">
        <f t="shared" si="197"/>
        <v>1.058746487748109</v>
      </c>
      <c r="O512" s="367">
        <f t="shared" si="198"/>
        <v>1.1627777989452632</v>
      </c>
      <c r="P512" s="368">
        <f t="shared" si="199"/>
        <v>0.73608264787552391</v>
      </c>
      <c r="Q512" s="369">
        <f t="shared" si="200"/>
        <v>-21.84020538554438</v>
      </c>
      <c r="R512" s="370">
        <f t="shared" si="201"/>
        <v>-158.85731061202074</v>
      </c>
      <c r="S512" s="372">
        <f t="shared" si="202"/>
        <v>21.14268938797926</v>
      </c>
      <c r="U512" s="345">
        <f t="shared" si="208"/>
        <v>68789.25</v>
      </c>
      <c r="V512" s="345">
        <f t="shared" si="209"/>
        <v>4731960915.5625</v>
      </c>
      <c r="X512" s="371">
        <f t="shared" si="203"/>
        <v>9.629188099310662</v>
      </c>
      <c r="Y512" s="372">
        <f t="shared" si="204"/>
        <v>-61.669515945460802</v>
      </c>
      <c r="AA512" s="371">
        <f t="shared" si="205"/>
        <v>14.551206428424585</v>
      </c>
      <c r="AB512" s="372">
        <f t="shared" si="206"/>
        <v>-97.187794666559938</v>
      </c>
      <c r="AD512">
        <f t="shared" si="210"/>
        <v>0</v>
      </c>
      <c r="AE512">
        <f t="shared" si="213"/>
        <v>0</v>
      </c>
    </row>
    <row r="513" spans="1:31" x14ac:dyDescent="0.2">
      <c r="A513" s="373">
        <v>69183</v>
      </c>
      <c r="B513" s="390">
        <f t="shared" si="207"/>
        <v>69.183000000000007</v>
      </c>
      <c r="C513" s="363">
        <f t="shared" si="188"/>
        <v>90.908014903739172</v>
      </c>
      <c r="D513" s="364">
        <f t="shared" si="189"/>
        <v>1.5597959747434171</v>
      </c>
      <c r="E513" s="364">
        <f t="shared" si="190"/>
        <v>2.7689374510819746</v>
      </c>
      <c r="F513" s="365">
        <f t="shared" si="191"/>
        <v>1.201296175480415</v>
      </c>
      <c r="G513" s="364">
        <f t="shared" si="192"/>
        <v>1.2136774804912795</v>
      </c>
      <c r="H513" s="365">
        <f t="shared" si="193"/>
        <v>-0.60246348606171385</v>
      </c>
      <c r="I513" s="363">
        <f t="shared" si="194"/>
        <v>234789.5459881117</v>
      </c>
      <c r="J513" s="366">
        <f t="shared" si="195"/>
        <v>1.570792067661485</v>
      </c>
      <c r="K513" s="374">
        <f t="shared" si="211"/>
        <v>57.166083750194574</v>
      </c>
      <c r="L513" s="375">
        <f t="shared" si="212"/>
        <v>1.5533025447895967</v>
      </c>
      <c r="M513" s="363">
        <f t="shared" si="196"/>
        <v>2.0498452345516043</v>
      </c>
      <c r="N513" s="366">
        <f t="shared" si="197"/>
        <v>1.0611807497180594</v>
      </c>
      <c r="O513" s="367">
        <f t="shared" si="198"/>
        <v>1.1646098174184243</v>
      </c>
      <c r="P513" s="368">
        <f t="shared" si="199"/>
        <v>0.73984135801984197</v>
      </c>
      <c r="Q513" s="369">
        <f t="shared" si="200"/>
        <v>-21.882255232786672</v>
      </c>
      <c r="R513" s="370">
        <f t="shared" si="201"/>
        <v>-159.25218212749863</v>
      </c>
      <c r="S513" s="372">
        <f t="shared" si="202"/>
        <v>20.747817872501372</v>
      </c>
      <c r="U513" s="345">
        <f t="shared" si="208"/>
        <v>69183</v>
      </c>
      <c r="V513" s="345">
        <f t="shared" si="209"/>
        <v>4786287489</v>
      </c>
      <c r="X513" s="371">
        <f t="shared" si="203"/>
        <v>9.5914465841640215</v>
      </c>
      <c r="Y513" s="372">
        <f t="shared" si="204"/>
        <v>-61.803254176250576</v>
      </c>
      <c r="AA513" s="371">
        <f t="shared" si="205"/>
        <v>14.546898096328935</v>
      </c>
      <c r="AB513" s="372">
        <f t="shared" si="206"/>
        <v>-97.448927951248052</v>
      </c>
      <c r="AD513">
        <f t="shared" si="210"/>
        <v>0</v>
      </c>
      <c r="AE513">
        <f t="shared" si="213"/>
        <v>0</v>
      </c>
    </row>
    <row r="514" spans="1:31" x14ac:dyDescent="0.2">
      <c r="A514" s="373">
        <v>69586</v>
      </c>
      <c r="B514" s="390">
        <f t="shared" si="207"/>
        <v>69.585999999999999</v>
      </c>
      <c r="C514" s="363">
        <f t="shared" si="188"/>
        <v>91.437502057938488</v>
      </c>
      <c r="D514" s="364">
        <f t="shared" si="189"/>
        <v>1.5598596770306032</v>
      </c>
      <c r="E514" s="364">
        <f t="shared" si="190"/>
        <v>2.7829684320400672</v>
      </c>
      <c r="F514" s="365">
        <f t="shared" si="191"/>
        <v>1.2032480424254999</v>
      </c>
      <c r="G514" s="364">
        <f t="shared" si="192"/>
        <v>1.2159522203478277</v>
      </c>
      <c r="H514" s="365">
        <f t="shared" si="193"/>
        <v>-0.60517819289315011</v>
      </c>
      <c r="I514" s="363">
        <f t="shared" si="194"/>
        <v>236157.22572202751</v>
      </c>
      <c r="J514" s="366">
        <f t="shared" si="195"/>
        <v>1.5707920923278083</v>
      </c>
      <c r="K514" s="374">
        <f t="shared" si="211"/>
        <v>57.498982042031592</v>
      </c>
      <c r="L514" s="375">
        <f t="shared" si="212"/>
        <v>1.5534038376984034</v>
      </c>
      <c r="M514" s="363">
        <f t="shared" si="196"/>
        <v>2.0589503879546047</v>
      </c>
      <c r="N514" s="366">
        <f t="shared" si="197"/>
        <v>1.0636504297126406</v>
      </c>
      <c r="O514" s="367">
        <f t="shared" si="198"/>
        <v>1.1664949525141421</v>
      </c>
      <c r="P514" s="368">
        <f t="shared" si="199"/>
        <v>0.74368153168564644</v>
      </c>
      <c r="Q514" s="369">
        <f t="shared" si="200"/>
        <v>-21.925091668230515</v>
      </c>
      <c r="R514" s="370">
        <f t="shared" si="201"/>
        <v>-159.65526524728472</v>
      </c>
      <c r="S514" s="372">
        <f t="shared" si="202"/>
        <v>20.344734752715283</v>
      </c>
      <c r="U514" s="345">
        <f t="shared" si="208"/>
        <v>69586</v>
      </c>
      <c r="V514" s="345">
        <f t="shared" si="209"/>
        <v>4842211396</v>
      </c>
      <c r="X514" s="371">
        <f t="shared" si="203"/>
        <v>9.5529350464988454</v>
      </c>
      <c r="Y514" s="372">
        <f t="shared" si="204"/>
        <v>-61.938954173950016</v>
      </c>
      <c r="AA514" s="371">
        <f t="shared" si="205"/>
        <v>14.542573198550263</v>
      </c>
      <c r="AB514" s="372">
        <f t="shared" si="206"/>
        <v>-97.716311073334708</v>
      </c>
      <c r="AD514">
        <f t="shared" si="210"/>
        <v>0</v>
      </c>
      <c r="AE514">
        <f t="shared" si="213"/>
        <v>0</v>
      </c>
    </row>
    <row r="515" spans="1:31" x14ac:dyDescent="0.2">
      <c r="A515" s="373">
        <v>69989</v>
      </c>
      <c r="B515" s="390">
        <f t="shared" si="207"/>
        <v>69.989000000000004</v>
      </c>
      <c r="C515" s="363">
        <f t="shared" si="188"/>
        <v>91.966989578916937</v>
      </c>
      <c r="D515" s="364">
        <f t="shared" si="189"/>
        <v>1.5599226458034132</v>
      </c>
      <c r="E515" s="364">
        <f t="shared" si="190"/>
        <v>2.797009909111607</v>
      </c>
      <c r="F515" s="365">
        <f t="shared" si="191"/>
        <v>1.2051803192464108</v>
      </c>
      <c r="G515" s="364">
        <f t="shared" si="192"/>
        <v>1.2182358878226185</v>
      </c>
      <c r="H515" s="365">
        <f t="shared" si="193"/>
        <v>-0.60788274178237234</v>
      </c>
      <c r="I515" s="363">
        <f t="shared" si="194"/>
        <v>237524.90545594349</v>
      </c>
      <c r="J515" s="366">
        <f t="shared" si="195"/>
        <v>1.5707921167100718</v>
      </c>
      <c r="K515" s="374">
        <f t="shared" si="211"/>
        <v>57.831880917030823</v>
      </c>
      <c r="L515" s="375">
        <f t="shared" si="212"/>
        <v>1.5535039644592159</v>
      </c>
      <c r="M515" s="363">
        <f t="shared" si="196"/>
        <v>2.0680679889281475</v>
      </c>
      <c r="N515" s="366">
        <f t="shared" si="197"/>
        <v>1.0660983481101831</v>
      </c>
      <c r="O515" s="367">
        <f t="shared" si="198"/>
        <v>1.1683902738890899</v>
      </c>
      <c r="P515" s="368">
        <f t="shared" si="199"/>
        <v>0.74751477921200016</v>
      </c>
      <c r="Q515" s="369">
        <f t="shared" si="200"/>
        <v>-21.967727009012265</v>
      </c>
      <c r="R515" s="370">
        <f t="shared" si="201"/>
        <v>-160.05726987686782</v>
      </c>
      <c r="S515" s="372">
        <f t="shared" si="202"/>
        <v>19.942730123132179</v>
      </c>
      <c r="U515" s="345">
        <f t="shared" si="208"/>
        <v>69989</v>
      </c>
      <c r="V515" s="345">
        <f t="shared" si="209"/>
        <v>4898460121</v>
      </c>
      <c r="X515" s="371">
        <f t="shared" si="203"/>
        <v>9.514541357159306</v>
      </c>
      <c r="Y515" s="372">
        <f t="shared" si="204"/>
        <v>-62.073474123065253</v>
      </c>
      <c r="AA515" s="371">
        <f t="shared" si="205"/>
        <v>14.538331547108051</v>
      </c>
      <c r="AB515" s="372">
        <f t="shared" si="206"/>
        <v>-97.983795753802582</v>
      </c>
      <c r="AD515">
        <f t="shared" si="210"/>
        <v>0</v>
      </c>
      <c r="AE515">
        <f t="shared" si="213"/>
        <v>0</v>
      </c>
    </row>
    <row r="516" spans="1:31" x14ac:dyDescent="0.2">
      <c r="A516" s="373">
        <v>70392</v>
      </c>
      <c r="B516" s="390">
        <f t="shared" si="207"/>
        <v>70.391999999999996</v>
      </c>
      <c r="C516" s="363">
        <f t="shared" si="188"/>
        <v>92.496477460375729</v>
      </c>
      <c r="D516" s="364">
        <f t="shared" si="189"/>
        <v>1.5599848936581575</v>
      </c>
      <c r="E516" s="364">
        <f t="shared" si="190"/>
        <v>2.8110617250098304</v>
      </c>
      <c r="F516" s="365">
        <f t="shared" si="191"/>
        <v>1.2070932851838585</v>
      </c>
      <c r="G516" s="364">
        <f t="shared" si="192"/>
        <v>1.2205284328036419</v>
      </c>
      <c r="H516" s="365">
        <f t="shared" si="193"/>
        <v>-0.61057715029305959</v>
      </c>
      <c r="I516" s="363">
        <f t="shared" si="194"/>
        <v>238892.58518985959</v>
      </c>
      <c r="J516" s="366">
        <f t="shared" si="195"/>
        <v>1.5707921408131542</v>
      </c>
      <c r="K516" s="374">
        <f t="shared" si="211"/>
        <v>58.164780365179269</v>
      </c>
      <c r="L516" s="375">
        <f t="shared" si="212"/>
        <v>1.553602945092952</v>
      </c>
      <c r="M516" s="363">
        <f t="shared" si="196"/>
        <v>2.0771978735610643</v>
      </c>
      <c r="N516" s="366">
        <f t="shared" si="197"/>
        <v>1.0685247623244492</v>
      </c>
      <c r="O516" s="367">
        <f t="shared" si="198"/>
        <v>1.1702957720369973</v>
      </c>
      <c r="P516" s="368">
        <f t="shared" si="199"/>
        <v>0.75134109039028452</v>
      </c>
      <c r="Q516" s="369">
        <f t="shared" si="200"/>
        <v>-22.01016372278875</v>
      </c>
      <c r="R516" s="370">
        <f t="shared" si="201"/>
        <v>-160.45819476195075</v>
      </c>
      <c r="S516" s="372">
        <f t="shared" si="202"/>
        <v>19.54180523804925</v>
      </c>
      <c r="U516" s="345">
        <f t="shared" si="208"/>
        <v>70392</v>
      </c>
      <c r="V516" s="345">
        <f t="shared" si="209"/>
        <v>4955033664</v>
      </c>
      <c r="X516" s="371">
        <f t="shared" si="203"/>
        <v>9.4762653914854909</v>
      </c>
      <c r="Y516" s="372">
        <f t="shared" si="204"/>
        <v>-62.206827625483911</v>
      </c>
      <c r="AA516" s="371">
        <f t="shared" si="205"/>
        <v>14.534170799005384</v>
      </c>
      <c r="AB516" s="372">
        <f t="shared" si="206"/>
        <v>-98.251367136466826</v>
      </c>
      <c r="AD516">
        <f t="shared" si="210"/>
        <v>0</v>
      </c>
      <c r="AE516">
        <f t="shared" si="213"/>
        <v>0</v>
      </c>
    </row>
    <row r="517" spans="1:31" x14ac:dyDescent="0.2">
      <c r="A517" s="373">
        <v>70795</v>
      </c>
      <c r="B517" s="390">
        <f t="shared" si="207"/>
        <v>70.795000000000002</v>
      </c>
      <c r="C517" s="363">
        <f t="shared" si="188"/>
        <v>93.025965696159474</v>
      </c>
      <c r="D517" s="364">
        <f t="shared" si="189"/>
        <v>1.5600464329043848</v>
      </c>
      <c r="E517" s="364">
        <f t="shared" si="190"/>
        <v>2.8251237254626091</v>
      </c>
      <c r="F517" s="365">
        <f t="shared" si="191"/>
        <v>1.2089872144903819</v>
      </c>
      <c r="G517" s="364">
        <f t="shared" si="192"/>
        <v>1.2228298053606088</v>
      </c>
      <c r="H517" s="365">
        <f t="shared" si="193"/>
        <v>-0.6132614364463731</v>
      </c>
      <c r="I517" s="363">
        <f t="shared" si="194"/>
        <v>240260.26492377577</v>
      </c>
      <c r="J517" s="366">
        <f t="shared" si="195"/>
        <v>1.5707921646418235</v>
      </c>
      <c r="K517" s="374">
        <f t="shared" si="211"/>
        <v>58.497680376691903</v>
      </c>
      <c r="L517" s="375">
        <f t="shared" si="212"/>
        <v>1.5537007991648784</v>
      </c>
      <c r="M517" s="363">
        <f t="shared" si="196"/>
        <v>2.0863398805923987</v>
      </c>
      <c r="N517" s="366">
        <f t="shared" si="197"/>
        <v>1.0709299262793799</v>
      </c>
      <c r="O517" s="367">
        <f t="shared" si="198"/>
        <v>1.1722114374787065</v>
      </c>
      <c r="P517" s="368">
        <f t="shared" si="199"/>
        <v>0.75516045531929288</v>
      </c>
      <c r="Q517" s="369">
        <f t="shared" si="200"/>
        <v>-22.052404235196811</v>
      </c>
      <c r="R517" s="370">
        <f t="shared" si="201"/>
        <v>-160.85803878758085</v>
      </c>
      <c r="S517" s="372">
        <f t="shared" si="202"/>
        <v>19.141961212419147</v>
      </c>
      <c r="U517" s="345">
        <f t="shared" si="208"/>
        <v>70795</v>
      </c>
      <c r="V517" s="345">
        <f t="shared" si="209"/>
        <v>5011932025</v>
      </c>
      <c r="X517" s="371">
        <f t="shared" si="203"/>
        <v>9.4381070104184364</v>
      </c>
      <c r="Y517" s="372">
        <f t="shared" si="204"/>
        <v>-62.339028109242143</v>
      </c>
      <c r="AA517" s="371">
        <f t="shared" si="205"/>
        <v>14.530088667664378</v>
      </c>
      <c r="AB517" s="372">
        <f t="shared" si="206"/>
        <v>-98.519010678338688</v>
      </c>
      <c r="AD517">
        <f t="shared" si="210"/>
        <v>0</v>
      </c>
      <c r="AE517">
        <f t="shared" si="213"/>
        <v>0</v>
      </c>
    </row>
    <row r="518" spans="1:31" x14ac:dyDescent="0.2">
      <c r="A518" s="373">
        <v>71207.25</v>
      </c>
      <c r="B518" s="390">
        <f t="shared" si="207"/>
        <v>71.207250000000002</v>
      </c>
      <c r="C518" s="363">
        <f t="shared" si="188"/>
        <v>93.567607558246934</v>
      </c>
      <c r="D518" s="364">
        <f t="shared" si="189"/>
        <v>1.5601086640017605</v>
      </c>
      <c r="E518" s="364">
        <f t="shared" si="190"/>
        <v>2.8395188690801874</v>
      </c>
      <c r="F518" s="365">
        <f t="shared" si="191"/>
        <v>1.2109051986323454</v>
      </c>
      <c r="G518" s="364">
        <f t="shared" si="192"/>
        <v>1.2251930829480995</v>
      </c>
      <c r="H518" s="365">
        <f t="shared" si="193"/>
        <v>-0.61599688035663058</v>
      </c>
      <c r="I518" s="363">
        <f t="shared" si="194"/>
        <v>241659.3368103937</v>
      </c>
      <c r="J518" s="366">
        <f t="shared" si="195"/>
        <v>1.5707921887383531</v>
      </c>
      <c r="K518" s="374">
        <f t="shared" si="211"/>
        <v>58.838221966370568</v>
      </c>
      <c r="L518" s="375">
        <f t="shared" si="212"/>
        <v>1.5537997535564216</v>
      </c>
      <c r="M518" s="363">
        <f t="shared" si="196"/>
        <v>2.095704100325761</v>
      </c>
      <c r="N518" s="366">
        <f t="shared" si="197"/>
        <v>1.0733685692538359</v>
      </c>
      <c r="O518" s="367">
        <f t="shared" si="198"/>
        <v>1.1741815830794948</v>
      </c>
      <c r="P518" s="368">
        <f t="shared" si="199"/>
        <v>0.75906028833585237</v>
      </c>
      <c r="Q518" s="369">
        <f t="shared" si="200"/>
        <v>-22.095413765765798</v>
      </c>
      <c r="R518" s="370">
        <f t="shared" si="201"/>
        <v>-161.26594099638595</v>
      </c>
      <c r="S518" s="372">
        <f t="shared" si="202"/>
        <v>18.73405900361405</v>
      </c>
      <c r="U518" s="345">
        <f t="shared" si="208"/>
        <v>71207.25</v>
      </c>
      <c r="V518" s="345">
        <f t="shared" si="209"/>
        <v>5070472452.5625</v>
      </c>
      <c r="X518" s="371">
        <f t="shared" si="203"/>
        <v>9.3991942900353536</v>
      </c>
      <c r="Y518" s="372">
        <f t="shared" si="204"/>
        <v>-62.473083771200621</v>
      </c>
      <c r="AA518" s="371">
        <f t="shared" si="205"/>
        <v>14.525991857478473</v>
      </c>
      <c r="AB518" s="372">
        <f t="shared" si="206"/>
        <v>-98.792857225185315</v>
      </c>
      <c r="AD518">
        <f t="shared" si="210"/>
        <v>0</v>
      </c>
      <c r="AE518">
        <f t="shared" si="213"/>
        <v>0</v>
      </c>
    </row>
    <row r="519" spans="1:31" x14ac:dyDescent="0.2">
      <c r="A519" s="373">
        <v>71619.5</v>
      </c>
      <c r="B519" s="390">
        <f t="shared" si="207"/>
        <v>71.619500000000002</v>
      </c>
      <c r="C519" s="363">
        <f t="shared" si="188"/>
        <v>94.109249778523477</v>
      </c>
      <c r="D519" s="364">
        <f t="shared" si="189"/>
        <v>1.5601701787619275</v>
      </c>
      <c r="E519" s="364">
        <f t="shared" si="190"/>
        <v>2.8539243529337845</v>
      </c>
      <c r="F519" s="365">
        <f t="shared" si="191"/>
        <v>1.2128038272460431</v>
      </c>
      <c r="G519" s="364">
        <f t="shared" si="192"/>
        <v>1.227565492892011</v>
      </c>
      <c r="H519" s="365">
        <f t="shared" si="193"/>
        <v>-0.6187217714777965</v>
      </c>
      <c r="I519" s="363">
        <f t="shared" si="194"/>
        <v>243058.40869701176</v>
      </c>
      <c r="J519" s="366">
        <f t="shared" si="195"/>
        <v>1.5707922125574778</v>
      </c>
      <c r="K519" s="374">
        <f t="shared" si="211"/>
        <v>59.178764125560662</v>
      </c>
      <c r="L519" s="375">
        <f t="shared" si="212"/>
        <v>1.5538975690896399</v>
      </c>
      <c r="M519" s="363">
        <f t="shared" si="196"/>
        <v>2.1050806722440112</v>
      </c>
      <c r="N519" s="366">
        <f t="shared" si="197"/>
        <v>1.0757855018065061</v>
      </c>
      <c r="O519" s="367">
        <f t="shared" si="198"/>
        <v>1.176162348090527</v>
      </c>
      <c r="P519" s="368">
        <f t="shared" si="199"/>
        <v>0.76295283258660362</v>
      </c>
      <c r="Q519" s="369">
        <f t="shared" si="200"/>
        <v>-22.138222989294555</v>
      </c>
      <c r="R519" s="370">
        <f t="shared" si="201"/>
        <v>-161.67271022671676</v>
      </c>
      <c r="S519" s="372">
        <f t="shared" si="202"/>
        <v>18.32728977328324</v>
      </c>
      <c r="U519" s="345">
        <f t="shared" si="208"/>
        <v>71619.5</v>
      </c>
      <c r="V519" s="345">
        <f t="shared" si="209"/>
        <v>5129352780.25</v>
      </c>
      <c r="X519" s="371">
        <f t="shared" si="203"/>
        <v>9.3604042758083352</v>
      </c>
      <c r="Y519" s="372">
        <f t="shared" si="204"/>
        <v>-62.605960753499296</v>
      </c>
      <c r="AA519" s="371">
        <f t="shared" si="205"/>
        <v>14.521972648176734</v>
      </c>
      <c r="AB519" s="372">
        <f t="shared" si="206"/>
        <v>-99.066749473217413</v>
      </c>
      <c r="AD519">
        <f t="shared" si="210"/>
        <v>0</v>
      </c>
      <c r="AE519">
        <f t="shared" si="213"/>
        <v>0</v>
      </c>
    </row>
    <row r="520" spans="1:31" x14ac:dyDescent="0.2">
      <c r="A520" s="373">
        <v>72031.75</v>
      </c>
      <c r="B520" s="390">
        <f t="shared" si="207"/>
        <v>72.031750000000002</v>
      </c>
      <c r="C520" s="363">
        <f t="shared" si="188"/>
        <v>94.650892350839825</v>
      </c>
      <c r="D520" s="364">
        <f t="shared" si="189"/>
        <v>1.5602309894821997</v>
      </c>
      <c r="E520" s="364">
        <f t="shared" si="190"/>
        <v>2.8683400212300514</v>
      </c>
      <c r="F520" s="365">
        <f t="shared" si="191"/>
        <v>1.2146833783694464</v>
      </c>
      <c r="G520" s="364">
        <f t="shared" si="192"/>
        <v>1.2299469823469125</v>
      </c>
      <c r="H520" s="365">
        <f t="shared" si="193"/>
        <v>-0.62143613052699187</v>
      </c>
      <c r="I520" s="363">
        <f t="shared" si="194"/>
        <v>244457.48058362998</v>
      </c>
      <c r="J520" s="366">
        <f t="shared" si="195"/>
        <v>1.5707922361039608</v>
      </c>
      <c r="K520" s="374">
        <f t="shared" si="211"/>
        <v>59.519306844486721</v>
      </c>
      <c r="L520" s="375">
        <f t="shared" si="212"/>
        <v>1.5539942653107517</v>
      </c>
      <c r="M520" s="363">
        <f t="shared" si="196"/>
        <v>2.1144694320206132</v>
      </c>
      <c r="N520" s="366">
        <f t="shared" si="197"/>
        <v>1.0781809847096853</v>
      </c>
      <c r="O520" s="367">
        <f t="shared" si="198"/>
        <v>1.1781537224567906</v>
      </c>
      <c r="P520" s="368">
        <f t="shared" si="199"/>
        <v>0.76683807845654994</v>
      </c>
      <c r="Q520" s="369">
        <f t="shared" si="200"/>
        <v>-22.180834372256161</v>
      </c>
      <c r="R520" s="370">
        <f t="shared" si="201"/>
        <v>-162.07834571036892</v>
      </c>
      <c r="S520" s="372">
        <f t="shared" si="202"/>
        <v>17.921654289631078</v>
      </c>
      <c r="U520" s="345">
        <f t="shared" si="208"/>
        <v>72031.75</v>
      </c>
      <c r="V520" s="345">
        <f t="shared" si="209"/>
        <v>5188573008.0625</v>
      </c>
      <c r="X520" s="371">
        <f t="shared" si="203"/>
        <v>9.3217367755696365</v>
      </c>
      <c r="Y520" s="372">
        <f t="shared" si="204"/>
        <v>-62.737672877647263</v>
      </c>
      <c r="AA520" s="371">
        <f t="shared" si="205"/>
        <v>14.518028765453826</v>
      </c>
      <c r="AB520" s="372">
        <f t="shared" si="206"/>
        <v>-99.34067283272168</v>
      </c>
      <c r="AD520">
        <f t="shared" si="210"/>
        <v>0</v>
      </c>
      <c r="AE520">
        <f t="shared" si="213"/>
        <v>0</v>
      </c>
    </row>
    <row r="521" spans="1:31" x14ac:dyDescent="0.2">
      <c r="A521" s="373">
        <v>72444</v>
      </c>
      <c r="B521" s="390">
        <f t="shared" si="207"/>
        <v>72.444000000000003</v>
      </c>
      <c r="C521" s="363">
        <f t="shared" si="188"/>
        <v>95.192535269186735</v>
      </c>
      <c r="D521" s="364">
        <f t="shared" si="189"/>
        <v>1.5602911081800268</v>
      </c>
      <c r="E521" s="364">
        <f t="shared" si="190"/>
        <v>2.8827657211828535</v>
      </c>
      <c r="F521" s="365">
        <f t="shared" si="191"/>
        <v>1.2165441250202647</v>
      </c>
      <c r="G521" s="364">
        <f t="shared" si="192"/>
        <v>1.2323374986744011</v>
      </c>
      <c r="H521" s="365">
        <f t="shared" si="193"/>
        <v>-0.62413997868228099</v>
      </c>
      <c r="I521" s="363">
        <f t="shared" si="194"/>
        <v>245856.55247024831</v>
      </c>
      <c r="J521" s="366">
        <f t="shared" si="195"/>
        <v>1.5707922593824566</v>
      </c>
      <c r="K521" s="374">
        <f t="shared" si="211"/>
        <v>59.859850113595748</v>
      </c>
      <c r="L521" s="375">
        <f t="shared" si="212"/>
        <v>1.5540898613212653</v>
      </c>
      <c r="M521" s="363">
        <f t="shared" si="196"/>
        <v>2.1238702180229936</v>
      </c>
      <c r="N521" s="366">
        <f t="shared" si="197"/>
        <v>1.0805552751123784</v>
      </c>
      <c r="O521" s="367">
        <f t="shared" si="198"/>
        <v>1.1801556961555566</v>
      </c>
      <c r="P521" s="368">
        <f t="shared" si="199"/>
        <v>0.77071601665729317</v>
      </c>
      <c r="Q521" s="369">
        <f t="shared" si="200"/>
        <v>-22.223250339338676</v>
      </c>
      <c r="R521" s="370">
        <f t="shared" si="201"/>
        <v>-162.48284681374048</v>
      </c>
      <c r="S521" s="372">
        <f t="shared" si="202"/>
        <v>17.51715318625952</v>
      </c>
      <c r="U521" s="345">
        <f t="shared" si="208"/>
        <v>72444</v>
      </c>
      <c r="V521" s="345">
        <f t="shared" si="209"/>
        <v>5248133136</v>
      </c>
      <c r="X521" s="371">
        <f t="shared" si="203"/>
        <v>9.2831915836617913</v>
      </c>
      <c r="Y521" s="372">
        <f t="shared" si="204"/>
        <v>-62.868233783028018</v>
      </c>
      <c r="AA521" s="371">
        <f t="shared" si="205"/>
        <v>14.514157990279156</v>
      </c>
      <c r="AB521" s="372">
        <f t="shared" si="206"/>
        <v>-99.614613030712476</v>
      </c>
      <c r="AD521">
        <f t="shared" si="210"/>
        <v>0</v>
      </c>
      <c r="AE521">
        <f t="shared" si="213"/>
        <v>0</v>
      </c>
    </row>
    <row r="522" spans="1:31" x14ac:dyDescent="0.2">
      <c r="A522" s="373">
        <v>72865.75</v>
      </c>
      <c r="B522" s="390">
        <f t="shared" si="207"/>
        <v>72.865750000000006</v>
      </c>
      <c r="C522" s="363">
        <f t="shared" si="188"/>
        <v>95.746660304743259</v>
      </c>
      <c r="D522" s="364">
        <f t="shared" si="189"/>
        <v>1.5603519083887838</v>
      </c>
      <c r="E522" s="364">
        <f t="shared" si="190"/>
        <v>2.8975340756862376</v>
      </c>
      <c r="F522" s="365">
        <f t="shared" si="191"/>
        <v>1.2184285712929708</v>
      </c>
      <c r="G522" s="364">
        <f t="shared" si="192"/>
        <v>1.2347923893284851</v>
      </c>
      <c r="H522" s="365">
        <f t="shared" si="193"/>
        <v>-0.6268952805910154</v>
      </c>
      <c r="I522" s="363">
        <f t="shared" si="194"/>
        <v>247287.86494612781</v>
      </c>
      <c r="J522" s="366">
        <f t="shared" si="195"/>
        <v>1.5707922829248093</v>
      </c>
      <c r="K522" s="374">
        <f t="shared" si="211"/>
        <v>60.208241513102642</v>
      </c>
      <c r="L522" s="375">
        <f t="shared" si="212"/>
        <v>1.5541865412044649</v>
      </c>
      <c r="M522" s="363">
        <f t="shared" si="196"/>
        <v>2.1334999176168057</v>
      </c>
      <c r="N522" s="366">
        <f t="shared" si="197"/>
        <v>1.0829626130283097</v>
      </c>
      <c r="O522" s="367">
        <f t="shared" si="198"/>
        <v>1.1822147619859211</v>
      </c>
      <c r="P522" s="368">
        <f t="shared" si="199"/>
        <v>0.77467574755477586</v>
      </c>
      <c r="Q522" s="369">
        <f t="shared" si="200"/>
        <v>-22.266444014425957</v>
      </c>
      <c r="R522" s="370">
        <f t="shared" si="201"/>
        <v>-162.89549493256118</v>
      </c>
      <c r="S522" s="372">
        <f t="shared" si="202"/>
        <v>17.104505067438822</v>
      </c>
      <c r="U522" s="345">
        <f t="shared" si="208"/>
        <v>72865.75</v>
      </c>
      <c r="V522" s="345">
        <f t="shared" si="209"/>
        <v>5309417523.0625</v>
      </c>
      <c r="X522" s="371">
        <f t="shared" si="203"/>
        <v>9.2438844864955687</v>
      </c>
      <c r="Y522" s="372">
        <f t="shared" si="204"/>
        <v>-63.00062608523028</v>
      </c>
      <c r="AA522" s="371">
        <f t="shared" si="205"/>
        <v>14.510271412358096</v>
      </c>
      <c r="AB522" s="372">
        <f t="shared" si="206"/>
        <v>-99.894868847330898</v>
      </c>
      <c r="AD522">
        <f t="shared" si="210"/>
        <v>0</v>
      </c>
      <c r="AE522">
        <f t="shared" si="213"/>
        <v>0</v>
      </c>
    </row>
    <row r="523" spans="1:31" x14ac:dyDescent="0.2">
      <c r="A523" s="373">
        <v>73287.5</v>
      </c>
      <c r="B523" s="390">
        <f t="shared" si="207"/>
        <v>73.287499999999994</v>
      </c>
      <c r="C523" s="363">
        <f t="shared" si="188"/>
        <v>96.300785690169903</v>
      </c>
      <c r="D523" s="364">
        <f t="shared" si="189"/>
        <v>1.5604120088954923</v>
      </c>
      <c r="E523" s="364">
        <f t="shared" si="190"/>
        <v>2.9123126153544203</v>
      </c>
      <c r="F523" s="365">
        <f t="shared" si="191"/>
        <v>1.2202938988765613</v>
      </c>
      <c r="G523" s="364">
        <f t="shared" si="192"/>
        <v>1.2372566169011727</v>
      </c>
      <c r="H523" s="365">
        <f t="shared" si="193"/>
        <v>-0.6296396278685531</v>
      </c>
      <c r="I523" s="363">
        <f t="shared" si="194"/>
        <v>248719.17742200749</v>
      </c>
      <c r="J523" s="366">
        <f t="shared" si="195"/>
        <v>1.5707923061962024</v>
      </c>
      <c r="K523" s="374">
        <f t="shared" si="211"/>
        <v>60.556633468900593</v>
      </c>
      <c r="L523" s="375">
        <f t="shared" si="212"/>
        <v>1.5542821086590213</v>
      </c>
      <c r="M523" s="363">
        <f t="shared" si="196"/>
        <v>2.1431418702781841</v>
      </c>
      <c r="N523" s="366">
        <f t="shared" si="197"/>
        <v>1.0853483035357161</v>
      </c>
      <c r="O523" s="367">
        <f t="shared" si="198"/>
        <v>1.1842849001696187</v>
      </c>
      <c r="P523" s="368">
        <f t="shared" si="199"/>
        <v>0.77862781147127846</v>
      </c>
      <c r="Q523" s="369">
        <f t="shared" si="200"/>
        <v>-22.30943816764843</v>
      </c>
      <c r="R523" s="370">
        <f t="shared" si="201"/>
        <v>-163.30695485861244</v>
      </c>
      <c r="S523" s="372">
        <f t="shared" si="202"/>
        <v>16.693045141387557</v>
      </c>
      <c r="U523" s="345">
        <f t="shared" si="208"/>
        <v>73287.5</v>
      </c>
      <c r="V523" s="345">
        <f t="shared" si="209"/>
        <v>5371057656.25</v>
      </c>
      <c r="X523" s="371">
        <f t="shared" si="203"/>
        <v>9.2047049232169638</v>
      </c>
      <c r="Y523" s="372">
        <f t="shared" si="204"/>
        <v>-63.131841804226738</v>
      </c>
      <c r="AA523" s="371">
        <f t="shared" si="205"/>
        <v>14.506456822414229</v>
      </c>
      <c r="AB523" s="372">
        <f t="shared" si="206"/>
        <v>-100.1751130543857</v>
      </c>
      <c r="AD523">
        <f t="shared" si="210"/>
        <v>0</v>
      </c>
      <c r="AE523">
        <f t="shared" si="213"/>
        <v>0</v>
      </c>
    </row>
    <row r="524" spans="1:31" x14ac:dyDescent="0.2">
      <c r="A524" s="373">
        <v>73709.25</v>
      </c>
      <c r="B524" s="390">
        <f t="shared" si="207"/>
        <v>73.709249999999997</v>
      </c>
      <c r="C524" s="363">
        <f t="shared" si="188"/>
        <v>96.854911419461629</v>
      </c>
      <c r="D524" s="364">
        <f t="shared" si="189"/>
        <v>1.5604714217091071</v>
      </c>
      <c r="E524" s="364">
        <f t="shared" si="190"/>
        <v>2.9271011859168308</v>
      </c>
      <c r="F524" s="365">
        <f t="shared" si="191"/>
        <v>1.2221403844708327</v>
      </c>
      <c r="G524" s="364">
        <f t="shared" si="192"/>
        <v>1.2397301257151248</v>
      </c>
      <c r="H524" s="365">
        <f t="shared" si="193"/>
        <v>-0.63237304462424171</v>
      </c>
      <c r="I524" s="363">
        <f t="shared" si="194"/>
        <v>250150.48989788728</v>
      </c>
      <c r="J524" s="366">
        <f t="shared" si="195"/>
        <v>1.5707923292012864</v>
      </c>
      <c r="K524" s="374">
        <f t="shared" si="211"/>
        <v>60.905025971443237</v>
      </c>
      <c r="L524" s="375">
        <f t="shared" si="212"/>
        <v>1.5543765827733123</v>
      </c>
      <c r="M524" s="363">
        <f t="shared" si="196"/>
        <v>2.1527959113698412</v>
      </c>
      <c r="N524" s="366">
        <f t="shared" si="197"/>
        <v>1.0877126105227206</v>
      </c>
      <c r="O524" s="367">
        <f t="shared" si="198"/>
        <v>1.1863661000838885</v>
      </c>
      <c r="P524" s="368">
        <f t="shared" si="199"/>
        <v>0.78257219950567225</v>
      </c>
      <c r="Q524" s="369">
        <f t="shared" si="200"/>
        <v>-22.352235265738486</v>
      </c>
      <c r="R524" s="370">
        <f t="shared" si="201"/>
        <v>-163.71722632385166</v>
      </c>
      <c r="S524" s="372">
        <f t="shared" si="202"/>
        <v>16.282773676148338</v>
      </c>
      <c r="U524" s="345">
        <f t="shared" si="208"/>
        <v>73709.25</v>
      </c>
      <c r="V524" s="345">
        <f t="shared" si="209"/>
        <v>5433053535.5625</v>
      </c>
      <c r="X524" s="371">
        <f t="shared" si="203"/>
        <v>9.1656526332077597</v>
      </c>
      <c r="Y524" s="372">
        <f t="shared" si="204"/>
        <v>-63.261894966276103</v>
      </c>
      <c r="AA524" s="371">
        <f t="shared" si="205"/>
        <v>14.50271201433338</v>
      </c>
      <c r="AB524" s="372">
        <f t="shared" si="206"/>
        <v>-100.45533135757555</v>
      </c>
      <c r="AD524">
        <f t="shared" si="210"/>
        <v>0</v>
      </c>
      <c r="AE524">
        <f t="shared" si="213"/>
        <v>0</v>
      </c>
    </row>
    <row r="525" spans="1:31" x14ac:dyDescent="0.2">
      <c r="A525" s="373">
        <v>74131</v>
      </c>
      <c r="B525" s="390">
        <f t="shared" si="207"/>
        <v>74.131</v>
      </c>
      <c r="C525" s="363">
        <f t="shared" ref="C525:C588" si="214">SQRT(1+(A525/pole1)^2)</f>
        <v>97.409037486750066</v>
      </c>
      <c r="D525" s="364">
        <f t="shared" ref="D525:D588" si="215">ATAN(A525/pole1)</f>
        <v>1.560530158565345</v>
      </c>
      <c r="E525" s="364">
        <f t="shared" ref="E525:E588" si="216">SQRT(1+(A525/Zero1)^2)</f>
        <v>2.9418996361012271</v>
      </c>
      <c r="F525" s="365">
        <f t="shared" ref="F525:F588" si="217">ATAN(A525/Zero1)</f>
        <v>1.2239682997277372</v>
      </c>
      <c r="G525" s="364">
        <f t="shared" ref="G525:G588" si="218">IF(VIN_nom&gt;Vout, 1, SQRT(1+(A525/z_RHP)^2))</f>
        <v>1.2422128603275924</v>
      </c>
      <c r="H525" s="365">
        <f t="shared" ref="H525:H588" si="219">IF(VIN_nom&gt;Vout, 0, -ATAN(A525/z_RHP))</f>
        <v>-0.63509555542910778</v>
      </c>
      <c r="I525" s="363">
        <f t="shared" ref="I525:I588" si="220">SQRT(1+(A525/Pole2)^2)</f>
        <v>251581.80237376722</v>
      </c>
      <c r="J525" s="366">
        <f t="shared" ref="J525:J588" si="221">ATAN(A525/Pole2)</f>
        <v>1.5707923519446072</v>
      </c>
      <c r="K525" s="374">
        <f t="shared" si="211"/>
        <v>61.253419011401377</v>
      </c>
      <c r="L525" s="375">
        <f t="shared" si="212"/>
        <v>1.5544699822015164</v>
      </c>
      <c r="M525" s="363">
        <f t="shared" ref="M525:M588" si="222">SQRT(1+(A525/pole4)^2)</f>
        <v>2.1624618789899204</v>
      </c>
      <c r="N525" s="366">
        <f t="shared" ref="N525:N588" si="223">ATAN(A525/pole4)</f>
        <v>1.0900557941243809</v>
      </c>
      <c r="O525" s="367">
        <f t="shared" ref="O525:O588" si="224">SQRT((1-(V525/pterm2))^2+(A525/pterm1)^2)</f>
        <v>1.1884583511440341</v>
      </c>
      <c r="P525" s="368">
        <f t="shared" ref="P525:P588" si="225">IF((ATAN((A525/pterm1)/(1-A525^2/pterm2))&gt;0),ATAN((A525/pterm1)/(1-A525^2/pterm2)),PI()+ATAN((A525/pterm1)/(1-A525^2/pterm2)))</f>
        <v>0.78650890310314836</v>
      </c>
      <c r="Q525" s="369">
        <f t="shared" ref="Q525:Q588" si="226">20*LOG10(((E525*K525*G525)/(C525*I525*O525*M525))*Adc)</f>
        <v>-22.394837733793128</v>
      </c>
      <c r="R525" s="370">
        <f t="shared" ref="R525:R588" si="227">((F525+L525+H525)-(D525+J525+P525+N525))*radconv</f>
        <v>-164.12630918993281</v>
      </c>
      <c r="S525" s="372">
        <f t="shared" ref="S525:S588" si="228">IF(R525&gt;0,R525,R525+180)</f>
        <v>15.873690810067188</v>
      </c>
      <c r="U525" s="345">
        <f t="shared" si="208"/>
        <v>74131</v>
      </c>
      <c r="V525" s="345">
        <f t="shared" si="209"/>
        <v>5495405161</v>
      </c>
      <c r="X525" s="371">
        <f t="shared" ref="X525:X588" si="229">20*LOG10((K525/(I525*M525))*AEA)</f>
        <v>9.1267273433216562</v>
      </c>
      <c r="Y525" s="372">
        <f t="shared" ref="Y525:Y588" si="230">(L525-(J525+N525))*radconv</f>
        <v>-63.390799407474063</v>
      </c>
      <c r="AA525" s="371">
        <f t="shared" ref="AA525:AA588" si="231">20*LOG10((E525*G525/(C525*O525))*Acs*Am)</f>
        <v>14.499034836164837</v>
      </c>
      <c r="AB525" s="372">
        <f t="shared" ref="AB525:AB588" si="232">(F525+H525-(D525+P525))*radconv</f>
        <v>-100.73550978245875</v>
      </c>
      <c r="AD525">
        <f t="shared" si="210"/>
        <v>0</v>
      </c>
      <c r="AE525">
        <f t="shared" si="213"/>
        <v>0</v>
      </c>
    </row>
    <row r="526" spans="1:31" x14ac:dyDescent="0.2">
      <c r="A526" s="373">
        <v>74562.75</v>
      </c>
      <c r="B526" s="390">
        <f t="shared" ref="B526:B589" si="233">A526/1000</f>
        <v>74.562749999999994</v>
      </c>
      <c r="C526" s="363">
        <f t="shared" si="214"/>
        <v>97.976302631235512</v>
      </c>
      <c r="D526" s="364">
        <f t="shared" si="215"/>
        <v>1.5605895999003956</v>
      </c>
      <c r="E526" s="364">
        <f t="shared" si="216"/>
        <v>2.9570590472496208</v>
      </c>
      <c r="F526" s="365">
        <f t="shared" si="217"/>
        <v>1.2258205985823609</v>
      </c>
      <c r="G526" s="364">
        <f t="shared" si="218"/>
        <v>1.2447639612695356</v>
      </c>
      <c r="H526" s="365">
        <f t="shared" si="219"/>
        <v>-0.63787134817820401</v>
      </c>
      <c r="I526" s="363">
        <f t="shared" si="220"/>
        <v>253047.05231202737</v>
      </c>
      <c r="J526" s="366">
        <f t="shared" si="221"/>
        <v>1.5707923749606789</v>
      </c>
      <c r="K526" s="374">
        <f t="shared" si="211"/>
        <v>61.610073251513917</v>
      </c>
      <c r="L526" s="375">
        <f t="shared" si="212"/>
        <v>1.5545645020202388</v>
      </c>
      <c r="M526" s="363">
        <f t="shared" si="222"/>
        <v>2.1723692215978212</v>
      </c>
      <c r="N526" s="366">
        <f t="shared" si="223"/>
        <v>1.0924329234229808</v>
      </c>
      <c r="O526" s="367">
        <f t="shared" si="224"/>
        <v>1.1906116472906005</v>
      </c>
      <c r="P526" s="368">
        <f t="shared" si="225"/>
        <v>0.79053098033989966</v>
      </c>
      <c r="Q526" s="369">
        <f t="shared" si="226"/>
        <v>-22.438251219622948</v>
      </c>
      <c r="R526" s="370">
        <f t="shared" si="227"/>
        <v>-164.54386048933509</v>
      </c>
      <c r="S526" s="372">
        <f t="shared" si="228"/>
        <v>15.456139510664912</v>
      </c>
      <c r="U526" s="345">
        <f t="shared" ref="U526:U589" si="234">IF(Q526&lt;0,A526,1000000000)</f>
        <v>74562.75</v>
      </c>
      <c r="V526" s="345">
        <f t="shared" ref="V526:V589" si="235">A526^2</f>
        <v>5559603687.5625</v>
      </c>
      <c r="X526" s="371">
        <f t="shared" si="229"/>
        <v>9.0870103613743929</v>
      </c>
      <c r="Y526" s="372">
        <f t="shared" si="230"/>
        <v>-63.521584615820814</v>
      </c>
      <c r="AA526" s="371">
        <f t="shared" si="231"/>
        <v>14.495338332282284</v>
      </c>
      <c r="AB526" s="372">
        <f t="shared" si="232"/>
        <v>-101.02227587351429</v>
      </c>
      <c r="AD526">
        <f t="shared" ref="AD526:AD589" si="236">SUM((Q527&lt;0)*(Q526&gt;0))*A526</f>
        <v>0</v>
      </c>
      <c r="AE526">
        <f t="shared" si="213"/>
        <v>0</v>
      </c>
    </row>
    <row r="527" spans="1:31" x14ac:dyDescent="0.2">
      <c r="A527" s="373">
        <v>74994.5</v>
      </c>
      <c r="B527" s="390">
        <f t="shared" si="233"/>
        <v>74.994500000000002</v>
      </c>
      <c r="C527" s="363">
        <f t="shared" si="214"/>
        <v>98.5435681179124</v>
      </c>
      <c r="D527" s="364">
        <f t="shared" si="215"/>
        <v>1.5606483568882406</v>
      </c>
      <c r="E527" s="364">
        <f t="shared" si="216"/>
        <v>2.9722285005867839</v>
      </c>
      <c r="F527" s="365">
        <f t="shared" si="217"/>
        <v>1.2276539964055846</v>
      </c>
      <c r="G527" s="364">
        <f t="shared" si="218"/>
        <v>1.2473246138745047</v>
      </c>
      <c r="H527" s="365">
        <f t="shared" si="219"/>
        <v>-0.64063576521604426</v>
      </c>
      <c r="I527" s="363">
        <f t="shared" si="220"/>
        <v>254512.30225028764</v>
      </c>
      <c r="J527" s="366">
        <f t="shared" si="221"/>
        <v>1.5707923977117397</v>
      </c>
      <c r="K527" s="374">
        <f t="shared" si="211"/>
        <v>61.966728035714617</v>
      </c>
      <c r="L527" s="375">
        <f t="shared" si="212"/>
        <v>1.5546579338060438</v>
      </c>
      <c r="M527" s="363">
        <f t="shared" si="222"/>
        <v>2.1822887282084067</v>
      </c>
      <c r="N527" s="366">
        <f t="shared" si="223"/>
        <v>1.0947884556381444</v>
      </c>
      <c r="O527" s="367">
        <f t="shared" si="224"/>
        <v>1.1927765025342432</v>
      </c>
      <c r="P527" s="368">
        <f t="shared" si="225"/>
        <v>0.79454498736845125</v>
      </c>
      <c r="Q527" s="369">
        <f t="shared" si="226"/>
        <v>-22.481465749979183</v>
      </c>
      <c r="R527" s="370">
        <f t="shared" si="227"/>
        <v>-164.96016626152294</v>
      </c>
      <c r="S527" s="372">
        <f t="shared" si="228"/>
        <v>15.039833738477057</v>
      </c>
      <c r="U527" s="345">
        <f t="shared" si="234"/>
        <v>74994.5</v>
      </c>
      <c r="V527" s="345">
        <f t="shared" si="235"/>
        <v>5624175030.25</v>
      </c>
      <c r="X527" s="371">
        <f t="shared" si="229"/>
        <v>9.0474258562071892</v>
      </c>
      <c r="Y527" s="372">
        <f t="shared" si="230"/>
        <v>-63.651194726945675</v>
      </c>
      <c r="AA527" s="371">
        <f t="shared" si="231"/>
        <v>14.491708307093244</v>
      </c>
      <c r="AB527" s="372">
        <f t="shared" si="232"/>
        <v>-101.30897153457728</v>
      </c>
      <c r="AD527">
        <f t="shared" si="236"/>
        <v>0</v>
      </c>
      <c r="AE527">
        <f t="shared" si="213"/>
        <v>0</v>
      </c>
    </row>
    <row r="528" spans="1:31" x14ac:dyDescent="0.2">
      <c r="A528" s="373">
        <v>75426.25</v>
      </c>
      <c r="B528" s="390">
        <f t="shared" si="233"/>
        <v>75.426249999999996</v>
      </c>
      <c r="C528" s="363">
        <f t="shared" si="214"/>
        <v>99.110833940905067</v>
      </c>
      <c r="D528" s="364">
        <f t="shared" si="215"/>
        <v>1.5607064412791576</v>
      </c>
      <c r="E528" s="364">
        <f t="shared" si="216"/>
        <v>2.9874078431361033</v>
      </c>
      <c r="F528" s="365">
        <f t="shared" si="217"/>
        <v>1.2294687688918491</v>
      </c>
      <c r="G528" s="364">
        <f t="shared" si="218"/>
        <v>1.2498947594371803</v>
      </c>
      <c r="H528" s="365">
        <f t="shared" si="219"/>
        <v>-0.64338883433705107</v>
      </c>
      <c r="I528" s="363">
        <f t="shared" si="220"/>
        <v>255977.55218854806</v>
      </c>
      <c r="J528" s="366">
        <f t="shared" si="221"/>
        <v>1.5707924202023402</v>
      </c>
      <c r="K528" s="374">
        <f t="shared" si="211"/>
        <v>62.323383354662568</v>
      </c>
      <c r="L528" s="375">
        <f t="shared" si="212"/>
        <v>1.5547502962366027</v>
      </c>
      <c r="M528" s="363">
        <f t="shared" si="222"/>
        <v>2.1922202337001733</v>
      </c>
      <c r="N528" s="366">
        <f t="shared" si="223"/>
        <v>1.097122657978187</v>
      </c>
      <c r="O528" s="367">
        <f t="shared" si="224"/>
        <v>1.1949529056475416</v>
      </c>
      <c r="P528" s="368">
        <f t="shared" si="225"/>
        <v>0.79855091611952722</v>
      </c>
      <c r="Q528" s="369">
        <f t="shared" si="226"/>
        <v>-22.52448379717627</v>
      </c>
      <c r="R528" s="370">
        <f t="shared" si="227"/>
        <v>-165.37522675379509</v>
      </c>
      <c r="S528" s="372">
        <f t="shared" si="228"/>
        <v>14.62477324620491</v>
      </c>
      <c r="U528" s="345">
        <f t="shared" si="234"/>
        <v>75426.25</v>
      </c>
      <c r="V528" s="345">
        <f t="shared" si="235"/>
        <v>5689119189.0625</v>
      </c>
      <c r="X528" s="371">
        <f t="shared" si="229"/>
        <v>9.0079734973525145</v>
      </c>
      <c r="Y528" s="372">
        <f t="shared" si="230"/>
        <v>-63.779643980866325</v>
      </c>
      <c r="AA528" s="371">
        <f t="shared" si="231"/>
        <v>14.488142618750842</v>
      </c>
      <c r="AB528" s="372">
        <f t="shared" si="232"/>
        <v>-101.59558277292875</v>
      </c>
      <c r="AD528">
        <f t="shared" si="236"/>
        <v>0</v>
      </c>
      <c r="AE528">
        <f t="shared" si="213"/>
        <v>0</v>
      </c>
    </row>
    <row r="529" spans="1:31" x14ac:dyDescent="0.2">
      <c r="A529" s="373">
        <v>75858</v>
      </c>
      <c r="B529" s="390">
        <f t="shared" si="233"/>
        <v>75.858000000000004</v>
      </c>
      <c r="C529" s="363">
        <f t="shared" si="214"/>
        <v>99.678100094471617</v>
      </c>
      <c r="D529" s="364">
        <f t="shared" si="215"/>
        <v>1.5607638645559598</v>
      </c>
      <c r="E529" s="364">
        <f t="shared" si="216"/>
        <v>3.0025969249156756</v>
      </c>
      <c r="F529" s="365">
        <f t="shared" si="217"/>
        <v>1.2312651866532245</v>
      </c>
      <c r="G529" s="364">
        <f t="shared" si="218"/>
        <v>1.2524743395173652</v>
      </c>
      <c r="H529" s="365">
        <f t="shared" si="219"/>
        <v>-0.64613058379600952</v>
      </c>
      <c r="I529" s="363">
        <f t="shared" si="220"/>
        <v>257442.80212680859</v>
      </c>
      <c r="J529" s="366">
        <f t="shared" si="221"/>
        <v>1.5707924424369277</v>
      </c>
      <c r="K529" s="374">
        <f t="shared" si="211"/>
        <v>62.680039199229483</v>
      </c>
      <c r="L529" s="375">
        <f t="shared" si="212"/>
        <v>1.5548416075645484</v>
      </c>
      <c r="M529" s="363">
        <f t="shared" si="222"/>
        <v>2.2021635757323876</v>
      </c>
      <c r="N529" s="366">
        <f t="shared" si="223"/>
        <v>1.0994357937638519</v>
      </c>
      <c r="O529" s="367">
        <f t="shared" si="224"/>
        <v>1.1971408454476831</v>
      </c>
      <c r="P529" s="368">
        <f t="shared" si="225"/>
        <v>0.80254875889116606</v>
      </c>
      <c r="Q529" s="369">
        <f t="shared" si="226"/>
        <v>-22.567307791868402</v>
      </c>
      <c r="R529" s="370">
        <f t="shared" si="227"/>
        <v>-165.78904233835206</v>
      </c>
      <c r="S529" s="372">
        <f t="shared" si="228"/>
        <v>14.210957661647939</v>
      </c>
      <c r="U529" s="345">
        <f t="shared" si="234"/>
        <v>75858</v>
      </c>
      <c r="V529" s="345">
        <f t="shared" si="235"/>
        <v>5754436164</v>
      </c>
      <c r="X529" s="371">
        <f t="shared" si="229"/>
        <v>8.9686529428009401</v>
      </c>
      <c r="Y529" s="372">
        <f t="shared" si="230"/>
        <v>-63.906946419206072</v>
      </c>
      <c r="AA529" s="371">
        <f t="shared" si="231"/>
        <v>14.484639178610287</v>
      </c>
      <c r="AB529" s="372">
        <f t="shared" si="232"/>
        <v>-101.88209591914597</v>
      </c>
      <c r="AD529">
        <f t="shared" si="236"/>
        <v>0</v>
      </c>
      <c r="AE529">
        <f t="shared" si="213"/>
        <v>0</v>
      </c>
    </row>
    <row r="530" spans="1:31" x14ac:dyDescent="0.2">
      <c r="A530" s="373">
        <v>76299.75</v>
      </c>
      <c r="B530" s="390">
        <f t="shared" si="233"/>
        <v>76.299750000000003</v>
      </c>
      <c r="C530" s="363">
        <f t="shared" si="214"/>
        <v>100.25850534874697</v>
      </c>
      <c r="D530" s="364">
        <f t="shared" si="215"/>
        <v>1.5608219452888588</v>
      </c>
      <c r="E530" s="364">
        <f t="shared" si="216"/>
        <v>3.0181477362421787</v>
      </c>
      <c r="F530" s="365">
        <f t="shared" si="217"/>
        <v>1.2330844919366197</v>
      </c>
      <c r="G530" s="364">
        <f t="shared" si="218"/>
        <v>1.255123370827179</v>
      </c>
      <c r="H530" s="365">
        <f t="shared" si="219"/>
        <v>-0.64892415039804241</v>
      </c>
      <c r="I530" s="363">
        <f t="shared" si="220"/>
        <v>258941.98952744933</v>
      </c>
      <c r="J530" s="366">
        <f t="shared" si="221"/>
        <v>1.5707924649260594</v>
      </c>
      <c r="K530" s="374">
        <f t="shared" si="211"/>
        <v>63.044956281340717</v>
      </c>
      <c r="L530" s="375">
        <f t="shared" si="212"/>
        <v>1.554933964506555</v>
      </c>
      <c r="M530" s="363">
        <f t="shared" si="222"/>
        <v>2.2123493054796697</v>
      </c>
      <c r="N530" s="366">
        <f t="shared" si="223"/>
        <v>1.1017809718843063</v>
      </c>
      <c r="O530" s="367">
        <f t="shared" si="224"/>
        <v>1.1993913903053743</v>
      </c>
      <c r="P530" s="368">
        <f t="shared" si="225"/>
        <v>0.80663082117993978</v>
      </c>
      <c r="Q530" s="369">
        <f t="shared" si="226"/>
        <v>-22.610925302811697</v>
      </c>
      <c r="R530" s="370">
        <f t="shared" si="227"/>
        <v>-166.21115455631261</v>
      </c>
      <c r="S530" s="372">
        <f t="shared" si="228"/>
        <v>13.788845443687393</v>
      </c>
      <c r="U530" s="345">
        <f t="shared" si="234"/>
        <v>76299.75</v>
      </c>
      <c r="V530" s="345">
        <f t="shared" si="235"/>
        <v>5821651850.0625</v>
      </c>
      <c r="X530" s="371">
        <f t="shared" si="229"/>
        <v>8.9285577137514771</v>
      </c>
      <c r="Y530" s="372">
        <f t="shared" si="230"/>
        <v>-64.036024853408634</v>
      </c>
      <c r="AA530" s="371">
        <f t="shared" si="231"/>
        <v>14.481116896716449</v>
      </c>
      <c r="AB530" s="372">
        <f t="shared" si="232"/>
        <v>-102.17512970290399</v>
      </c>
      <c r="AD530">
        <f t="shared" si="236"/>
        <v>0</v>
      </c>
      <c r="AE530">
        <f t="shared" si="213"/>
        <v>0</v>
      </c>
    </row>
    <row r="531" spans="1:31" x14ac:dyDescent="0.2">
      <c r="A531" s="373">
        <v>76741.5</v>
      </c>
      <c r="B531" s="390">
        <f t="shared" si="233"/>
        <v>76.741500000000002</v>
      </c>
      <c r="C531" s="363">
        <f t="shared" si="214"/>
        <v>100.8389109373382</v>
      </c>
      <c r="D531" s="364">
        <f t="shared" si="215"/>
        <v>1.5608793574232578</v>
      </c>
      <c r="E531" s="364">
        <f t="shared" si="216"/>
        <v>3.0337084348169681</v>
      </c>
      <c r="F531" s="365">
        <f t="shared" si="217"/>
        <v>1.2348851397263749</v>
      </c>
      <c r="G531" s="364">
        <f t="shared" si="218"/>
        <v>1.2577821558345641</v>
      </c>
      <c r="H531" s="365">
        <f t="shared" si="219"/>
        <v>-0.65170592817269146</v>
      </c>
      <c r="I531" s="363">
        <f t="shared" si="220"/>
        <v>260441.17692809025</v>
      </c>
      <c r="J531" s="366">
        <f t="shared" si="221"/>
        <v>1.5707924871562811</v>
      </c>
      <c r="K531" s="374">
        <f t="shared" si="211"/>
        <v>63.409873895023608</v>
      </c>
      <c r="L531" s="375">
        <f t="shared" si="212"/>
        <v>1.5550252584390221</v>
      </c>
      <c r="M531" s="363">
        <f t="shared" si="222"/>
        <v>2.222547091274389</v>
      </c>
      <c r="N531" s="366">
        <f t="shared" si="223"/>
        <v>1.1041046417715765</v>
      </c>
      <c r="O531" s="367">
        <f t="shared" si="224"/>
        <v>1.2016539889150371</v>
      </c>
      <c r="P531" s="368">
        <f t="shared" si="225"/>
        <v>0.81070440343448369</v>
      </c>
      <c r="Q531" s="369">
        <f t="shared" si="226"/>
        <v>-22.654344686575449</v>
      </c>
      <c r="R531" s="370">
        <f t="shared" si="227"/>
        <v>-166.63196470195481</v>
      </c>
      <c r="S531" s="372">
        <f t="shared" si="228"/>
        <v>13.368035298045186</v>
      </c>
      <c r="U531" s="345">
        <f t="shared" si="234"/>
        <v>76741.5</v>
      </c>
      <c r="V531" s="345">
        <f t="shared" si="235"/>
        <v>5889257822.25</v>
      </c>
      <c r="X531" s="371">
        <f t="shared" si="229"/>
        <v>8.8885997061347961</v>
      </c>
      <c r="Y531" s="372">
        <f t="shared" si="230"/>
        <v>-64.163931847749367</v>
      </c>
      <c r="AA531" s="371">
        <f t="shared" si="231"/>
        <v>14.477655520569376</v>
      </c>
      <c r="AB531" s="372">
        <f t="shared" si="232"/>
        <v>-102.46803285420548</v>
      </c>
      <c r="AD531">
        <f t="shared" si="236"/>
        <v>0</v>
      </c>
      <c r="AE531">
        <f t="shared" si="213"/>
        <v>0</v>
      </c>
    </row>
    <row r="532" spans="1:31" x14ac:dyDescent="0.2">
      <c r="A532" s="373">
        <v>77183.25</v>
      </c>
      <c r="B532" s="390">
        <f t="shared" si="233"/>
        <v>77.183250000000001</v>
      </c>
      <c r="C532" s="363">
        <f t="shared" si="214"/>
        <v>101.4193168545056</v>
      </c>
      <c r="D532" s="364">
        <f t="shared" si="215"/>
        <v>1.56093611243761</v>
      </c>
      <c r="E532" s="364">
        <f t="shared" si="216"/>
        <v>3.0492788692739405</v>
      </c>
      <c r="F532" s="365">
        <f t="shared" si="217"/>
        <v>1.2366674040661576</v>
      </c>
      <c r="G532" s="364">
        <f t="shared" si="218"/>
        <v>1.2604506328163947</v>
      </c>
      <c r="H532" s="365">
        <f t="shared" si="219"/>
        <v>-0.65447594880541138</v>
      </c>
      <c r="I532" s="363">
        <f t="shared" si="220"/>
        <v>261940.36432873126</v>
      </c>
      <c r="J532" s="366">
        <f t="shared" si="221"/>
        <v>1.5707925091320383</v>
      </c>
      <c r="K532" s="374">
        <f t="shared" si="211"/>
        <v>63.774792031153211</v>
      </c>
      <c r="L532" s="375">
        <f t="shared" si="212"/>
        <v>1.5551155076079748</v>
      </c>
      <c r="M532" s="363">
        <f t="shared" si="222"/>
        <v>2.2327567679239202</v>
      </c>
      <c r="N532" s="366">
        <f t="shared" si="223"/>
        <v>1.1064070732101183</v>
      </c>
      <c r="O532" s="367">
        <f t="shared" si="224"/>
        <v>1.2039286294480249</v>
      </c>
      <c r="P532" s="368">
        <f t="shared" si="225"/>
        <v>0.81476949857732228</v>
      </c>
      <c r="Q532" s="369">
        <f t="shared" si="226"/>
        <v>-22.69756841731029</v>
      </c>
      <c r="R532" s="370">
        <f t="shared" si="227"/>
        <v>-167.05147355367862</v>
      </c>
      <c r="S532" s="372">
        <f t="shared" si="228"/>
        <v>12.948526446321381</v>
      </c>
      <c r="U532" s="345">
        <f t="shared" si="234"/>
        <v>77183.25</v>
      </c>
      <c r="V532" s="345">
        <f t="shared" si="235"/>
        <v>5957254080.5625</v>
      </c>
      <c r="X532" s="371">
        <f t="shared" si="229"/>
        <v>8.8487785194125337</v>
      </c>
      <c r="Y532" s="372">
        <f t="shared" si="230"/>
        <v>-64.290681814573475</v>
      </c>
      <c r="AA532" s="371">
        <f t="shared" si="231"/>
        <v>14.474252976556802</v>
      </c>
      <c r="AB532" s="372">
        <f t="shared" si="232"/>
        <v>-102.76079173910514</v>
      </c>
      <c r="AD532">
        <f t="shared" si="236"/>
        <v>0</v>
      </c>
      <c r="AE532">
        <f t="shared" si="213"/>
        <v>0</v>
      </c>
    </row>
    <row r="533" spans="1:31" x14ac:dyDescent="0.2">
      <c r="A533" s="373">
        <v>77625</v>
      </c>
      <c r="B533" s="390">
        <f t="shared" si="233"/>
        <v>77.625</v>
      </c>
      <c r="C533" s="363">
        <f t="shared" si="214"/>
        <v>101.99972309464013</v>
      </c>
      <c r="D533" s="364">
        <f t="shared" si="215"/>
        <v>1.5609922215491232</v>
      </c>
      <c r="E533" s="364">
        <f t="shared" si="216"/>
        <v>3.0648588912291901</v>
      </c>
      <c r="F533" s="365">
        <f t="shared" si="217"/>
        <v>1.2384315538996962</v>
      </c>
      <c r="G533" s="364">
        <f t="shared" si="218"/>
        <v>1.2631287403470792</v>
      </c>
      <c r="H533" s="365">
        <f t="shared" si="219"/>
        <v>-0.65723424443609413</v>
      </c>
      <c r="I533" s="363">
        <f t="shared" si="220"/>
        <v>263439.55172937241</v>
      </c>
      <c r="J533" s="366">
        <f t="shared" si="221"/>
        <v>1.5707925308576751</v>
      </c>
      <c r="K533" s="374">
        <f t="shared" si="211"/>
        <v>64.1397106808123</v>
      </c>
      <c r="L533" s="375">
        <f t="shared" si="212"/>
        <v>1.5552047298442697</v>
      </c>
      <c r="M533" s="363">
        <f t="shared" si="222"/>
        <v>2.2429781730524798</v>
      </c>
      <c r="N533" s="366">
        <f t="shared" si="223"/>
        <v>1.1086885319760025</v>
      </c>
      <c r="O533" s="367">
        <f t="shared" si="224"/>
        <v>1.206215300127454</v>
      </c>
      <c r="P533" s="368">
        <f t="shared" si="225"/>
        <v>0.81882609991875965</v>
      </c>
      <c r="Q533" s="369">
        <f t="shared" si="226"/>
        <v>-22.740598927508664</v>
      </c>
      <c r="R533" s="370">
        <f t="shared" si="227"/>
        <v>-167.46968200949411</v>
      </c>
      <c r="S533" s="372">
        <f t="shared" si="228"/>
        <v>12.530317990505893</v>
      </c>
      <c r="U533" s="345">
        <f t="shared" si="234"/>
        <v>77625</v>
      </c>
      <c r="V533" s="345">
        <f t="shared" si="235"/>
        <v>6025640625</v>
      </c>
      <c r="X533" s="371">
        <f t="shared" si="229"/>
        <v>8.8090937425694467</v>
      </c>
      <c r="Y533" s="372">
        <f t="shared" si="230"/>
        <v>-64.41628896034419</v>
      </c>
      <c r="AA533" s="371">
        <f t="shared" si="231"/>
        <v>14.470907243201509</v>
      </c>
      <c r="AB533" s="372">
        <f t="shared" si="232"/>
        <v>-103.05339304914992</v>
      </c>
      <c r="AD533">
        <f t="shared" si="236"/>
        <v>0</v>
      </c>
      <c r="AE533">
        <f t="shared" si="213"/>
        <v>0</v>
      </c>
    </row>
    <row r="534" spans="1:31" x14ac:dyDescent="0.2">
      <c r="A534" s="373">
        <v>78077</v>
      </c>
      <c r="B534" s="390">
        <f t="shared" si="233"/>
        <v>78.076999999999998</v>
      </c>
      <c r="C534" s="363">
        <f t="shared" si="214"/>
        <v>102.59359692755429</v>
      </c>
      <c r="D534" s="364">
        <f t="shared" si="215"/>
        <v>1.5610489754467931</v>
      </c>
      <c r="E534" s="364">
        <f t="shared" si="216"/>
        <v>3.0808101911178616</v>
      </c>
      <c r="F534" s="365">
        <f t="shared" si="217"/>
        <v>1.2402181630438334</v>
      </c>
      <c r="G534" s="364">
        <f t="shared" si="218"/>
        <v>1.2658788930321923</v>
      </c>
      <c r="H534" s="365">
        <f t="shared" si="219"/>
        <v>-0.66004443901117016</v>
      </c>
      <c r="I534" s="363">
        <f t="shared" si="220"/>
        <v>264973.52502895327</v>
      </c>
      <c r="J534" s="366">
        <f t="shared" si="221"/>
        <v>1.5707925528329512</v>
      </c>
      <c r="K534" s="374">
        <f t="shared" si="211"/>
        <v>64.513097122099737</v>
      </c>
      <c r="L534" s="375">
        <f t="shared" si="212"/>
        <v>1.5552949775437803</v>
      </c>
      <c r="M534" s="363">
        <f t="shared" si="222"/>
        <v>2.2534487205430027</v>
      </c>
      <c r="N534" s="366">
        <f t="shared" si="223"/>
        <v>1.1110014926341603</v>
      </c>
      <c r="O534" s="367">
        <f t="shared" si="224"/>
        <v>1.2085674686755592</v>
      </c>
      <c r="P534" s="368">
        <f t="shared" si="225"/>
        <v>0.82296802898000321</v>
      </c>
      <c r="Q534" s="369">
        <f t="shared" si="226"/>
        <v>-22.784430378933362</v>
      </c>
      <c r="R534" s="370">
        <f t="shared" si="227"/>
        <v>-167.89624927889474</v>
      </c>
      <c r="S534" s="372">
        <f t="shared" si="228"/>
        <v>12.103750721105257</v>
      </c>
      <c r="U534" s="345">
        <f t="shared" si="234"/>
        <v>78077</v>
      </c>
      <c r="V534" s="345">
        <f t="shared" si="235"/>
        <v>6096017929</v>
      </c>
      <c r="X534" s="371">
        <f t="shared" si="229"/>
        <v>8.7686289082634179</v>
      </c>
      <c r="Y534" s="372">
        <f t="shared" si="230"/>
        <v>-64.543642291179779</v>
      </c>
      <c r="AA534" s="371">
        <f t="shared" si="231"/>
        <v>14.467540626082842</v>
      </c>
      <c r="AB534" s="372">
        <f t="shared" si="232"/>
        <v>-103.35260698771495</v>
      </c>
      <c r="AD534">
        <f t="shared" si="236"/>
        <v>0</v>
      </c>
      <c r="AE534">
        <f t="shared" si="213"/>
        <v>0</v>
      </c>
    </row>
    <row r="535" spans="1:31" x14ac:dyDescent="0.2">
      <c r="A535" s="373">
        <v>78529</v>
      </c>
      <c r="B535" s="390">
        <f t="shared" si="233"/>
        <v>78.528999999999996</v>
      </c>
      <c r="C535" s="363">
        <f t="shared" si="214"/>
        <v>103.18747108711922</v>
      </c>
      <c r="D535" s="364">
        <f t="shared" si="215"/>
        <v>1.5611050760739897</v>
      </c>
      <c r="E535" s="364">
        <f t="shared" si="216"/>
        <v>3.0967712235415599</v>
      </c>
      <c r="F535" s="365">
        <f t="shared" si="217"/>
        <v>1.2419863611009598</v>
      </c>
      <c r="G535" s="364">
        <f t="shared" si="218"/>
        <v>1.2686389992195242</v>
      </c>
      <c r="H535" s="365">
        <f t="shared" si="219"/>
        <v>-0.66284242763948154</v>
      </c>
      <c r="I535" s="363">
        <f t="shared" si="220"/>
        <v>266507.49832853425</v>
      </c>
      <c r="J535" s="366">
        <f t="shared" si="221"/>
        <v>1.5707925745552551</v>
      </c>
      <c r="K535" s="374">
        <f t="shared" ref="K535:K598" si="237">SQRT(1+(A535/Zero2)^2)</f>
        <v>64.886484082776406</v>
      </c>
      <c r="L535" s="375">
        <f t="shared" ref="L535:L598" si="238">ATAN(A535/Zero2)</f>
        <v>1.555384186589668</v>
      </c>
      <c r="M535" s="363">
        <f t="shared" si="222"/>
        <v>2.2639312119551169</v>
      </c>
      <c r="N535" s="366">
        <f t="shared" si="223"/>
        <v>1.1132930464405455</v>
      </c>
      <c r="O535" s="367">
        <f t="shared" si="224"/>
        <v>1.2109322073453299</v>
      </c>
      <c r="P535" s="368">
        <f t="shared" si="225"/>
        <v>0.82710105255772659</v>
      </c>
      <c r="Q535" s="369">
        <f t="shared" si="226"/>
        <v>-22.828064562023439</v>
      </c>
      <c r="R535" s="370">
        <f t="shared" si="227"/>
        <v>-168.3214573740955</v>
      </c>
      <c r="S535" s="372">
        <f t="shared" si="228"/>
        <v>11.678542625904498</v>
      </c>
      <c r="U535" s="345">
        <f t="shared" si="234"/>
        <v>78529</v>
      </c>
      <c r="V535" s="345">
        <f t="shared" si="235"/>
        <v>6166803841</v>
      </c>
      <c r="X535" s="371">
        <f t="shared" si="229"/>
        <v>8.7283059855159966</v>
      </c>
      <c r="Y535" s="372">
        <f t="shared" si="230"/>
        <v>-64.66982859572957</v>
      </c>
      <c r="AA535" s="371">
        <f t="shared" si="231"/>
        <v>14.464229365740191</v>
      </c>
      <c r="AB535" s="372">
        <f t="shared" si="232"/>
        <v>-103.6516287783659</v>
      </c>
      <c r="AD535">
        <f t="shared" si="236"/>
        <v>0</v>
      </c>
      <c r="AE535">
        <f t="shared" si="213"/>
        <v>0</v>
      </c>
    </row>
    <row r="536" spans="1:31" x14ac:dyDescent="0.2">
      <c r="A536" s="373">
        <v>78981</v>
      </c>
      <c r="B536" s="390">
        <f t="shared" si="233"/>
        <v>78.980999999999995</v>
      </c>
      <c r="C536" s="363">
        <f t="shared" si="214"/>
        <v>103.78134556772727</v>
      </c>
      <c r="D536" s="364">
        <f t="shared" si="215"/>
        <v>1.5611605346451078</v>
      </c>
      <c r="E536" s="364">
        <f t="shared" si="216"/>
        <v>3.1127418387853596</v>
      </c>
      <c r="F536" s="365">
        <f t="shared" si="217"/>
        <v>1.2437364203151524</v>
      </c>
      <c r="G536" s="364">
        <f t="shared" si="218"/>
        <v>1.271408994084799</v>
      </c>
      <c r="H536" s="365">
        <f t="shared" si="219"/>
        <v>-0.66562824614783478</v>
      </c>
      <c r="I536" s="363">
        <f t="shared" si="220"/>
        <v>268041.4716281154</v>
      </c>
      <c r="J536" s="366">
        <f t="shared" si="221"/>
        <v>1.57079259602893</v>
      </c>
      <c r="K536" s="374">
        <f t="shared" si="237"/>
        <v>65.259871553927169</v>
      </c>
      <c r="L536" s="375">
        <f t="shared" si="238"/>
        <v>1.5554723748086197</v>
      </c>
      <c r="M536" s="363">
        <f t="shared" si="222"/>
        <v>2.2744254821455128</v>
      </c>
      <c r="N536" s="366">
        <f t="shared" si="223"/>
        <v>1.1155634654763023</v>
      </c>
      <c r="O536" s="367">
        <f t="shared" si="224"/>
        <v>1.2133095036936383</v>
      </c>
      <c r="P536" s="368">
        <f t="shared" si="225"/>
        <v>0.83122516472171715</v>
      </c>
      <c r="Q536" s="369">
        <f t="shared" si="226"/>
        <v>-22.871503953110658</v>
      </c>
      <c r="R536" s="370">
        <f t="shared" si="227"/>
        <v>-168.74530762010204</v>
      </c>
      <c r="S536" s="372">
        <f t="shared" si="228"/>
        <v>11.254692379897961</v>
      </c>
      <c r="U536" s="345">
        <f t="shared" si="234"/>
        <v>78981</v>
      </c>
      <c r="V536" s="345">
        <f t="shared" si="235"/>
        <v>6237998361</v>
      </c>
      <c r="X536" s="371">
        <f t="shared" si="229"/>
        <v>8.6881245031997807</v>
      </c>
      <c r="Y536" s="372">
        <f t="shared" si="230"/>
        <v>-64.794862441949689</v>
      </c>
      <c r="AA536" s="371">
        <f t="shared" si="231"/>
        <v>14.460971456969185</v>
      </c>
      <c r="AB536" s="372">
        <f t="shared" si="232"/>
        <v>-103.95044517815231</v>
      </c>
      <c r="AD536">
        <f t="shared" si="236"/>
        <v>0</v>
      </c>
      <c r="AE536">
        <f t="shared" si="213"/>
        <v>0</v>
      </c>
    </row>
    <row r="537" spans="1:31" x14ac:dyDescent="0.2">
      <c r="A537" s="373">
        <v>79433</v>
      </c>
      <c r="B537" s="390">
        <f t="shared" si="233"/>
        <v>79.433000000000007</v>
      </c>
      <c r="C537" s="363">
        <f t="shared" si="214"/>
        <v>104.37522036389841</v>
      </c>
      <c r="D537" s="364">
        <f t="shared" si="215"/>
        <v>1.5612153621193281</v>
      </c>
      <c r="E537" s="364">
        <f t="shared" si="216"/>
        <v>3.1287218901022498</v>
      </c>
      <c r="F537" s="365">
        <f t="shared" si="217"/>
        <v>1.2454686078179591</v>
      </c>
      <c r="G537" s="364">
        <f t="shared" si="218"/>
        <v>1.274188813136194</v>
      </c>
      <c r="H537" s="365">
        <f t="shared" si="219"/>
        <v>-0.66840193080765398</v>
      </c>
      <c r="I537" s="363">
        <f t="shared" si="220"/>
        <v>269575.44492769666</v>
      </c>
      <c r="J537" s="366">
        <f t="shared" si="221"/>
        <v>1.5707926172582203</v>
      </c>
      <c r="K537" s="374">
        <f t="shared" si="237"/>
        <v>65.633259526839737</v>
      </c>
      <c r="L537" s="375">
        <f t="shared" si="238"/>
        <v>1.5555595596217218</v>
      </c>
      <c r="M537" s="363">
        <f t="shared" si="222"/>
        <v>2.2849313688208985</v>
      </c>
      <c r="N537" s="366">
        <f t="shared" si="223"/>
        <v>1.1178130176985728</v>
      </c>
      <c r="O537" s="367">
        <f t="shared" si="224"/>
        <v>1.2156993453370231</v>
      </c>
      <c r="P537" s="368">
        <f t="shared" si="225"/>
        <v>0.83534035995015188</v>
      </c>
      <c r="Q537" s="369">
        <f t="shared" si="226"/>
        <v>-22.914750986804187</v>
      </c>
      <c r="R537" s="370">
        <f t="shared" si="227"/>
        <v>-169.16780145604307</v>
      </c>
      <c r="S537" s="372">
        <f t="shared" si="228"/>
        <v>10.832198543956935</v>
      </c>
      <c r="U537" s="345">
        <f t="shared" si="234"/>
        <v>79433</v>
      </c>
      <c r="V537" s="345">
        <f t="shared" si="235"/>
        <v>6309601489</v>
      </c>
      <c r="X537" s="371">
        <f t="shared" si="229"/>
        <v>8.6480839808214753</v>
      </c>
      <c r="Y537" s="372">
        <f t="shared" si="230"/>
        <v>-64.918758184741989</v>
      </c>
      <c r="AA537" s="371">
        <f t="shared" si="231"/>
        <v>14.457764945653967</v>
      </c>
      <c r="AB537" s="372">
        <f t="shared" si="232"/>
        <v>-104.24904327130109</v>
      </c>
      <c r="AD537">
        <f t="shared" si="236"/>
        <v>0</v>
      </c>
      <c r="AE537">
        <f t="shared" si="213"/>
        <v>0</v>
      </c>
    </row>
    <row r="538" spans="1:31" x14ac:dyDescent="0.2">
      <c r="A538" s="373">
        <v>79895.5</v>
      </c>
      <c r="B538" s="390">
        <f t="shared" si="233"/>
        <v>79.895499999999998</v>
      </c>
      <c r="C538" s="363">
        <f t="shared" si="214"/>
        <v>104.98289124519769</v>
      </c>
      <c r="D538" s="364">
        <f t="shared" si="215"/>
        <v>1.5612708211544832</v>
      </c>
      <c r="E538" s="364">
        <f t="shared" si="216"/>
        <v>3.1450827768086365</v>
      </c>
      <c r="F538" s="365">
        <f t="shared" si="217"/>
        <v>1.2472228083225951</v>
      </c>
      <c r="G538" s="364">
        <f t="shared" si="218"/>
        <v>1.2770433098689733</v>
      </c>
      <c r="H538" s="365">
        <f t="shared" si="219"/>
        <v>-0.67122752676805497</v>
      </c>
      <c r="I538" s="363">
        <f t="shared" si="220"/>
        <v>271145.05256277713</v>
      </c>
      <c r="J538" s="366">
        <f t="shared" si="221"/>
        <v>1.5707926387320292</v>
      </c>
      <c r="K538" s="374">
        <f t="shared" si="237"/>
        <v>66.015321845906229</v>
      </c>
      <c r="L538" s="375">
        <f t="shared" si="238"/>
        <v>1.5556477488643494</v>
      </c>
      <c r="M538" s="363">
        <f t="shared" si="222"/>
        <v>2.2956931662079949</v>
      </c>
      <c r="N538" s="366">
        <f t="shared" si="223"/>
        <v>1.1200935029243235</v>
      </c>
      <c r="O538" s="367">
        <f t="shared" si="224"/>
        <v>1.2181576761815445</v>
      </c>
      <c r="P538" s="368">
        <f t="shared" si="225"/>
        <v>0.8395419161386577</v>
      </c>
      <c r="Q538" s="369">
        <f t="shared" si="226"/>
        <v>-22.958806037711717</v>
      </c>
      <c r="R538" s="370">
        <f t="shared" si="227"/>
        <v>-169.59870743761405</v>
      </c>
      <c r="S538" s="372">
        <f t="shared" si="228"/>
        <v>10.401292562385947</v>
      </c>
      <c r="U538" s="345">
        <f t="shared" si="234"/>
        <v>79895.5</v>
      </c>
      <c r="V538" s="345">
        <f t="shared" si="235"/>
        <v>6383290920.25</v>
      </c>
      <c r="X538" s="371">
        <f t="shared" si="229"/>
        <v>8.6072587127761864</v>
      </c>
      <c r="Y538" s="372">
        <f t="shared" si="230"/>
        <v>-65.044368722520588</v>
      </c>
      <c r="AA538" s="371">
        <f t="shared" si="231"/>
        <v>14.454535162791725</v>
      </c>
      <c r="AB538" s="372">
        <f t="shared" si="232"/>
        <v>-104.55433871509348</v>
      </c>
      <c r="AD538">
        <f t="shared" si="236"/>
        <v>0</v>
      </c>
      <c r="AE538">
        <f t="shared" ref="AE538:AE601" si="239">IF(AD538&gt;0,S538,0)</f>
        <v>0</v>
      </c>
    </row>
    <row r="539" spans="1:31" x14ac:dyDescent="0.2">
      <c r="A539" s="373">
        <v>80358</v>
      </c>
      <c r="B539" s="390">
        <f t="shared" si="233"/>
        <v>80.358000000000004</v>
      </c>
      <c r="C539" s="363">
        <f t="shared" si="214"/>
        <v>105.59056244567684</v>
      </c>
      <c r="D539" s="364">
        <f t="shared" si="215"/>
        <v>1.5613256418589225</v>
      </c>
      <c r="E539" s="364">
        <f t="shared" si="216"/>
        <v>3.1614532414368455</v>
      </c>
      <c r="F539" s="365">
        <f t="shared" si="217"/>
        <v>1.2489588471127828</v>
      </c>
      <c r="G539" s="364">
        <f t="shared" si="218"/>
        <v>1.2799079569800933</v>
      </c>
      <c r="H539" s="365">
        <f t="shared" si="219"/>
        <v>-0.67404049679518208</v>
      </c>
      <c r="I539" s="363">
        <f t="shared" si="220"/>
        <v>272714.66019785777</v>
      </c>
      <c r="J539" s="366">
        <f t="shared" si="221"/>
        <v>1.5707926599586537</v>
      </c>
      <c r="K539" s="374">
        <f t="shared" si="237"/>
        <v>66.397384672487846</v>
      </c>
      <c r="L539" s="375">
        <f t="shared" si="238"/>
        <v>1.5557349231932365</v>
      </c>
      <c r="M539" s="363">
        <f t="shared" si="222"/>
        <v>2.3064667911574563</v>
      </c>
      <c r="N539" s="366">
        <f t="shared" si="223"/>
        <v>1.1223526952805629</v>
      </c>
      <c r="O539" s="367">
        <f t="shared" si="224"/>
        <v>1.2206291159097911</v>
      </c>
      <c r="P539" s="368">
        <f t="shared" si="225"/>
        <v>0.84373412589150698</v>
      </c>
      <c r="Q539" s="369">
        <f t="shared" si="226"/>
        <v>-23.002664717905489</v>
      </c>
      <c r="R539" s="370">
        <f t="shared" si="227"/>
        <v>-170.02819665566301</v>
      </c>
      <c r="S539" s="372">
        <f t="shared" si="228"/>
        <v>9.9718033443369904</v>
      </c>
      <c r="U539" s="345">
        <f t="shared" si="234"/>
        <v>80358</v>
      </c>
      <c r="V539" s="345">
        <f t="shared" si="235"/>
        <v>6457408164</v>
      </c>
      <c r="X539" s="371">
        <f t="shared" si="229"/>
        <v>8.566579983979441</v>
      </c>
      <c r="Y539" s="372">
        <f t="shared" si="230"/>
        <v>-65.168817404852405</v>
      </c>
      <c r="AA539" s="371">
        <f t="shared" si="231"/>
        <v>14.451355211394691</v>
      </c>
      <c r="AB539" s="372">
        <f t="shared" si="232"/>
        <v>-104.85937925081062</v>
      </c>
      <c r="AD539">
        <f t="shared" si="236"/>
        <v>0</v>
      </c>
      <c r="AE539">
        <f t="shared" si="239"/>
        <v>0</v>
      </c>
    </row>
    <row r="540" spans="1:31" x14ac:dyDescent="0.2">
      <c r="A540" s="373">
        <v>80820.5</v>
      </c>
      <c r="B540" s="390">
        <f t="shared" si="233"/>
        <v>80.820499999999996</v>
      </c>
      <c r="C540" s="363">
        <f t="shared" si="214"/>
        <v>106.19823395985672</v>
      </c>
      <c r="D540" s="364">
        <f t="shared" si="215"/>
        <v>1.561379835189993</v>
      </c>
      <c r="E540" s="364">
        <f t="shared" si="216"/>
        <v>3.1778331359661776</v>
      </c>
      <c r="F540" s="365">
        <f t="shared" si="217"/>
        <v>1.2506769944820886</v>
      </c>
      <c r="G540" s="364">
        <f t="shared" si="218"/>
        <v>1.2827826864675806</v>
      </c>
      <c r="H540" s="365">
        <f t="shared" si="219"/>
        <v>-0.67684088110781926</v>
      </c>
      <c r="I540" s="363">
        <f t="shared" si="220"/>
        <v>274284.26783293847</v>
      </c>
      <c r="J540" s="366">
        <f t="shared" si="221"/>
        <v>1.5707926809423367</v>
      </c>
      <c r="K540" s="374">
        <f t="shared" si="237"/>
        <v>66.77944799787366</v>
      </c>
      <c r="L540" s="375">
        <f t="shared" si="238"/>
        <v>1.5558211000268365</v>
      </c>
      <c r="M540" s="363">
        <f t="shared" si="222"/>
        <v>2.317252078699251</v>
      </c>
      <c r="N540" s="366">
        <f t="shared" si="223"/>
        <v>1.1245908688566413</v>
      </c>
      <c r="O540" s="367">
        <f t="shared" si="224"/>
        <v>1.2231136514535543</v>
      </c>
      <c r="P540" s="368">
        <f t="shared" si="225"/>
        <v>0.84791698459315223</v>
      </c>
      <c r="Q540" s="369">
        <f t="shared" si="226"/>
        <v>-23.046329505892039</v>
      </c>
      <c r="R540" s="370">
        <f t="shared" si="227"/>
        <v>-170.45627099763652</v>
      </c>
      <c r="S540" s="372">
        <f t="shared" si="228"/>
        <v>9.5437290023634773</v>
      </c>
      <c r="U540" s="345">
        <f t="shared" si="234"/>
        <v>80820.5</v>
      </c>
      <c r="V540" s="345">
        <f t="shared" si="235"/>
        <v>6531953220.25</v>
      </c>
      <c r="X540" s="371">
        <f t="shared" si="229"/>
        <v>8.5260472523523205</v>
      </c>
      <c r="Y540" s="372">
        <f t="shared" si="230"/>
        <v>-65.29211893813968</v>
      </c>
      <c r="AA540" s="371">
        <f t="shared" si="231"/>
        <v>14.448223155035265</v>
      </c>
      <c r="AB540" s="372">
        <f t="shared" si="232"/>
        <v>-105.16415205949684</v>
      </c>
      <c r="AD540">
        <f t="shared" si="236"/>
        <v>0</v>
      </c>
      <c r="AE540">
        <f t="shared" si="239"/>
        <v>0</v>
      </c>
    </row>
    <row r="541" spans="1:31" x14ac:dyDescent="0.2">
      <c r="A541" s="373">
        <v>81283</v>
      </c>
      <c r="B541" s="390">
        <f t="shared" si="233"/>
        <v>81.283000000000001</v>
      </c>
      <c r="C541" s="363">
        <f t="shared" si="214"/>
        <v>106.80590578238298</v>
      </c>
      <c r="D541" s="364">
        <f t="shared" si="215"/>
        <v>1.5614334118556892</v>
      </c>
      <c r="E541" s="364">
        <f t="shared" si="216"/>
        <v>3.1942223153277247</v>
      </c>
      <c r="F541" s="365">
        <f t="shared" si="217"/>
        <v>1.2523775156040344</v>
      </c>
      <c r="G541" s="364">
        <f t="shared" si="218"/>
        <v>1.2856674306993952</v>
      </c>
      <c r="H541" s="365">
        <f t="shared" si="219"/>
        <v>-0.67962872035526634</v>
      </c>
      <c r="I541" s="363">
        <f t="shared" si="220"/>
        <v>275853.8754680194</v>
      </c>
      <c r="J541" s="366">
        <f t="shared" si="221"/>
        <v>1.5707927016872258</v>
      </c>
      <c r="K541" s="374">
        <f t="shared" si="237"/>
        <v>67.161511813551016</v>
      </c>
      <c r="L541" s="375">
        <f t="shared" si="238"/>
        <v>1.5559062963873074</v>
      </c>
      <c r="M541" s="363">
        <f t="shared" si="222"/>
        <v>2.3280488667434729</v>
      </c>
      <c r="N541" s="366">
        <f t="shared" si="223"/>
        <v>1.1268082935079333</v>
      </c>
      <c r="O541" s="367">
        <f t="shared" si="224"/>
        <v>1.225611269812984</v>
      </c>
      <c r="P541" s="368">
        <f t="shared" si="225"/>
        <v>0.85209048805701881</v>
      </c>
      <c r="Q541" s="369">
        <f t="shared" si="226"/>
        <v>-23.08980283833144</v>
      </c>
      <c r="R541" s="370">
        <f t="shared" si="227"/>
        <v>-170.88293245940793</v>
      </c>
      <c r="S541" s="372">
        <f t="shared" si="228"/>
        <v>9.1170675405920747</v>
      </c>
      <c r="U541" s="345">
        <f t="shared" si="234"/>
        <v>81283</v>
      </c>
      <c r="V541" s="345">
        <f t="shared" si="235"/>
        <v>6606926089</v>
      </c>
      <c r="X541" s="371">
        <f t="shared" si="229"/>
        <v>8.485659967603997</v>
      </c>
      <c r="Y541" s="372">
        <f t="shared" si="230"/>
        <v>-65.414287808896319</v>
      </c>
      <c r="AA541" s="371">
        <f t="shared" si="231"/>
        <v>14.445137107344186</v>
      </c>
      <c r="AB541" s="372">
        <f t="shared" si="232"/>
        <v>-105.46864465051164</v>
      </c>
      <c r="AD541">
        <f t="shared" si="236"/>
        <v>0</v>
      </c>
      <c r="AE541">
        <f t="shared" si="239"/>
        <v>0</v>
      </c>
    </row>
    <row r="542" spans="1:31" x14ac:dyDescent="0.2">
      <c r="A542" s="373">
        <v>81756.25</v>
      </c>
      <c r="B542" s="390">
        <f t="shared" si="233"/>
        <v>81.756249999999994</v>
      </c>
      <c r="C542" s="363">
        <f t="shared" si="214"/>
        <v>107.42770218261401</v>
      </c>
      <c r="D542" s="364">
        <f t="shared" si="215"/>
        <v>1.5614876064008589</v>
      </c>
      <c r="E542" s="364">
        <f t="shared" si="216"/>
        <v>3.2110018951192316</v>
      </c>
      <c r="F542" s="365">
        <f t="shared" si="217"/>
        <v>1.2540995881728434</v>
      </c>
      <c r="G542" s="364">
        <f t="shared" si="218"/>
        <v>1.2886295221939943</v>
      </c>
      <c r="H542" s="365">
        <f t="shared" si="219"/>
        <v>-0.68246841503313593</v>
      </c>
      <c r="I542" s="363">
        <f t="shared" si="220"/>
        <v>277459.96587515896</v>
      </c>
      <c r="J542" s="366">
        <f t="shared" si="221"/>
        <v>1.5707927226713365</v>
      </c>
      <c r="K542" s="374">
        <f t="shared" si="237"/>
        <v>67.552456530270547</v>
      </c>
      <c r="L542" s="375">
        <f t="shared" si="238"/>
        <v>1.5559924754182253</v>
      </c>
      <c r="M542" s="363">
        <f t="shared" si="222"/>
        <v>2.3391083456063617</v>
      </c>
      <c r="N542" s="366">
        <f t="shared" si="223"/>
        <v>1.1290560574941397</v>
      </c>
      <c r="O542" s="367">
        <f t="shared" si="224"/>
        <v>1.2281804699153169</v>
      </c>
      <c r="P542" s="368">
        <f t="shared" si="225"/>
        <v>0.85635130942097226</v>
      </c>
      <c r="Q542" s="369">
        <f t="shared" si="226"/>
        <v>-23.134090948542148</v>
      </c>
      <c r="R542" s="370">
        <f t="shared" si="227"/>
        <v>-171.31805058726738</v>
      </c>
      <c r="S542" s="372">
        <f t="shared" si="228"/>
        <v>8.6819494127326209</v>
      </c>
      <c r="U542" s="345">
        <f t="shared" si="234"/>
        <v>81756.25</v>
      </c>
      <c r="V542" s="345">
        <f t="shared" si="235"/>
        <v>6684084414.0625</v>
      </c>
      <c r="X542" s="371">
        <f t="shared" si="229"/>
        <v>8.4444839263698341</v>
      </c>
      <c r="Y542" s="372">
        <f t="shared" si="230"/>
        <v>-65.538138706335843</v>
      </c>
      <c r="AA542" s="371">
        <f t="shared" si="231"/>
        <v>14.442025038367646</v>
      </c>
      <c r="AB542" s="372">
        <f t="shared" si="232"/>
        <v>-105.77991188093156</v>
      </c>
      <c r="AD542">
        <f t="shared" si="236"/>
        <v>0</v>
      </c>
      <c r="AE542">
        <f t="shared" si="239"/>
        <v>0</v>
      </c>
    </row>
    <row r="543" spans="1:31" x14ac:dyDescent="0.2">
      <c r="A543" s="373">
        <v>82229.5</v>
      </c>
      <c r="B543" s="390">
        <f t="shared" si="233"/>
        <v>82.229500000000002</v>
      </c>
      <c r="C543" s="363">
        <f t="shared" si="214"/>
        <v>108.04949889473397</v>
      </c>
      <c r="D543" s="364">
        <f t="shared" si="215"/>
        <v>1.5615411771952123</v>
      </c>
      <c r="E543" s="364">
        <f t="shared" si="216"/>
        <v>3.2277908982262624</v>
      </c>
      <c r="F543" s="365">
        <f t="shared" si="217"/>
        <v>1.2558037514055578</v>
      </c>
      <c r="G543" s="364">
        <f t="shared" si="218"/>
        <v>1.2916019573135806</v>
      </c>
      <c r="H543" s="365">
        <f t="shared" si="219"/>
        <v>-0.68529506212422153</v>
      </c>
      <c r="I543" s="363">
        <f t="shared" si="220"/>
        <v>279066.05628229876</v>
      </c>
      <c r="J543" s="366">
        <f t="shared" si="221"/>
        <v>1.5707927434139104</v>
      </c>
      <c r="K543" s="374">
        <f t="shared" si="237"/>
        <v>67.943401742916819</v>
      </c>
      <c r="L543" s="375">
        <f t="shared" si="238"/>
        <v>1.5560776627043258</v>
      </c>
      <c r="M543" s="363">
        <f t="shared" si="222"/>
        <v>2.3501795314177309</v>
      </c>
      <c r="N543" s="366">
        <f t="shared" si="223"/>
        <v>1.1312826551851851</v>
      </c>
      <c r="O543" s="367">
        <f t="shared" si="224"/>
        <v>1.2307633407588117</v>
      </c>
      <c r="P543" s="368">
        <f t="shared" si="225"/>
        <v>0.86060232808712567</v>
      </c>
      <c r="Q543" s="369">
        <f t="shared" si="226"/>
        <v>-23.178183631185625</v>
      </c>
      <c r="R543" s="370">
        <f t="shared" si="227"/>
        <v>-171.75169395091331</v>
      </c>
      <c r="S543" s="372">
        <f t="shared" si="228"/>
        <v>8.2483060490866933</v>
      </c>
      <c r="U543" s="345">
        <f t="shared" si="234"/>
        <v>82229.5</v>
      </c>
      <c r="V543" s="345">
        <f t="shared" si="235"/>
        <v>6761690670.25</v>
      </c>
      <c r="X543" s="371">
        <f t="shared" si="229"/>
        <v>8.4034589818651195</v>
      </c>
      <c r="Y543" s="372">
        <f t="shared" si="230"/>
        <v>-65.660833673346715</v>
      </c>
      <c r="AA543" s="371">
        <f t="shared" si="231"/>
        <v>14.43895730022888</v>
      </c>
      <c r="AB543" s="372">
        <f t="shared" si="232"/>
        <v>-106.09086027756662</v>
      </c>
      <c r="AD543">
        <f t="shared" si="236"/>
        <v>0</v>
      </c>
      <c r="AE543">
        <f t="shared" si="239"/>
        <v>0</v>
      </c>
    </row>
    <row r="544" spans="1:31" x14ac:dyDescent="0.2">
      <c r="A544" s="373">
        <v>82702.75</v>
      </c>
      <c r="B544" s="390">
        <f t="shared" si="233"/>
        <v>82.702749999999995</v>
      </c>
      <c r="C544" s="363">
        <f t="shared" si="214"/>
        <v>108.67129591338916</v>
      </c>
      <c r="D544" s="364">
        <f t="shared" si="215"/>
        <v>1.5615941349453986</v>
      </c>
      <c r="E544" s="364">
        <f t="shared" si="216"/>
        <v>3.2445891783670584</v>
      </c>
      <c r="F544" s="365">
        <f t="shared" si="217"/>
        <v>1.257490273493399</v>
      </c>
      <c r="G544" s="364">
        <f t="shared" si="218"/>
        <v>1.2945846648096195</v>
      </c>
      <c r="H544" s="365">
        <f t="shared" si="219"/>
        <v>-0.68810870648823019</v>
      </c>
      <c r="I544" s="363">
        <f t="shared" si="220"/>
        <v>280672.14668943861</v>
      </c>
      <c r="J544" s="366">
        <f t="shared" si="221"/>
        <v>1.5707927639190937</v>
      </c>
      <c r="K544" s="374">
        <f t="shared" si="237"/>
        <v>68.334347442978185</v>
      </c>
      <c r="L544" s="375">
        <f t="shared" si="238"/>
        <v>1.5561618752658912</v>
      </c>
      <c r="M544" s="363">
        <f t="shared" si="222"/>
        <v>2.3612622595074391</v>
      </c>
      <c r="N544" s="366">
        <f t="shared" si="223"/>
        <v>1.1334883623827177</v>
      </c>
      <c r="O544" s="367">
        <f t="shared" si="224"/>
        <v>1.2333598686426339</v>
      </c>
      <c r="P544" s="368">
        <f t="shared" si="225"/>
        <v>0.86484354093389937</v>
      </c>
      <c r="Q544" s="369">
        <f t="shared" si="226"/>
        <v>-23.222083366597019</v>
      </c>
      <c r="R544" s="370">
        <f t="shared" si="227"/>
        <v>-172.18386501630275</v>
      </c>
      <c r="S544" s="372">
        <f t="shared" si="228"/>
        <v>7.8161349836972533</v>
      </c>
      <c r="U544" s="345">
        <f t="shared" si="234"/>
        <v>82702.75</v>
      </c>
      <c r="V544" s="345">
        <f t="shared" si="235"/>
        <v>6839744857.5625</v>
      </c>
      <c r="X544" s="371">
        <f t="shared" si="229"/>
        <v>8.3625845208586078</v>
      </c>
      <c r="Y544" s="372">
        <f t="shared" si="230"/>
        <v>-65.782387537246635</v>
      </c>
      <c r="AA544" s="371">
        <f t="shared" si="231"/>
        <v>14.435932025824004</v>
      </c>
      <c r="AB544" s="372">
        <f t="shared" si="232"/>
        <v>-106.4014774790561</v>
      </c>
      <c r="AD544">
        <f t="shared" si="236"/>
        <v>0</v>
      </c>
      <c r="AE544">
        <f t="shared" si="239"/>
        <v>0</v>
      </c>
    </row>
    <row r="545" spans="1:31" x14ac:dyDescent="0.2">
      <c r="A545" s="373">
        <v>83176</v>
      </c>
      <c r="B545" s="390">
        <f t="shared" si="233"/>
        <v>83.176000000000002</v>
      </c>
      <c r="C545" s="363">
        <f t="shared" si="214"/>
        <v>109.29309323334768</v>
      </c>
      <c r="D545" s="364">
        <f t="shared" si="215"/>
        <v>1.5616464901144298</v>
      </c>
      <c r="E545" s="364">
        <f t="shared" si="216"/>
        <v>3.2613965921936354</v>
      </c>
      <c r="F545" s="365">
        <f t="shared" si="217"/>
        <v>1.2591594175051737</v>
      </c>
      <c r="G545" s="364">
        <f t="shared" si="218"/>
        <v>1.2975775738435871</v>
      </c>
      <c r="H545" s="365">
        <f t="shared" si="219"/>
        <v>-0.69090939339661384</v>
      </c>
      <c r="I545" s="363">
        <f t="shared" si="220"/>
        <v>282278.23709657858</v>
      </c>
      <c r="J545" s="366">
        <f t="shared" si="221"/>
        <v>1.5707927841909386</v>
      </c>
      <c r="K545" s="374">
        <f t="shared" si="237"/>
        <v>68.725293622136576</v>
      </c>
      <c r="L545" s="375">
        <f t="shared" si="238"/>
        <v>1.5562451297359781</v>
      </c>
      <c r="M545" s="363">
        <f t="shared" si="222"/>
        <v>2.3723563681123587</v>
      </c>
      <c r="N545" s="366">
        <f t="shared" si="223"/>
        <v>1.1356734505504993</v>
      </c>
      <c r="O545" s="367">
        <f t="shared" si="224"/>
        <v>1.2359700399438283</v>
      </c>
      <c r="P545" s="368">
        <f t="shared" si="225"/>
        <v>0.8690749452890445</v>
      </c>
      <c r="Q545" s="369">
        <f t="shared" si="226"/>
        <v>-23.265792593089159</v>
      </c>
      <c r="R545" s="370">
        <f t="shared" si="227"/>
        <v>-172.61456635190032</v>
      </c>
      <c r="S545" s="372">
        <f t="shared" si="228"/>
        <v>7.3854336480996778</v>
      </c>
      <c r="U545" s="345">
        <f t="shared" si="234"/>
        <v>83176</v>
      </c>
      <c r="V545" s="345">
        <f t="shared" si="235"/>
        <v>6918246976</v>
      </c>
      <c r="X545" s="371">
        <f t="shared" si="229"/>
        <v>8.3218599231008987</v>
      </c>
      <c r="Y545" s="372">
        <f t="shared" si="230"/>
        <v>-65.902814898991664</v>
      </c>
      <c r="AA545" s="371">
        <f t="shared" si="231"/>
        <v>14.432947397089563</v>
      </c>
      <c r="AB545" s="372">
        <f t="shared" si="232"/>
        <v>-106.71175145290862</v>
      </c>
      <c r="AD545">
        <f t="shared" si="236"/>
        <v>0</v>
      </c>
      <c r="AE545">
        <f t="shared" si="239"/>
        <v>0</v>
      </c>
    </row>
    <row r="546" spans="1:31" x14ac:dyDescent="0.2">
      <c r="A546" s="373">
        <v>83660.5</v>
      </c>
      <c r="B546" s="390">
        <f t="shared" si="233"/>
        <v>83.660499999999999</v>
      </c>
      <c r="C546" s="363">
        <f t="shared" si="214"/>
        <v>109.92967209591507</v>
      </c>
      <c r="D546" s="364">
        <f t="shared" si="215"/>
        <v>1.5616994762978309</v>
      </c>
      <c r="E546" s="364">
        <f t="shared" si="216"/>
        <v>3.278612863628108</v>
      </c>
      <c r="F546" s="365">
        <f t="shared" si="217"/>
        <v>1.2608505068363587</v>
      </c>
      <c r="G546" s="364">
        <f t="shared" si="218"/>
        <v>1.3006521243342271</v>
      </c>
      <c r="H546" s="365">
        <f t="shared" si="219"/>
        <v>-0.69376328218582828</v>
      </c>
      <c r="I546" s="363">
        <f t="shared" si="220"/>
        <v>283922.50714889629</v>
      </c>
      <c r="J546" s="366">
        <f t="shared" si="221"/>
        <v>1.5707928047070916</v>
      </c>
      <c r="K546" s="374">
        <f t="shared" si="237"/>
        <v>69.125533779911478</v>
      </c>
      <c r="L546" s="375">
        <f t="shared" si="238"/>
        <v>1.5563293877606184</v>
      </c>
      <c r="M546" s="363">
        <f t="shared" si="222"/>
        <v>2.3837258271653297</v>
      </c>
      <c r="N546" s="366">
        <f t="shared" si="223"/>
        <v>1.1378894010648595</v>
      </c>
      <c r="O546" s="367">
        <f t="shared" si="224"/>
        <v>1.238656379314296</v>
      </c>
      <c r="P546" s="368">
        <f t="shared" si="225"/>
        <v>0.87339677436838292</v>
      </c>
      <c r="Q546" s="369">
        <f t="shared" si="226"/>
        <v>-23.310346013090573</v>
      </c>
      <c r="R546" s="370">
        <f t="shared" si="227"/>
        <v>-173.05398646284164</v>
      </c>
      <c r="S546" s="372">
        <f t="shared" si="228"/>
        <v>6.9460135371583647</v>
      </c>
      <c r="U546" s="345">
        <f t="shared" si="234"/>
        <v>83660.5</v>
      </c>
      <c r="V546" s="345">
        <f t="shared" si="235"/>
        <v>6999079260.25</v>
      </c>
      <c r="X546" s="371">
        <f t="shared" si="229"/>
        <v>8.2803218235701053</v>
      </c>
      <c r="Y546" s="372">
        <f t="shared" si="230"/>
        <v>-66.024953057500909</v>
      </c>
      <c r="AA546" s="371">
        <f t="shared" si="231"/>
        <v>14.429932076618947</v>
      </c>
      <c r="AB546" s="372">
        <f t="shared" si="232"/>
        <v>-107.02903340534074</v>
      </c>
      <c r="AD546">
        <f t="shared" si="236"/>
        <v>0</v>
      </c>
      <c r="AE546">
        <f t="shared" si="239"/>
        <v>0</v>
      </c>
    </row>
    <row r="547" spans="1:31" x14ac:dyDescent="0.2">
      <c r="A547" s="373">
        <v>84145</v>
      </c>
      <c r="B547" s="390">
        <f t="shared" si="233"/>
        <v>84.144999999999996</v>
      </c>
      <c r="C547" s="363">
        <f t="shared" si="214"/>
        <v>110.56625126356009</v>
      </c>
      <c r="D547" s="364">
        <f t="shared" si="215"/>
        <v>1.5617518523512497</v>
      </c>
      <c r="E547" s="364">
        <f t="shared" si="216"/>
        <v>3.2958384132138208</v>
      </c>
      <c r="F547" s="365">
        <f t="shared" si="217"/>
        <v>1.2625239241085935</v>
      </c>
      <c r="G547" s="364">
        <f t="shared" si="218"/>
        <v>1.3037372182076516</v>
      </c>
      <c r="H547" s="365">
        <f t="shared" si="219"/>
        <v>-0.69660368743929779</v>
      </c>
      <c r="I547" s="363">
        <f t="shared" si="220"/>
        <v>285566.77720121416</v>
      </c>
      <c r="J547" s="366">
        <f t="shared" si="221"/>
        <v>1.570792824986984</v>
      </c>
      <c r="K547" s="374">
        <f t="shared" si="237"/>
        <v>69.525774422787009</v>
      </c>
      <c r="L547" s="375">
        <f t="shared" si="238"/>
        <v>1.5564126756855834</v>
      </c>
      <c r="M547" s="363">
        <f t="shared" si="222"/>
        <v>2.395106880192257</v>
      </c>
      <c r="N547" s="366">
        <f t="shared" si="223"/>
        <v>1.1400843027940033</v>
      </c>
      <c r="O547" s="367">
        <f t="shared" si="224"/>
        <v>1.2413569898258345</v>
      </c>
      <c r="P547" s="368">
        <f t="shared" si="225"/>
        <v>0.87770831883441802</v>
      </c>
      <c r="Q547" s="369">
        <f t="shared" si="226"/>
        <v>-23.354704799948628</v>
      </c>
      <c r="R547" s="370">
        <f t="shared" si="227"/>
        <v>-173.49187189819773</v>
      </c>
      <c r="S547" s="372">
        <f t="shared" si="228"/>
        <v>6.5081281018022707</v>
      </c>
      <c r="U547" s="345">
        <f t="shared" si="234"/>
        <v>84145</v>
      </c>
      <c r="V547" s="345">
        <f t="shared" si="235"/>
        <v>7080381025</v>
      </c>
      <c r="X547" s="371">
        <f t="shared" si="229"/>
        <v>8.2389394607893944</v>
      </c>
      <c r="Y547" s="372">
        <f t="shared" si="230"/>
        <v>-66.14594077853242</v>
      </c>
      <c r="AA547" s="371">
        <f t="shared" si="231"/>
        <v>14.426955652541601</v>
      </c>
      <c r="AB547" s="372">
        <f t="shared" si="232"/>
        <v>-107.34593111966535</v>
      </c>
      <c r="AD547">
        <f t="shared" si="236"/>
        <v>0</v>
      </c>
      <c r="AE547">
        <f t="shared" si="239"/>
        <v>0</v>
      </c>
    </row>
    <row r="548" spans="1:31" x14ac:dyDescent="0.2">
      <c r="A548" s="373">
        <v>84629.5</v>
      </c>
      <c r="B548" s="390">
        <f t="shared" si="233"/>
        <v>84.629499999999993</v>
      </c>
      <c r="C548" s="363">
        <f t="shared" si="214"/>
        <v>111.20283073104349</v>
      </c>
      <c r="D548" s="364">
        <f t="shared" si="215"/>
        <v>1.5618036287524446</v>
      </c>
      <c r="E548" s="364">
        <f t="shared" si="216"/>
        <v>3.3130730962320358</v>
      </c>
      <c r="F548" s="365">
        <f t="shared" si="217"/>
        <v>1.2641799356672321</v>
      </c>
      <c r="G548" s="364">
        <f t="shared" si="218"/>
        <v>1.3068327807932716</v>
      </c>
      <c r="H548" s="365">
        <f t="shared" si="219"/>
        <v>-0.69943065898019752</v>
      </c>
      <c r="I548" s="363">
        <f t="shared" si="220"/>
        <v>287211.04725353216</v>
      </c>
      <c r="J548" s="366">
        <f t="shared" si="221"/>
        <v>1.5707928450346733</v>
      </c>
      <c r="K548" s="374">
        <f t="shared" si="237"/>
        <v>69.926015542433305</v>
      </c>
      <c r="L548" s="375">
        <f t="shared" si="238"/>
        <v>1.5564950101676187</v>
      </c>
      <c r="M548" s="363">
        <f t="shared" si="222"/>
        <v>2.4064993626990669</v>
      </c>
      <c r="N548" s="366">
        <f t="shared" si="223"/>
        <v>1.1422584333762973</v>
      </c>
      <c r="O548" s="367">
        <f t="shared" si="224"/>
        <v>1.2440718571187599</v>
      </c>
      <c r="P548" s="368">
        <f t="shared" si="225"/>
        <v>0.88200957724871287</v>
      </c>
      <c r="Q548" s="369">
        <f t="shared" si="226"/>
        <v>-23.398871438966967</v>
      </c>
      <c r="R548" s="370">
        <f t="shared" si="227"/>
        <v>-173.92822572345443</v>
      </c>
      <c r="S548" s="372">
        <f t="shared" si="228"/>
        <v>6.0717742765455682</v>
      </c>
      <c r="U548" s="345">
        <f t="shared" si="234"/>
        <v>84629.5</v>
      </c>
      <c r="V548" s="345">
        <f t="shared" si="235"/>
        <v>7162152270.25</v>
      </c>
      <c r="X548" s="371">
        <f t="shared" si="229"/>
        <v>8.1977121492752651</v>
      </c>
      <c r="Y548" s="372">
        <f t="shared" si="230"/>
        <v>-66.265793015464098</v>
      </c>
      <c r="AA548" s="371">
        <f t="shared" si="231"/>
        <v>14.424016325037385</v>
      </c>
      <c r="AB548" s="372">
        <f t="shared" si="232"/>
        <v>-107.66243270799035</v>
      </c>
      <c r="AD548">
        <f t="shared" si="236"/>
        <v>0</v>
      </c>
      <c r="AE548">
        <f t="shared" si="239"/>
        <v>0</v>
      </c>
    </row>
    <row r="549" spans="1:31" x14ac:dyDescent="0.2">
      <c r="A549" s="373">
        <v>85114</v>
      </c>
      <c r="B549" s="390">
        <f t="shared" si="233"/>
        <v>85.114000000000004</v>
      </c>
      <c r="C549" s="363">
        <f t="shared" si="214"/>
        <v>111.83941049324531</v>
      </c>
      <c r="D549" s="364">
        <f t="shared" si="215"/>
        <v>1.5618548157406336</v>
      </c>
      <c r="E549" s="364">
        <f t="shared" si="216"/>
        <v>3.3303167708838015</v>
      </c>
      <c r="F549" s="365">
        <f t="shared" si="217"/>
        <v>1.2658188027275727</v>
      </c>
      <c r="G549" s="364">
        <f t="shared" si="218"/>
        <v>1.3099387378741363</v>
      </c>
      <c r="H549" s="365">
        <f t="shared" si="219"/>
        <v>-0.70224424702042487</v>
      </c>
      <c r="I549" s="363">
        <f t="shared" si="220"/>
        <v>288855.31730585027</v>
      </c>
      <c r="J549" s="366">
        <f t="shared" si="221"/>
        <v>1.5707928648541252</v>
      </c>
      <c r="K549" s="374">
        <f t="shared" si="237"/>
        <v>70.326257130710204</v>
      </c>
      <c r="L549" s="375">
        <f t="shared" si="238"/>
        <v>1.556576407484334</v>
      </c>
      <c r="M549" s="363">
        <f t="shared" si="222"/>
        <v>2.4179031131282374</v>
      </c>
      <c r="N549" s="366">
        <f t="shared" si="223"/>
        <v>1.1444120660056718</v>
      </c>
      <c r="O549" s="367">
        <f t="shared" si="224"/>
        <v>1.2468009669218294</v>
      </c>
      <c r="P549" s="368">
        <f t="shared" si="225"/>
        <v>0.88630054864304353</v>
      </c>
      <c r="Q549" s="369">
        <f t="shared" si="226"/>
        <v>-23.442848373120313</v>
      </c>
      <c r="R549" s="370">
        <f t="shared" si="227"/>
        <v>-174.3630511006443</v>
      </c>
      <c r="S549" s="372">
        <f t="shared" si="228"/>
        <v>5.6369488993557013</v>
      </c>
      <c r="U549" s="345">
        <f t="shared" si="234"/>
        <v>85114</v>
      </c>
      <c r="V549" s="345">
        <f t="shared" si="235"/>
        <v>7244392996</v>
      </c>
      <c r="X549" s="371">
        <f t="shared" si="229"/>
        <v>8.1566391977445019</v>
      </c>
      <c r="Y549" s="372">
        <f t="shared" si="230"/>
        <v>-66.384524488744063</v>
      </c>
      <c r="AA549" s="371">
        <f t="shared" si="231"/>
        <v>14.421112342414808</v>
      </c>
      <c r="AB549" s="372">
        <f t="shared" si="232"/>
        <v>-107.97852661190024</v>
      </c>
      <c r="AD549">
        <f t="shared" si="236"/>
        <v>0</v>
      </c>
      <c r="AE549">
        <f t="shared" si="239"/>
        <v>0</v>
      </c>
    </row>
    <row r="550" spans="1:31" x14ac:dyDescent="0.2">
      <c r="A550" s="373">
        <v>85609.5</v>
      </c>
      <c r="B550" s="390">
        <f t="shared" si="233"/>
        <v>85.609499999999997</v>
      </c>
      <c r="C550" s="363">
        <f t="shared" si="214"/>
        <v>112.49044334636281</v>
      </c>
      <c r="D550" s="364">
        <f t="shared" si="215"/>
        <v>1.5619065656589111</v>
      </c>
      <c r="E550" s="364">
        <f t="shared" si="216"/>
        <v>3.3479610981709857</v>
      </c>
      <c r="F550" s="365">
        <f t="shared" si="217"/>
        <v>1.2674774125131689</v>
      </c>
      <c r="G550" s="364">
        <f t="shared" si="218"/>
        <v>1.3131258863382449</v>
      </c>
      <c r="H550" s="365">
        <f t="shared" si="219"/>
        <v>-0.70510792423664503</v>
      </c>
      <c r="I550" s="363">
        <f t="shared" si="220"/>
        <v>290536.91856678663</v>
      </c>
      <c r="J550" s="366">
        <f t="shared" si="221"/>
        <v>1.5707928848915236</v>
      </c>
      <c r="K550" s="374">
        <f t="shared" si="237"/>
        <v>70.735586207731998</v>
      </c>
      <c r="L550" s="375">
        <f t="shared" si="238"/>
        <v>1.5566587000857397</v>
      </c>
      <c r="M550" s="363">
        <f t="shared" si="222"/>
        <v>2.429577261447037</v>
      </c>
      <c r="N550" s="366">
        <f t="shared" si="223"/>
        <v>1.146593673141131</v>
      </c>
      <c r="O550" s="367">
        <f t="shared" si="224"/>
        <v>1.2496067543788585</v>
      </c>
      <c r="P550" s="368">
        <f t="shared" si="225"/>
        <v>0.89067830094692568</v>
      </c>
      <c r="Q550" s="369">
        <f t="shared" si="226"/>
        <v>-23.487630039812007</v>
      </c>
      <c r="R550" s="370">
        <f t="shared" si="227"/>
        <v>-174.80617117235775</v>
      </c>
      <c r="S550" s="372">
        <f t="shared" si="228"/>
        <v>5.1938288276422497</v>
      </c>
      <c r="U550" s="345">
        <f t="shared" si="234"/>
        <v>85609.5</v>
      </c>
      <c r="V550" s="345">
        <f t="shared" si="235"/>
        <v>7328986490.25</v>
      </c>
      <c r="X550" s="371">
        <f t="shared" si="229"/>
        <v>8.1147926639575196</v>
      </c>
      <c r="Y550" s="372">
        <f t="shared" si="230"/>
        <v>-66.504807499611587</v>
      </c>
      <c r="AA550" s="371">
        <f t="shared" si="231"/>
        <v>14.418177209510096</v>
      </c>
      <c r="AB550" s="372">
        <f t="shared" si="232"/>
        <v>-108.30136367274613</v>
      </c>
      <c r="AD550">
        <f t="shared" si="236"/>
        <v>0</v>
      </c>
      <c r="AE550">
        <f t="shared" si="239"/>
        <v>0</v>
      </c>
    </row>
    <row r="551" spans="1:31" x14ac:dyDescent="0.2">
      <c r="A551" s="373">
        <v>86105</v>
      </c>
      <c r="B551" s="390">
        <f t="shared" si="233"/>
        <v>86.105000000000004</v>
      </c>
      <c r="C551" s="363">
        <f t="shared" si="214"/>
        <v>113.14147649726884</v>
      </c>
      <c r="D551" s="364">
        <f t="shared" si="215"/>
        <v>1.5619577200236263</v>
      </c>
      <c r="E551" s="364">
        <f t="shared" si="216"/>
        <v>3.3656145390695897</v>
      </c>
      <c r="F551" s="365">
        <f t="shared" si="217"/>
        <v>1.2691186271764516</v>
      </c>
      <c r="G551" s="364">
        <f t="shared" si="218"/>
        <v>1.3163237510867378</v>
      </c>
      <c r="H551" s="365">
        <f t="shared" si="219"/>
        <v>-0.70795771074667235</v>
      </c>
      <c r="I551" s="363">
        <f t="shared" si="220"/>
        <v>292218.51982772315</v>
      </c>
      <c r="J551" s="366">
        <f t="shared" si="221"/>
        <v>1.5707929046983073</v>
      </c>
      <c r="K551" s="374">
        <f t="shared" si="237"/>
        <v>71.144915758268169</v>
      </c>
      <c r="L551" s="375">
        <f t="shared" si="238"/>
        <v>1.5567400457530245</v>
      </c>
      <c r="M551" s="363">
        <f t="shared" si="222"/>
        <v>2.441262862495289</v>
      </c>
      <c r="N551" s="366">
        <f t="shared" si="223"/>
        <v>1.1487544050663139</v>
      </c>
      <c r="O551" s="367">
        <f t="shared" si="224"/>
        <v>1.252427408500089</v>
      </c>
      <c r="P551" s="368">
        <f t="shared" si="225"/>
        <v>0.89504529325069759</v>
      </c>
      <c r="Q551" s="369">
        <f t="shared" si="226"/>
        <v>-23.532218326468502</v>
      </c>
      <c r="R551" s="370">
        <f t="shared" si="227"/>
        <v>-175.24769958769332</v>
      </c>
      <c r="S551" s="372">
        <f t="shared" si="228"/>
        <v>4.7523004123066812</v>
      </c>
      <c r="U551" s="345">
        <f t="shared" si="234"/>
        <v>86105</v>
      </c>
      <c r="V551" s="345">
        <f t="shared" si="235"/>
        <v>7414071025</v>
      </c>
      <c r="X551" s="371">
        <f t="shared" si="229"/>
        <v>8.0731060996612793</v>
      </c>
      <c r="Y551" s="372">
        <f t="shared" si="230"/>
        <v>-66.623948691147916</v>
      </c>
      <c r="AA551" s="371">
        <f t="shared" si="231"/>
        <v>14.415275487149849</v>
      </c>
      <c r="AB551" s="372">
        <f t="shared" si="232"/>
        <v>-108.62375089654543</v>
      </c>
      <c r="AD551">
        <f t="shared" si="236"/>
        <v>0</v>
      </c>
      <c r="AE551">
        <f t="shared" si="239"/>
        <v>0</v>
      </c>
    </row>
    <row r="552" spans="1:31" x14ac:dyDescent="0.2">
      <c r="A552" s="373">
        <v>86600.5</v>
      </c>
      <c r="B552" s="390">
        <f t="shared" si="233"/>
        <v>86.600499999999997</v>
      </c>
      <c r="C552" s="363">
        <f t="shared" si="214"/>
        <v>113.79250994085228</v>
      </c>
      <c r="D552" s="364">
        <f t="shared" si="215"/>
        <v>1.5620082890564111</v>
      </c>
      <c r="E552" s="364">
        <f t="shared" si="216"/>
        <v>3.3832769509191682</v>
      </c>
      <c r="F552" s="365">
        <f t="shared" si="217"/>
        <v>1.2707427102399727</v>
      </c>
      <c r="G552" s="364">
        <f t="shared" si="218"/>
        <v>1.3195322542073995</v>
      </c>
      <c r="H552" s="365">
        <f t="shared" si="219"/>
        <v>-0.71079366142226874</v>
      </c>
      <c r="I552" s="363">
        <f t="shared" si="220"/>
        <v>293900.12108865968</v>
      </c>
      <c r="J552" s="366">
        <f t="shared" si="221"/>
        <v>1.5707929242784353</v>
      </c>
      <c r="K552" s="374">
        <f t="shared" si="237"/>
        <v>71.554245774192452</v>
      </c>
      <c r="L552" s="375">
        <f t="shared" si="238"/>
        <v>1.5568204607360692</v>
      </c>
      <c r="M552" s="363">
        <f t="shared" si="222"/>
        <v>2.4529597525947811</v>
      </c>
      <c r="N552" s="366">
        <f t="shared" si="223"/>
        <v>1.1508945400890949</v>
      </c>
      <c r="O552" s="367">
        <f t="shared" si="224"/>
        <v>1.255262914311293</v>
      </c>
      <c r="P552" s="368">
        <f t="shared" si="225"/>
        <v>0.89940152600625412</v>
      </c>
      <c r="Q552" s="369">
        <f t="shared" si="226"/>
        <v>-23.576615714667469</v>
      </c>
      <c r="R552" s="370">
        <f t="shared" si="227"/>
        <v>-175.68764001843326</v>
      </c>
      <c r="S552" s="372">
        <f t="shared" si="228"/>
        <v>4.3123599815667433</v>
      </c>
      <c r="U552" s="345">
        <f t="shared" si="234"/>
        <v>86600.5</v>
      </c>
      <c r="V552" s="345">
        <f t="shared" si="235"/>
        <v>7499646600.25</v>
      </c>
      <c r="X552" s="371">
        <f t="shared" si="229"/>
        <v>8.0315787493748676</v>
      </c>
      <c r="Y552" s="372">
        <f t="shared" si="230"/>
        <v>-66.741963078396878</v>
      </c>
      <c r="AA552" s="371">
        <f t="shared" si="231"/>
        <v>14.412405449237287</v>
      </c>
      <c r="AB552" s="372">
        <f t="shared" si="232"/>
        <v>-108.94567694003644</v>
      </c>
      <c r="AD552">
        <f t="shared" si="236"/>
        <v>0</v>
      </c>
      <c r="AE552">
        <f t="shared" si="239"/>
        <v>0</v>
      </c>
    </row>
    <row r="553" spans="1:31" x14ac:dyDescent="0.2">
      <c r="A553" s="373">
        <v>87096</v>
      </c>
      <c r="B553" s="390">
        <f t="shared" si="233"/>
        <v>87.096000000000004</v>
      </c>
      <c r="C553" s="363">
        <f t="shared" si="214"/>
        <v>114.44354367211828</v>
      </c>
      <c r="D553" s="364">
        <f t="shared" si="215"/>
        <v>1.5620582827463187</v>
      </c>
      <c r="E553" s="364">
        <f t="shared" si="216"/>
        <v>3.400948193951089</v>
      </c>
      <c r="F553" s="365">
        <f t="shared" si="217"/>
        <v>1.2723499201149409</v>
      </c>
      <c r="G553" s="364">
        <f t="shared" si="218"/>
        <v>1.3227513182860202</v>
      </c>
      <c r="H553" s="365">
        <f t="shared" si="219"/>
        <v>-0.71361583149390617</v>
      </c>
      <c r="I553" s="363">
        <f t="shared" si="220"/>
        <v>295581.72234959638</v>
      </c>
      <c r="J553" s="366">
        <f t="shared" si="221"/>
        <v>1.5707929436357755</v>
      </c>
      <c r="K553" s="374">
        <f t="shared" si="237"/>
        <v>71.963576247563424</v>
      </c>
      <c r="L553" s="375">
        <f t="shared" si="238"/>
        <v>1.5568999609150844</v>
      </c>
      <c r="M553" s="363">
        <f t="shared" si="222"/>
        <v>2.4646677710178211</v>
      </c>
      <c r="N553" s="366">
        <f t="shared" si="223"/>
        <v>1.1530143519914899</v>
      </c>
      <c r="O553" s="367">
        <f t="shared" si="224"/>
        <v>1.2581132569377722</v>
      </c>
      <c r="P553" s="368">
        <f t="shared" si="225"/>
        <v>0.90374700015396303</v>
      </c>
      <c r="Q553" s="369">
        <f t="shared" si="226"/>
        <v>-23.620824643489293</v>
      </c>
      <c r="R553" s="370">
        <f t="shared" si="227"/>
        <v>-176.12599622629526</v>
      </c>
      <c r="S553" s="372">
        <f t="shared" si="228"/>
        <v>3.874003773704743</v>
      </c>
      <c r="U553" s="345">
        <f t="shared" si="234"/>
        <v>87096</v>
      </c>
      <c r="V553" s="345">
        <f t="shared" si="235"/>
        <v>7585713216</v>
      </c>
      <c r="X553" s="371">
        <f t="shared" si="229"/>
        <v>7.9902098530921943</v>
      </c>
      <c r="Y553" s="372">
        <f t="shared" si="230"/>
        <v>-66.85886543826507</v>
      </c>
      <c r="AA553" s="371">
        <f t="shared" si="231"/>
        <v>14.409565416698143</v>
      </c>
      <c r="AB553" s="372">
        <f t="shared" si="232"/>
        <v>-109.26713078803022</v>
      </c>
      <c r="AD553">
        <f t="shared" si="236"/>
        <v>0</v>
      </c>
      <c r="AE553">
        <f t="shared" si="239"/>
        <v>0</v>
      </c>
    </row>
    <row r="554" spans="1:31" x14ac:dyDescent="0.2">
      <c r="A554" s="373">
        <v>87603.25</v>
      </c>
      <c r="B554" s="390">
        <f t="shared" si="233"/>
        <v>87.603250000000003</v>
      </c>
      <c r="C554" s="363">
        <f t="shared" si="214"/>
        <v>115.11001593310056</v>
      </c>
      <c r="D554" s="364">
        <f t="shared" si="215"/>
        <v>1.5621088761796089</v>
      </c>
      <c r="E554" s="364">
        <f t="shared" si="216"/>
        <v>3.4190474874346726</v>
      </c>
      <c r="F554" s="365">
        <f t="shared" si="217"/>
        <v>1.2739780288680316</v>
      </c>
      <c r="G554" s="364">
        <f t="shared" si="218"/>
        <v>1.3260575766673754</v>
      </c>
      <c r="H554" s="365">
        <f t="shared" si="219"/>
        <v>-0.71649070823806593</v>
      </c>
      <c r="I554" s="363">
        <f t="shared" si="220"/>
        <v>297303.20012882992</v>
      </c>
      <c r="J554" s="366">
        <f t="shared" si="221"/>
        <v>1.5707929632253166</v>
      </c>
      <c r="K554" s="374">
        <f t="shared" si="237"/>
        <v>72.38261381243467</v>
      </c>
      <c r="L554" s="375">
        <f t="shared" si="238"/>
        <v>1.5569804149167115</v>
      </c>
      <c r="M554" s="363">
        <f t="shared" si="222"/>
        <v>2.4766647891235323</v>
      </c>
      <c r="N554" s="366">
        <f t="shared" si="223"/>
        <v>1.1551636613267944</v>
      </c>
      <c r="O554" s="367">
        <f t="shared" si="224"/>
        <v>1.2610465442480767</v>
      </c>
      <c r="P554" s="368">
        <f t="shared" si="225"/>
        <v>0.90818437752872228</v>
      </c>
      <c r="Q554" s="369">
        <f t="shared" si="226"/>
        <v>-23.665889204160329</v>
      </c>
      <c r="R554" s="370">
        <f t="shared" si="227"/>
        <v>-176.57311035804645</v>
      </c>
      <c r="S554" s="372">
        <f t="shared" si="228"/>
        <v>3.4268896419535508</v>
      </c>
      <c r="U554" s="345">
        <f t="shared" si="234"/>
        <v>87603.25</v>
      </c>
      <c r="V554" s="345">
        <f t="shared" si="235"/>
        <v>7674329410.5625</v>
      </c>
      <c r="X554" s="371">
        <f t="shared" si="229"/>
        <v>7.9480232957579586</v>
      </c>
      <c r="Y554" s="372">
        <f t="shared" si="230"/>
        <v>-66.977403239841379</v>
      </c>
      <c r="AA554" s="371">
        <f t="shared" si="231"/>
        <v>14.406687413361333</v>
      </c>
      <c r="AB554" s="372">
        <f t="shared" si="232"/>
        <v>-109.59570711820507</v>
      </c>
      <c r="AD554">
        <f t="shared" si="236"/>
        <v>0</v>
      </c>
      <c r="AE554">
        <f t="shared" si="239"/>
        <v>0</v>
      </c>
    </row>
    <row r="555" spans="1:31" x14ac:dyDescent="0.2">
      <c r="A555" s="373">
        <v>88110.5</v>
      </c>
      <c r="B555" s="390">
        <f t="shared" si="233"/>
        <v>88.110500000000002</v>
      </c>
      <c r="C555" s="363">
        <f t="shared" si="214"/>
        <v>115.77648848533711</v>
      </c>
      <c r="D555" s="364">
        <f t="shared" si="215"/>
        <v>1.562158887126287</v>
      </c>
      <c r="E555" s="364">
        <f t="shared" si="216"/>
        <v>3.4371557484563531</v>
      </c>
      <c r="F555" s="365">
        <f t="shared" si="217"/>
        <v>1.275588986845307</v>
      </c>
      <c r="G555" s="364">
        <f t="shared" si="218"/>
        <v>1.3293747402353897</v>
      </c>
      <c r="H555" s="365">
        <f t="shared" si="219"/>
        <v>-0.71935126127558358</v>
      </c>
      <c r="I555" s="363">
        <f t="shared" si="220"/>
        <v>299024.67790806358</v>
      </c>
      <c r="J555" s="366">
        <f t="shared" si="221"/>
        <v>1.5707929825893046</v>
      </c>
      <c r="K555" s="374">
        <f t="shared" si="237"/>
        <v>72.801651840433948</v>
      </c>
      <c r="L555" s="375">
        <f t="shared" si="238"/>
        <v>1.5570599427506822</v>
      </c>
      <c r="M555" s="363">
        <f t="shared" si="222"/>
        <v>2.4886731379210585</v>
      </c>
      <c r="N555" s="366">
        <f t="shared" si="223"/>
        <v>1.1572922387159468</v>
      </c>
      <c r="O555" s="367">
        <f t="shared" si="224"/>
        <v>1.2639953491556188</v>
      </c>
      <c r="P555" s="368">
        <f t="shared" si="225"/>
        <v>0.91261048353362961</v>
      </c>
      <c r="Q555" s="369">
        <f t="shared" si="226"/>
        <v>-23.710761301708526</v>
      </c>
      <c r="R555" s="370">
        <f t="shared" si="227"/>
        <v>-177.01857249254039</v>
      </c>
      <c r="S555" s="372">
        <f t="shared" si="228"/>
        <v>2.9814275074596139</v>
      </c>
      <c r="U555" s="345">
        <f t="shared" si="234"/>
        <v>88110.5</v>
      </c>
      <c r="V555" s="345">
        <f t="shared" si="235"/>
        <v>7763460210.25</v>
      </c>
      <c r="X555" s="371">
        <f t="shared" si="229"/>
        <v>7.9060011718995948</v>
      </c>
      <c r="Y555" s="372">
        <f t="shared" si="230"/>
        <v>-67.094806240975402</v>
      </c>
      <c r="AA555" s="371">
        <f t="shared" si="231"/>
        <v>14.403837439671499</v>
      </c>
      <c r="AB555" s="372">
        <f t="shared" si="232"/>
        <v>-109.92376625156504</v>
      </c>
      <c r="AD555">
        <f t="shared" si="236"/>
        <v>0</v>
      </c>
      <c r="AE555">
        <f t="shared" si="239"/>
        <v>0</v>
      </c>
    </row>
    <row r="556" spans="1:31" x14ac:dyDescent="0.2">
      <c r="A556" s="373">
        <v>88617.75</v>
      </c>
      <c r="B556" s="390">
        <f t="shared" si="233"/>
        <v>88.617750000000001</v>
      </c>
      <c r="C556" s="363">
        <f t="shared" si="214"/>
        <v>116.44296132382692</v>
      </c>
      <c r="D556" s="364">
        <f t="shared" si="215"/>
        <v>1.5622083255878605</v>
      </c>
      <c r="E556" s="364">
        <f t="shared" si="216"/>
        <v>3.4552728360259461</v>
      </c>
      <c r="F556" s="365">
        <f t="shared" si="217"/>
        <v>1.2771830553997336</v>
      </c>
      <c r="G556" s="364">
        <f t="shared" si="218"/>
        <v>1.3327027275594048</v>
      </c>
      <c r="H556" s="365">
        <f t="shared" si="219"/>
        <v>-0.72219755092364668</v>
      </c>
      <c r="I556" s="363">
        <f t="shared" si="220"/>
        <v>300746.15568729729</v>
      </c>
      <c r="J556" s="366">
        <f t="shared" si="221"/>
        <v>1.570793001731613</v>
      </c>
      <c r="K556" s="374">
        <f t="shared" si="237"/>
        <v>73.220690323609901</v>
      </c>
      <c r="L556" s="375">
        <f t="shared" si="238"/>
        <v>1.5571385603172203</v>
      </c>
      <c r="M556" s="363">
        <f t="shared" si="222"/>
        <v>2.5006926541801491</v>
      </c>
      <c r="N556" s="366">
        <f t="shared" si="223"/>
        <v>1.1594003636731232</v>
      </c>
      <c r="O556" s="367">
        <f t="shared" si="224"/>
        <v>1.2669596560303915</v>
      </c>
      <c r="P556" s="368">
        <f t="shared" si="225"/>
        <v>0.9170253207257073</v>
      </c>
      <c r="Q556" s="369">
        <f t="shared" si="226"/>
        <v>-23.755443420249144</v>
      </c>
      <c r="R556" s="370">
        <f t="shared" si="227"/>
        <v>-177.46238693501508</v>
      </c>
      <c r="S556" s="372">
        <f t="shared" si="228"/>
        <v>2.5376130649849244</v>
      </c>
      <c r="U556" s="345">
        <f t="shared" si="234"/>
        <v>88617.75</v>
      </c>
      <c r="V556" s="345">
        <f t="shared" si="235"/>
        <v>7853105615.0625</v>
      </c>
      <c r="X556" s="371">
        <f t="shared" si="229"/>
        <v>7.8641426540645707</v>
      </c>
      <c r="Y556" s="372">
        <f t="shared" si="230"/>
        <v>-67.211089545855927</v>
      </c>
      <c r="AA556" s="371">
        <f t="shared" si="231"/>
        <v>14.401013838965909</v>
      </c>
      <c r="AB556" s="372">
        <f t="shared" si="232"/>
        <v>-110.25129738915913</v>
      </c>
      <c r="AD556">
        <f t="shared" si="236"/>
        <v>0</v>
      </c>
      <c r="AE556">
        <f t="shared" si="239"/>
        <v>0</v>
      </c>
    </row>
    <row r="557" spans="1:31" x14ac:dyDescent="0.2">
      <c r="A557" s="373">
        <v>89125</v>
      </c>
      <c r="B557" s="390">
        <f t="shared" si="233"/>
        <v>89.125</v>
      </c>
      <c r="C557" s="363">
        <f t="shared" si="214"/>
        <v>117.10943444368273</v>
      </c>
      <c r="D557" s="364">
        <f t="shared" si="215"/>
        <v>1.5622572013381721</v>
      </c>
      <c r="E557" s="364">
        <f t="shared" si="216"/>
        <v>3.4733986120268496</v>
      </c>
      <c r="F557" s="365">
        <f t="shared" si="217"/>
        <v>1.2787604907761796</v>
      </c>
      <c r="G557" s="364">
        <f t="shared" si="218"/>
        <v>1.3360414577557296</v>
      </c>
      <c r="H557" s="365">
        <f t="shared" si="219"/>
        <v>-0.72502963782387297</v>
      </c>
      <c r="I557" s="363">
        <f t="shared" si="220"/>
        <v>302467.63346653112</v>
      </c>
      <c r="J557" s="366">
        <f t="shared" si="221"/>
        <v>1.5707930206560263</v>
      </c>
      <c r="K557" s="374">
        <f t="shared" si="237"/>
        <v>73.639729254192105</v>
      </c>
      <c r="L557" s="375">
        <f t="shared" si="238"/>
        <v>1.5572162831546819</v>
      </c>
      <c r="M557" s="363">
        <f t="shared" si="222"/>
        <v>2.5127231776434198</v>
      </c>
      <c r="N557" s="366">
        <f t="shared" si="223"/>
        <v>1.1614883110940537</v>
      </c>
      <c r="O557" s="367">
        <f t="shared" si="224"/>
        <v>1.2699394493543195</v>
      </c>
      <c r="P557" s="368">
        <f t="shared" si="225"/>
        <v>0.92142889216973467</v>
      </c>
      <c r="Q557" s="369">
        <f t="shared" si="226"/>
        <v>-23.799938001031826</v>
      </c>
      <c r="R557" s="370">
        <f t="shared" si="227"/>
        <v>-177.90455807412832</v>
      </c>
      <c r="S557" s="372">
        <f t="shared" si="228"/>
        <v>2.0954419258716825</v>
      </c>
      <c r="U557" s="345">
        <f t="shared" si="234"/>
        <v>89125</v>
      </c>
      <c r="V557" s="345">
        <f t="shared" si="235"/>
        <v>7943265625</v>
      </c>
      <c r="X557" s="371">
        <f t="shared" si="229"/>
        <v>7.8224469115594388</v>
      </c>
      <c r="Y557" s="372">
        <f t="shared" si="230"/>
        <v>-67.326268014782784</v>
      </c>
      <c r="AA557" s="371">
        <f t="shared" si="231"/>
        <v>14.39821500068836</v>
      </c>
      <c r="AB557" s="372">
        <f t="shared" si="232"/>
        <v>-110.57829005934553</v>
      </c>
      <c r="AD557">
        <f t="shared" si="236"/>
        <v>0</v>
      </c>
      <c r="AE557">
        <f t="shared" si="239"/>
        <v>0</v>
      </c>
    </row>
    <row r="558" spans="1:31" x14ac:dyDescent="0.2">
      <c r="A558" s="373">
        <v>89644</v>
      </c>
      <c r="B558" s="390">
        <f t="shared" si="233"/>
        <v>89.644000000000005</v>
      </c>
      <c r="C558" s="363">
        <f t="shared" si="214"/>
        <v>117.79134611327099</v>
      </c>
      <c r="D558" s="364">
        <f t="shared" si="215"/>
        <v>1.5623066368000809</v>
      </c>
      <c r="E558" s="364">
        <f t="shared" si="216"/>
        <v>3.491953107218027</v>
      </c>
      <c r="F558" s="365">
        <f t="shared" si="217"/>
        <v>1.2803575125078026</v>
      </c>
      <c r="G558" s="364">
        <f t="shared" si="218"/>
        <v>1.3394685619394029</v>
      </c>
      <c r="H558" s="365">
        <f t="shared" si="219"/>
        <v>-0.72791269104838419</v>
      </c>
      <c r="I558" s="363">
        <f t="shared" si="220"/>
        <v>304228.98776406178</v>
      </c>
      <c r="J558" s="366">
        <f t="shared" si="221"/>
        <v>1.570793039797141</v>
      </c>
      <c r="K558" s="374">
        <f t="shared" si="237"/>
        <v>74.068475308106244</v>
      </c>
      <c r="L558" s="375">
        <f t="shared" si="238"/>
        <v>1.5572948961535273</v>
      </c>
      <c r="M558" s="363">
        <f t="shared" si="222"/>
        <v>2.5250436061165975</v>
      </c>
      <c r="N558" s="366">
        <f t="shared" si="223"/>
        <v>1.1636040219008761</v>
      </c>
      <c r="O558" s="367">
        <f t="shared" si="224"/>
        <v>1.2730042796006789</v>
      </c>
      <c r="P558" s="368">
        <f t="shared" si="225"/>
        <v>0.92592281198168647</v>
      </c>
      <c r="Q558" s="369">
        <f t="shared" si="226"/>
        <v>-23.845271657556779</v>
      </c>
      <c r="R558" s="370">
        <f t="shared" si="227"/>
        <v>-178.35527553708496</v>
      </c>
      <c r="S558" s="372">
        <f t="shared" si="228"/>
        <v>1.6447244629150362</v>
      </c>
      <c r="U558" s="345">
        <f t="shared" si="234"/>
        <v>89644</v>
      </c>
      <c r="V558" s="345">
        <f t="shared" si="235"/>
        <v>8036046736</v>
      </c>
      <c r="X558" s="371">
        <f t="shared" si="229"/>
        <v>7.779952929277365</v>
      </c>
      <c r="Y558" s="372">
        <f t="shared" si="230"/>
        <v>-67.442986218473649</v>
      </c>
      <c r="AA558" s="371">
        <f t="shared" si="231"/>
        <v>14.395375326445482</v>
      </c>
      <c r="AB558" s="372">
        <f t="shared" si="232"/>
        <v>-110.9122893186113</v>
      </c>
      <c r="AD558">
        <f t="shared" si="236"/>
        <v>0</v>
      </c>
      <c r="AE558">
        <f t="shared" si="239"/>
        <v>0</v>
      </c>
    </row>
    <row r="559" spans="1:31" x14ac:dyDescent="0.2">
      <c r="A559" s="373">
        <v>90163</v>
      </c>
      <c r="B559" s="390">
        <f t="shared" si="233"/>
        <v>90.162999999999997</v>
      </c>
      <c r="C559" s="363">
        <f t="shared" si="214"/>
        <v>118.47325806741154</v>
      </c>
      <c r="D559" s="364">
        <f t="shared" si="215"/>
        <v>1.5623555031778606</v>
      </c>
      <c r="E559" s="364">
        <f t="shared" si="216"/>
        <v>3.5105164144018479</v>
      </c>
      <c r="F559" s="365">
        <f t="shared" si="217"/>
        <v>1.2819376484085037</v>
      </c>
      <c r="G559" s="364">
        <f t="shared" si="218"/>
        <v>1.342906742900152</v>
      </c>
      <c r="H559" s="365">
        <f t="shared" si="219"/>
        <v>-0.73078100532173784</v>
      </c>
      <c r="I559" s="363">
        <f t="shared" si="220"/>
        <v>305990.3420615925</v>
      </c>
      <c r="J559" s="366">
        <f t="shared" si="221"/>
        <v>1.5707930587178938</v>
      </c>
      <c r="K559" s="374">
        <f t="shared" si="237"/>
        <v>74.49722181449502</v>
      </c>
      <c r="L559" s="375">
        <f t="shared" si="238"/>
        <v>1.5573726042855853</v>
      </c>
      <c r="M559" s="363">
        <f t="shared" si="222"/>
        <v>2.5373752274798211</v>
      </c>
      <c r="N559" s="366">
        <f t="shared" si="223"/>
        <v>1.1656991773383643</v>
      </c>
      <c r="O559" s="367">
        <f t="shared" si="224"/>
        <v>1.2760852895601409</v>
      </c>
      <c r="P559" s="368">
        <f t="shared" si="225"/>
        <v>0.93040494616625347</v>
      </c>
      <c r="Q559" s="369">
        <f t="shared" si="226"/>
        <v>-23.890414024339869</v>
      </c>
      <c r="R559" s="370">
        <f t="shared" si="227"/>
        <v>-178.80428223087537</v>
      </c>
      <c r="S559" s="372">
        <f t="shared" si="228"/>
        <v>1.1957177691246272</v>
      </c>
      <c r="U559" s="345">
        <f t="shared" si="234"/>
        <v>90163</v>
      </c>
      <c r="V559" s="345">
        <f t="shared" si="235"/>
        <v>8129366569</v>
      </c>
      <c r="X559" s="371">
        <f t="shared" si="229"/>
        <v>7.7376275826508571</v>
      </c>
      <c r="Y559" s="372">
        <f t="shared" si="230"/>
        <v>-67.558578518676214</v>
      </c>
      <c r="AA559" s="371">
        <f t="shared" si="231"/>
        <v>14.392558306288901</v>
      </c>
      <c r="AB559" s="372">
        <f t="shared" si="232"/>
        <v>-111.24570371219917</v>
      </c>
      <c r="AD559">
        <f t="shared" si="236"/>
        <v>0</v>
      </c>
      <c r="AE559">
        <f t="shared" si="239"/>
        <v>0</v>
      </c>
    </row>
    <row r="560" spans="1:31" x14ac:dyDescent="0.2">
      <c r="A560" s="373">
        <v>90682</v>
      </c>
      <c r="B560" s="390">
        <f t="shared" si="233"/>
        <v>90.682000000000002</v>
      </c>
      <c r="C560" s="363">
        <f t="shared" si="214"/>
        <v>119.15517030121906</v>
      </c>
      <c r="D560" s="364">
        <f t="shared" si="215"/>
        <v>1.5624038102416984</v>
      </c>
      <c r="E560" s="364">
        <f t="shared" si="216"/>
        <v>3.5290883945228071</v>
      </c>
      <c r="F560" s="365">
        <f t="shared" si="217"/>
        <v>1.2835011571119903</v>
      </c>
      <c r="G560" s="364">
        <f t="shared" si="218"/>
        <v>1.3463559157778835</v>
      </c>
      <c r="H560" s="365">
        <f t="shared" si="219"/>
        <v>-0.73363464654404242</v>
      </c>
      <c r="I560" s="363">
        <f t="shared" si="220"/>
        <v>307751.69635912339</v>
      </c>
      <c r="J560" s="366">
        <f t="shared" si="221"/>
        <v>1.5707930774220684</v>
      </c>
      <c r="K560" s="374">
        <f t="shared" si="237"/>
        <v>74.925968765590866</v>
      </c>
      <c r="L560" s="375">
        <f t="shared" si="238"/>
        <v>1.5574494230835971</v>
      </c>
      <c r="M560" s="363">
        <f t="shared" si="222"/>
        <v>2.5497178793310322</v>
      </c>
      <c r="N560" s="366">
        <f t="shared" si="223"/>
        <v>1.1677740573906188</v>
      </c>
      <c r="O560" s="367">
        <f t="shared" si="224"/>
        <v>1.279182462978627</v>
      </c>
      <c r="P560" s="368">
        <f t="shared" si="225"/>
        <v>0.93487529960962745</v>
      </c>
      <c r="Q560" s="369">
        <f t="shared" si="226"/>
        <v>-23.935367582675248</v>
      </c>
      <c r="R560" s="370">
        <f t="shared" si="227"/>
        <v>-179.25158310459</v>
      </c>
      <c r="S560" s="372">
        <f t="shared" si="228"/>
        <v>0.74841689541000278</v>
      </c>
      <c r="U560" s="345">
        <f t="shared" si="234"/>
        <v>90682</v>
      </c>
      <c r="V560" s="345">
        <f t="shared" si="235"/>
        <v>8223225124</v>
      </c>
      <c r="X560" s="371">
        <f t="shared" si="229"/>
        <v>7.6954699738773957</v>
      </c>
      <c r="Y560" s="372">
        <f t="shared" si="230"/>
        <v>-67.673060067554005</v>
      </c>
      <c r="AA560" s="371">
        <f t="shared" si="231"/>
        <v>14.389762356726976</v>
      </c>
      <c r="AB560" s="372">
        <f t="shared" si="232"/>
        <v>-111.57852303703602</v>
      </c>
      <c r="AD560">
        <f t="shared" si="236"/>
        <v>0</v>
      </c>
      <c r="AE560">
        <f t="shared" si="239"/>
        <v>0</v>
      </c>
    </row>
    <row r="561" spans="1:31" x14ac:dyDescent="0.2">
      <c r="A561" s="373">
        <v>91201</v>
      </c>
      <c r="B561" s="390">
        <f t="shared" si="233"/>
        <v>91.200999999999993</v>
      </c>
      <c r="C561" s="363">
        <f t="shared" si="214"/>
        <v>119.83708280991929</v>
      </c>
      <c r="D561" s="364">
        <f t="shared" si="215"/>
        <v>1.5624515675394084</v>
      </c>
      <c r="E561" s="364">
        <f t="shared" si="216"/>
        <v>3.5476689113729187</v>
      </c>
      <c r="F561" s="365">
        <f t="shared" si="217"/>
        <v>1.2850482921626889</v>
      </c>
      <c r="G561" s="364">
        <f t="shared" si="218"/>
        <v>1.3498159963099559</v>
      </c>
      <c r="H561" s="365">
        <f t="shared" si="219"/>
        <v>-0.73647368089881227</v>
      </c>
      <c r="I561" s="363">
        <f t="shared" si="220"/>
        <v>309513.05065665435</v>
      </c>
      <c r="J561" s="366">
        <f t="shared" si="221"/>
        <v>1.5707930959133622</v>
      </c>
      <c r="K561" s="374">
        <f t="shared" si="237"/>
        <v>75.354716153803054</v>
      </c>
      <c r="L561" s="375">
        <f t="shared" si="238"/>
        <v>1.5575253677268388</v>
      </c>
      <c r="M561" s="363">
        <f t="shared" si="222"/>
        <v>2.562071402253749</v>
      </c>
      <c r="N561" s="366">
        <f t="shared" si="223"/>
        <v>1.1698289373473121</v>
      </c>
      <c r="O561" s="367">
        <f t="shared" si="224"/>
        <v>1.2822957837271218</v>
      </c>
      <c r="P561" s="368">
        <f t="shared" si="225"/>
        <v>0.9393338777228184</v>
      </c>
      <c r="Q561" s="369">
        <f t="shared" si="226"/>
        <v>-23.980134770690196</v>
      </c>
      <c r="R561" s="370">
        <f t="shared" si="227"/>
        <v>-179.69718318375661</v>
      </c>
      <c r="S561" s="372">
        <f t="shared" si="228"/>
        <v>0.30281681624339285</v>
      </c>
      <c r="U561" s="345">
        <f t="shared" si="234"/>
        <v>91201</v>
      </c>
      <c r="V561" s="345">
        <f t="shared" si="235"/>
        <v>8317622401</v>
      </c>
      <c r="X561" s="371">
        <f t="shared" si="229"/>
        <v>7.6534792032309937</v>
      </c>
      <c r="Y561" s="372">
        <f t="shared" si="230"/>
        <v>-67.786445768546841</v>
      </c>
      <c r="AA561" s="371">
        <f t="shared" si="231"/>
        <v>14.386985939358432</v>
      </c>
      <c r="AB561" s="372">
        <f t="shared" si="232"/>
        <v>-111.91073741520977</v>
      </c>
      <c r="AD561">
        <f t="shared" si="236"/>
        <v>0</v>
      </c>
      <c r="AE561">
        <f t="shared" si="239"/>
        <v>0</v>
      </c>
    </row>
    <row r="562" spans="1:31" x14ac:dyDescent="0.2">
      <c r="A562" s="373">
        <v>91732</v>
      </c>
      <c r="B562" s="390">
        <f t="shared" si="233"/>
        <v>91.731999999999999</v>
      </c>
      <c r="C562" s="363">
        <f t="shared" si="214"/>
        <v>120.53476236146075</v>
      </c>
      <c r="D562" s="364">
        <f t="shared" si="215"/>
        <v>1.5624998698030148</v>
      </c>
      <c r="E562" s="364">
        <f t="shared" si="216"/>
        <v>3.5666877314890106</v>
      </c>
      <c r="F562" s="365">
        <f t="shared" si="217"/>
        <v>1.2866145124364678</v>
      </c>
      <c r="G562" s="364">
        <f t="shared" si="218"/>
        <v>1.3533672803203112</v>
      </c>
      <c r="H562" s="365">
        <f t="shared" si="219"/>
        <v>-0.73936330960142438</v>
      </c>
      <c r="I562" s="363">
        <f t="shared" si="220"/>
        <v>311315.12990904163</v>
      </c>
      <c r="J562" s="366">
        <f t="shared" si="221"/>
        <v>1.5707931146156482</v>
      </c>
      <c r="K562" s="374">
        <f t="shared" si="237"/>
        <v>75.79337722108157</v>
      </c>
      <c r="L562" s="375">
        <f t="shared" si="238"/>
        <v>1.5576021790802757</v>
      </c>
      <c r="M562" s="363">
        <f t="shared" si="222"/>
        <v>2.5747216435768894</v>
      </c>
      <c r="N562" s="366">
        <f t="shared" si="223"/>
        <v>1.1719109121685365</v>
      </c>
      <c r="O562" s="367">
        <f t="shared" si="224"/>
        <v>1.2854977837499311</v>
      </c>
      <c r="P562" s="368">
        <f t="shared" si="225"/>
        <v>0.94388336366209136</v>
      </c>
      <c r="Q562" s="369">
        <f t="shared" si="226"/>
        <v>-24.025746652801487</v>
      </c>
      <c r="R562" s="370">
        <f t="shared" si="227"/>
        <v>-180.15133123643983</v>
      </c>
      <c r="S562" s="372">
        <f t="shared" si="228"/>
        <v>-0.15133123643983026</v>
      </c>
      <c r="U562" s="345">
        <f t="shared" si="234"/>
        <v>91732</v>
      </c>
      <c r="V562" s="345">
        <f t="shared" si="235"/>
        <v>8414759824</v>
      </c>
      <c r="X562" s="371">
        <f t="shared" si="229"/>
        <v>7.6106892767523551</v>
      </c>
      <c r="Y562" s="372">
        <f t="shared" si="230"/>
        <v>-67.901334244178202</v>
      </c>
      <c r="AA562" s="371">
        <f t="shared" si="231"/>
        <v>14.384163983725784</v>
      </c>
      <c r="AB562" s="372">
        <f t="shared" si="232"/>
        <v>-112.24999699226163</v>
      </c>
      <c r="AD562">
        <f t="shared" si="236"/>
        <v>0</v>
      </c>
      <c r="AE562">
        <f t="shared" si="239"/>
        <v>0</v>
      </c>
    </row>
    <row r="563" spans="1:31" x14ac:dyDescent="0.2">
      <c r="A563" s="373">
        <v>92263</v>
      </c>
      <c r="B563" s="390">
        <f t="shared" si="233"/>
        <v>92.263000000000005</v>
      </c>
      <c r="C563" s="363">
        <f t="shared" si="214"/>
        <v>121.23244219098613</v>
      </c>
      <c r="D563" s="364">
        <f t="shared" si="215"/>
        <v>1.5625476161179372</v>
      </c>
      <c r="E563" s="364">
        <f t="shared" si="216"/>
        <v>3.5857152080285979</v>
      </c>
      <c r="F563" s="365">
        <f t="shared" si="217"/>
        <v>1.2881641142880744</v>
      </c>
      <c r="G563" s="364">
        <f t="shared" si="218"/>
        <v>1.3569298056799661</v>
      </c>
      <c r="H563" s="365">
        <f t="shared" si="219"/>
        <v>-0.74223778916041816</v>
      </c>
      <c r="I563" s="363">
        <f t="shared" si="220"/>
        <v>313117.20916142908</v>
      </c>
      <c r="J563" s="366">
        <f t="shared" si="221"/>
        <v>1.5707931331026601</v>
      </c>
      <c r="K563" s="374">
        <f t="shared" si="237"/>
        <v>76.232038730393413</v>
      </c>
      <c r="L563" s="375">
        <f t="shared" si="238"/>
        <v>1.5576781064440439</v>
      </c>
      <c r="M563" s="363">
        <f t="shared" si="222"/>
        <v>2.5873829361784288</v>
      </c>
      <c r="N563" s="366">
        <f t="shared" si="223"/>
        <v>1.173972519671646</v>
      </c>
      <c r="O563" s="367">
        <f t="shared" si="224"/>
        <v>1.2887166526781406</v>
      </c>
      <c r="P563" s="368">
        <f t="shared" si="225"/>
        <v>0.94842053655956471</v>
      </c>
      <c r="Q563" s="369">
        <f t="shared" si="226"/>
        <v>-24.071168475522047</v>
      </c>
      <c r="R563" s="370">
        <f t="shared" si="227"/>
        <v>-180.60370980891469</v>
      </c>
      <c r="S563" s="372">
        <f t="shared" si="228"/>
        <v>-0.60370980891468662</v>
      </c>
      <c r="U563" s="345">
        <f t="shared" si="234"/>
        <v>92263</v>
      </c>
      <c r="V563" s="345">
        <f t="shared" si="235"/>
        <v>8512461169</v>
      </c>
      <c r="X563" s="371">
        <f t="shared" si="229"/>
        <v>7.5680720826470163</v>
      </c>
      <c r="Y563" s="372">
        <f t="shared" si="230"/>
        <v>-68.015106394983164</v>
      </c>
      <c r="AA563" s="371">
        <f t="shared" si="231"/>
        <v>14.381359355110559</v>
      </c>
      <c r="AB563" s="372">
        <f t="shared" si="232"/>
        <v>-112.58860341393152</v>
      </c>
      <c r="AD563">
        <f t="shared" si="236"/>
        <v>0</v>
      </c>
      <c r="AE563">
        <f t="shared" si="239"/>
        <v>0</v>
      </c>
    </row>
    <row r="564" spans="1:31" x14ac:dyDescent="0.2">
      <c r="A564" s="373">
        <v>92794</v>
      </c>
      <c r="B564" s="390">
        <f t="shared" si="233"/>
        <v>92.793999999999997</v>
      </c>
      <c r="C564" s="363">
        <f t="shared" si="214"/>
        <v>121.93012229372357</v>
      </c>
      <c r="D564" s="364">
        <f t="shared" si="215"/>
        <v>1.5625948160273155</v>
      </c>
      <c r="E564" s="364">
        <f t="shared" si="216"/>
        <v>3.6047512039143479</v>
      </c>
      <c r="F564" s="365">
        <f t="shared" si="217"/>
        <v>1.2896973534920313</v>
      </c>
      <c r="G564" s="364">
        <f t="shared" si="218"/>
        <v>1.3605034840813395</v>
      </c>
      <c r="H564" s="365">
        <f t="shared" si="219"/>
        <v>-0.74509719126600371</v>
      </c>
      <c r="I564" s="363">
        <f t="shared" si="220"/>
        <v>314919.28841381648</v>
      </c>
      <c r="J564" s="366">
        <f t="shared" si="221"/>
        <v>1.5707931513780937</v>
      </c>
      <c r="K564" s="374">
        <f t="shared" si="237"/>
        <v>76.670700674151448</v>
      </c>
      <c r="L564" s="375">
        <f t="shared" si="238"/>
        <v>1.5577531649901739</v>
      </c>
      <c r="M564" s="363">
        <f t="shared" si="222"/>
        <v>2.6000551186116385</v>
      </c>
      <c r="N564" s="366">
        <f t="shared" si="223"/>
        <v>1.1760140400024672</v>
      </c>
      <c r="O564" s="367">
        <f t="shared" si="224"/>
        <v>1.2919523736476275</v>
      </c>
      <c r="P564" s="368">
        <f t="shared" si="225"/>
        <v>0.95294540386438509</v>
      </c>
      <c r="Q564" s="369">
        <f t="shared" si="226"/>
        <v>-24.116402715528103</v>
      </c>
      <c r="R564" s="370">
        <f t="shared" si="227"/>
        <v>-181.05432450960529</v>
      </c>
      <c r="S564" s="372">
        <f t="shared" si="228"/>
        <v>-1.0543245096052942</v>
      </c>
      <c r="U564" s="345">
        <f t="shared" si="234"/>
        <v>92794</v>
      </c>
      <c r="V564" s="345">
        <f t="shared" si="235"/>
        <v>8610726436</v>
      </c>
      <c r="X564" s="371">
        <f t="shared" si="229"/>
        <v>7.5256266534133793</v>
      </c>
      <c r="Y564" s="372">
        <f t="shared" si="230"/>
        <v>-68.127777403053699</v>
      </c>
      <c r="AA564" s="371">
        <f t="shared" si="231"/>
        <v>14.378570544338135</v>
      </c>
      <c r="AB564" s="372">
        <f t="shared" si="232"/>
        <v>-112.92654710655154</v>
      </c>
      <c r="AD564">
        <f t="shared" si="236"/>
        <v>0</v>
      </c>
      <c r="AE564">
        <f t="shared" si="239"/>
        <v>0</v>
      </c>
    </row>
    <row r="565" spans="1:31" x14ac:dyDescent="0.2">
      <c r="A565" s="373">
        <v>93325</v>
      </c>
      <c r="B565" s="390">
        <f t="shared" si="233"/>
        <v>93.325000000000003</v>
      </c>
      <c r="C565" s="363">
        <f t="shared" si="214"/>
        <v>122.62780266500984</v>
      </c>
      <c r="D565" s="364">
        <f t="shared" si="215"/>
        <v>1.5626414788571201</v>
      </c>
      <c r="E565" s="364">
        <f t="shared" si="216"/>
        <v>3.623795584888494</v>
      </c>
      <c r="F565" s="365">
        <f t="shared" si="217"/>
        <v>1.2912144807574504</v>
      </c>
      <c r="G565" s="364">
        <f t="shared" si="218"/>
        <v>1.3640882278672353</v>
      </c>
      <c r="H565" s="365">
        <f t="shared" si="219"/>
        <v>-0.74794158784452414</v>
      </c>
      <c r="I565" s="363">
        <f t="shared" si="220"/>
        <v>316721.36766620411</v>
      </c>
      <c r="J565" s="366">
        <f t="shared" si="221"/>
        <v>1.5707931694455604</v>
      </c>
      <c r="K565" s="374">
        <f t="shared" si="237"/>
        <v>77.109363044941219</v>
      </c>
      <c r="L565" s="375">
        <f t="shared" si="238"/>
        <v>1.5578273695454907</v>
      </c>
      <c r="M565" s="363">
        <f t="shared" si="222"/>
        <v>2.6127380324244331</v>
      </c>
      <c r="N565" s="366">
        <f t="shared" si="223"/>
        <v>1.1780357485440072</v>
      </c>
      <c r="O565" s="367">
        <f t="shared" si="224"/>
        <v>1.2952049299333919</v>
      </c>
      <c r="P565" s="368">
        <f t="shared" si="225"/>
        <v>0.95745797356604678</v>
      </c>
      <c r="Q565" s="369">
        <f t="shared" si="226"/>
        <v>-24.161451806016757</v>
      </c>
      <c r="R565" s="370">
        <f t="shared" si="227"/>
        <v>-181.5031810160929</v>
      </c>
      <c r="S565" s="372">
        <f t="shared" si="228"/>
        <v>-1.5031810160928956</v>
      </c>
      <c r="U565" s="345">
        <f t="shared" si="234"/>
        <v>93325</v>
      </c>
      <c r="V565" s="345">
        <f t="shared" si="235"/>
        <v>8709555625</v>
      </c>
      <c r="X565" s="371">
        <f t="shared" si="229"/>
        <v>7.4833520209628412</v>
      </c>
      <c r="Y565" s="372">
        <f t="shared" si="230"/>
        <v>-68.23936219736629</v>
      </c>
      <c r="AA565" s="371">
        <f t="shared" si="231"/>
        <v>14.375796086300028</v>
      </c>
      <c r="AB565" s="372">
        <f t="shared" si="232"/>
        <v>-113.26381881872663</v>
      </c>
      <c r="AD565">
        <f t="shared" si="236"/>
        <v>0</v>
      </c>
      <c r="AE565">
        <f t="shared" si="239"/>
        <v>0</v>
      </c>
    </row>
    <row r="566" spans="1:31" x14ac:dyDescent="0.2">
      <c r="A566" s="373">
        <v>93868.5</v>
      </c>
      <c r="B566" s="390">
        <f t="shared" si="233"/>
        <v>93.868499999999997</v>
      </c>
      <c r="C566" s="363">
        <f t="shared" si="214"/>
        <v>123.34190704719947</v>
      </c>
      <c r="D566" s="364">
        <f t="shared" si="215"/>
        <v>1.5626886934718525</v>
      </c>
      <c r="E566" s="364">
        <f t="shared" si="216"/>
        <v>3.643296826170074</v>
      </c>
      <c r="F566" s="365">
        <f t="shared" si="217"/>
        <v>1.2927508930921774</v>
      </c>
      <c r="G566" s="364">
        <f t="shared" si="218"/>
        <v>1.3677687266467622</v>
      </c>
      <c r="H566" s="365">
        <f t="shared" si="219"/>
        <v>-0.75083747866994921</v>
      </c>
      <c r="I566" s="363">
        <f t="shared" si="220"/>
        <v>318565.86874656705</v>
      </c>
      <c r="J566" s="366">
        <f t="shared" si="221"/>
        <v>1.5707931877266594</v>
      </c>
      <c r="K566" s="374">
        <f t="shared" si="237"/>
        <v>77.558352177393346</v>
      </c>
      <c r="L566" s="375">
        <f t="shared" si="238"/>
        <v>1.5579024516527389</v>
      </c>
      <c r="M566" s="363">
        <f t="shared" si="222"/>
        <v>2.625730459220335</v>
      </c>
      <c r="N566" s="366">
        <f t="shared" si="223"/>
        <v>1.1800848147645329</v>
      </c>
      <c r="O566" s="367">
        <f t="shared" si="224"/>
        <v>1.2985514701254606</v>
      </c>
      <c r="P566" s="368">
        <f t="shared" si="225"/>
        <v>0.9620640450169996</v>
      </c>
      <c r="Q566" s="369">
        <f t="shared" si="226"/>
        <v>-24.207372130435722</v>
      </c>
      <c r="R566" s="370">
        <f t="shared" si="227"/>
        <v>-181.96078905484896</v>
      </c>
      <c r="S566" s="372">
        <f t="shared" si="228"/>
        <v>-1.9607890548489593</v>
      </c>
      <c r="U566" s="345">
        <f t="shared" si="234"/>
        <v>93868.5</v>
      </c>
      <c r="V566" s="345">
        <f t="shared" si="235"/>
        <v>8811295292.25</v>
      </c>
      <c r="X566" s="371">
        <f t="shared" si="229"/>
        <v>7.4402580873679511</v>
      </c>
      <c r="Y566" s="372">
        <f t="shared" si="230"/>
        <v>-68.352464203442025</v>
      </c>
      <c r="AA566" s="371">
        <f t="shared" si="231"/>
        <v>14.372969695475952</v>
      </c>
      <c r="AB566" s="372">
        <f t="shared" si="232"/>
        <v>-113.60832485140691</v>
      </c>
      <c r="AD566">
        <f t="shared" si="236"/>
        <v>0</v>
      </c>
      <c r="AE566">
        <f t="shared" si="239"/>
        <v>0</v>
      </c>
    </row>
    <row r="567" spans="1:31" x14ac:dyDescent="0.2">
      <c r="A567" s="373">
        <v>94412</v>
      </c>
      <c r="B567" s="390">
        <f t="shared" si="233"/>
        <v>94.412000000000006</v>
      </c>
      <c r="C567" s="363">
        <f t="shared" si="214"/>
        <v>124.05601170117987</v>
      </c>
      <c r="D567" s="364">
        <f t="shared" si="215"/>
        <v>1.5627353645229272</v>
      </c>
      <c r="E567" s="364">
        <f t="shared" si="216"/>
        <v>3.6628065760936512</v>
      </c>
      <c r="F567" s="365">
        <f t="shared" si="217"/>
        <v>1.294270941741505</v>
      </c>
      <c r="G567" s="364">
        <f t="shared" si="218"/>
        <v>1.3714606341656128</v>
      </c>
      <c r="H567" s="365">
        <f t="shared" si="219"/>
        <v>-0.75371780233841057</v>
      </c>
      <c r="I567" s="363">
        <f t="shared" si="220"/>
        <v>320410.36982693011</v>
      </c>
      <c r="J567" s="366">
        <f t="shared" si="221"/>
        <v>1.5707932057972818</v>
      </c>
      <c r="K567" s="374">
        <f t="shared" si="237"/>
        <v>78.007341742033887</v>
      </c>
      <c r="L567" s="375">
        <f t="shared" si="238"/>
        <v>1.5579766694550194</v>
      </c>
      <c r="M567" s="363">
        <f t="shared" si="222"/>
        <v>2.6387338020070885</v>
      </c>
      <c r="N567" s="366">
        <f t="shared" si="223"/>
        <v>1.1821136943611785</v>
      </c>
      <c r="O567" s="367">
        <f t="shared" si="224"/>
        <v>1.3019156125787754</v>
      </c>
      <c r="P567" s="368">
        <f t="shared" si="225"/>
        <v>0.96665725170078154</v>
      </c>
      <c r="Q567" s="369">
        <f t="shared" si="226"/>
        <v>-24.253103508263596</v>
      </c>
      <c r="R567" s="370">
        <f t="shared" si="227"/>
        <v>-182.41656739117016</v>
      </c>
      <c r="S567" s="372">
        <f t="shared" si="228"/>
        <v>-2.4165673911701617</v>
      </c>
      <c r="U567" s="345">
        <f t="shared" si="234"/>
        <v>94412</v>
      </c>
      <c r="V567" s="345">
        <f t="shared" si="235"/>
        <v>8913625744</v>
      </c>
      <c r="X567" s="371">
        <f t="shared" si="229"/>
        <v>7.3973410337712799</v>
      </c>
      <c r="Y567" s="372">
        <f t="shared" si="230"/>
        <v>-68.464459110132978</v>
      </c>
      <c r="AA567" s="371">
        <f t="shared" si="231"/>
        <v>14.370155371244751</v>
      </c>
      <c r="AB567" s="372">
        <f t="shared" si="232"/>
        <v>-113.95210828103717</v>
      </c>
      <c r="AD567">
        <f t="shared" si="236"/>
        <v>0</v>
      </c>
      <c r="AE567">
        <f t="shared" si="239"/>
        <v>0</v>
      </c>
    </row>
    <row r="568" spans="1:31" x14ac:dyDescent="0.2">
      <c r="A568" s="373">
        <v>94955.5</v>
      </c>
      <c r="B568" s="390">
        <f t="shared" si="233"/>
        <v>94.955500000000001</v>
      </c>
      <c r="C568" s="363">
        <f t="shared" si="214"/>
        <v>124.77011662228435</v>
      </c>
      <c r="D568" s="364">
        <f t="shared" si="215"/>
        <v>1.5627815013431789</v>
      </c>
      <c r="E568" s="364">
        <f t="shared" si="216"/>
        <v>3.6823246994173715</v>
      </c>
      <c r="F568" s="365">
        <f t="shared" si="217"/>
        <v>1.2957748798313835</v>
      </c>
      <c r="G568" s="364">
        <f t="shared" si="218"/>
        <v>1.3751638585365358</v>
      </c>
      <c r="H568" s="365">
        <f t="shared" si="219"/>
        <v>-0.75658263662957959</v>
      </c>
      <c r="I568" s="363">
        <f t="shared" si="220"/>
        <v>322254.87090729328</v>
      </c>
      <c r="J568" s="366">
        <f t="shared" si="221"/>
        <v>1.5707932236610411</v>
      </c>
      <c r="K568" s="374">
        <f t="shared" si="237"/>
        <v>78.456331731442845</v>
      </c>
      <c r="L568" s="375">
        <f t="shared" si="238"/>
        <v>1.5580500377902446</v>
      </c>
      <c r="M568" s="363">
        <f t="shared" si="222"/>
        <v>2.6517479001988788</v>
      </c>
      <c r="N568" s="366">
        <f t="shared" si="223"/>
        <v>1.1841226677191803</v>
      </c>
      <c r="O568" s="367">
        <f t="shared" si="224"/>
        <v>1.3052973398146874</v>
      </c>
      <c r="P568" s="368">
        <f t="shared" si="225"/>
        <v>0.9712376038866285</v>
      </c>
      <c r="Q568" s="369">
        <f t="shared" si="226"/>
        <v>-24.298648412917419</v>
      </c>
      <c r="R568" s="370">
        <f t="shared" si="227"/>
        <v>-182.87052231651882</v>
      </c>
      <c r="S568" s="372">
        <f t="shared" si="228"/>
        <v>-2.8705223165188158</v>
      </c>
      <c r="U568" s="345">
        <f t="shared" si="234"/>
        <v>94955.5</v>
      </c>
      <c r="V568" s="345">
        <f t="shared" si="235"/>
        <v>9016546980.25</v>
      </c>
      <c r="X568" s="371">
        <f t="shared" si="229"/>
        <v>7.3545998223558993</v>
      </c>
      <c r="Y568" s="372">
        <f t="shared" si="230"/>
        <v>-68.575362132387156</v>
      </c>
      <c r="AA568" s="371">
        <f t="shared" si="231"/>
        <v>14.367351678006305</v>
      </c>
      <c r="AB568" s="372">
        <f t="shared" si="232"/>
        <v>-114.29516018413163</v>
      </c>
      <c r="AD568">
        <f t="shared" si="236"/>
        <v>0</v>
      </c>
      <c r="AE568">
        <f t="shared" si="239"/>
        <v>0</v>
      </c>
    </row>
    <row r="569" spans="1:31" x14ac:dyDescent="0.2">
      <c r="A569" s="373">
        <v>95499</v>
      </c>
      <c r="B569" s="390">
        <f t="shared" si="233"/>
        <v>95.498999999999995</v>
      </c>
      <c r="C569" s="363">
        <f t="shared" si="214"/>
        <v>125.48422180595249</v>
      </c>
      <c r="D569" s="364">
        <f t="shared" si="215"/>
        <v>1.5628271130530067</v>
      </c>
      <c r="E569" s="364">
        <f t="shared" si="216"/>
        <v>3.7018510636942086</v>
      </c>
      <c r="F569" s="365">
        <f t="shared" si="217"/>
        <v>1.2972629554420139</v>
      </c>
      <c r="G569" s="364">
        <f t="shared" si="218"/>
        <v>1.3788783085792418</v>
      </c>
      <c r="H569" s="365">
        <f t="shared" si="219"/>
        <v>-0.75943205950586401</v>
      </c>
      <c r="I569" s="363">
        <f t="shared" si="220"/>
        <v>324099.37198765652</v>
      </c>
      <c r="J569" s="366">
        <f t="shared" si="221"/>
        <v>1.5707932413214696</v>
      </c>
      <c r="K569" s="374">
        <f t="shared" si="237"/>
        <v>78.905322138369158</v>
      </c>
      <c r="L569" s="375">
        <f t="shared" si="238"/>
        <v>1.5581225711586375</v>
      </c>
      <c r="M569" s="363">
        <f t="shared" si="222"/>
        <v>2.6647725962153999</v>
      </c>
      <c r="N569" s="366">
        <f t="shared" si="223"/>
        <v>1.1861120103915241</v>
      </c>
      <c r="O569" s="367">
        <f t="shared" si="224"/>
        <v>1.3086966345089406</v>
      </c>
      <c r="P569" s="368">
        <f t="shared" si="225"/>
        <v>0.97580511239881884</v>
      </c>
      <c r="Q569" s="369">
        <f t="shared" si="226"/>
        <v>-24.344009273940735</v>
      </c>
      <c r="R569" s="370">
        <f t="shared" si="227"/>
        <v>-183.322660184033</v>
      </c>
      <c r="S569" s="372">
        <f t="shared" si="228"/>
        <v>-3.3226601840329977</v>
      </c>
      <c r="U569" s="345">
        <f t="shared" si="234"/>
        <v>95499</v>
      </c>
      <c r="V569" s="345">
        <f t="shared" si="235"/>
        <v>9120059001</v>
      </c>
      <c r="X569" s="371">
        <f t="shared" si="229"/>
        <v>7.3120334160705305</v>
      </c>
      <c r="Y569" s="372">
        <f t="shared" si="230"/>
        <v>-68.685188227628458</v>
      </c>
      <c r="AA569" s="371">
        <f t="shared" si="231"/>
        <v>14.364557223268354</v>
      </c>
      <c r="AB569" s="372">
        <f t="shared" si="232"/>
        <v>-114.63747195640453</v>
      </c>
      <c r="AD569">
        <f t="shared" si="236"/>
        <v>0</v>
      </c>
      <c r="AE569">
        <f t="shared" si="239"/>
        <v>0</v>
      </c>
    </row>
    <row r="570" spans="1:31" x14ac:dyDescent="0.2">
      <c r="A570" s="373">
        <v>96611.5</v>
      </c>
      <c r="B570" s="390">
        <f t="shared" si="233"/>
        <v>96.611500000000007</v>
      </c>
      <c r="C570" s="363">
        <f t="shared" si="214"/>
        <v>126.94593744846539</v>
      </c>
      <c r="D570" s="364">
        <f t="shared" si="215"/>
        <v>1.5629188762632324</v>
      </c>
      <c r="E570" s="364">
        <f t="shared" si="216"/>
        <v>3.7418450883980632</v>
      </c>
      <c r="F570" s="365">
        <f t="shared" si="217"/>
        <v>1.3002604764616092</v>
      </c>
      <c r="G570" s="364">
        <f t="shared" si="218"/>
        <v>1.3865161099565044</v>
      </c>
      <c r="H570" s="365">
        <f t="shared" si="219"/>
        <v>-0.76521686475072437</v>
      </c>
      <c r="I570" s="363">
        <f t="shared" si="220"/>
        <v>327874.91467745276</v>
      </c>
      <c r="J570" s="366">
        <f t="shared" si="221"/>
        <v>1.5707932768512893</v>
      </c>
      <c r="K570" s="374">
        <f t="shared" si="237"/>
        <v>79.824370011830794</v>
      </c>
      <c r="L570" s="375">
        <f t="shared" si="238"/>
        <v>1.5582684965334623</v>
      </c>
      <c r="M570" s="363">
        <f t="shared" si="222"/>
        <v>2.6914654833989697</v>
      </c>
      <c r="N570" s="366">
        <f t="shared" si="223"/>
        <v>1.1901239498191485</v>
      </c>
      <c r="O570" s="367">
        <f t="shared" si="224"/>
        <v>1.3157094226609074</v>
      </c>
      <c r="P570" s="368">
        <f t="shared" si="225"/>
        <v>0.9851144251097036</v>
      </c>
      <c r="Q570" s="369">
        <f t="shared" si="226"/>
        <v>-24.436295314681459</v>
      </c>
      <c r="R570" s="370">
        <f t="shared" si="227"/>
        <v>-184.24251010512921</v>
      </c>
      <c r="S570" s="372">
        <f t="shared" si="228"/>
        <v>-4.2425101051292131</v>
      </c>
      <c r="U570" s="345">
        <f t="shared" si="234"/>
        <v>96611.5</v>
      </c>
      <c r="V570" s="345">
        <f t="shared" si="235"/>
        <v>9333781932.25</v>
      </c>
      <c r="X570" s="371">
        <f t="shared" si="229"/>
        <v>7.2254442227865994</v>
      </c>
      <c r="Y570" s="372">
        <f t="shared" si="230"/>
        <v>-68.906696552353978</v>
      </c>
      <c r="AA570" s="371">
        <f t="shared" si="231"/>
        <v>14.358860375811563</v>
      </c>
      <c r="AB570" s="372">
        <f t="shared" si="232"/>
        <v>-115.33581355277526</v>
      </c>
      <c r="AD570">
        <f t="shared" si="236"/>
        <v>0</v>
      </c>
      <c r="AE570">
        <f t="shared" si="239"/>
        <v>0</v>
      </c>
    </row>
    <row r="571" spans="1:31" x14ac:dyDescent="0.2">
      <c r="A571" s="373">
        <v>97724</v>
      </c>
      <c r="B571" s="390">
        <f t="shared" si="233"/>
        <v>97.724000000000004</v>
      </c>
      <c r="C571" s="363">
        <f t="shared" si="214"/>
        <v>128.40765413558839</v>
      </c>
      <c r="D571" s="364">
        <f t="shared" si="215"/>
        <v>1.5630085503181195</v>
      </c>
      <c r="E571" s="364">
        <f t="shared" si="216"/>
        <v>3.7818720228044</v>
      </c>
      <c r="F571" s="365">
        <f t="shared" si="217"/>
        <v>1.3031945724892269</v>
      </c>
      <c r="G571" s="364">
        <f t="shared" si="218"/>
        <v>1.3941998004046103</v>
      </c>
      <c r="H571" s="365">
        <f t="shared" si="219"/>
        <v>-0.77093809745836472</v>
      </c>
      <c r="I571" s="363">
        <f t="shared" si="220"/>
        <v>331650.45736724947</v>
      </c>
      <c r="J571" s="366">
        <f t="shared" si="221"/>
        <v>1.5707933115721591</v>
      </c>
      <c r="K571" s="374">
        <f t="shared" si="237"/>
        <v>80.743419546394421</v>
      </c>
      <c r="L571" s="375">
        <f t="shared" si="238"/>
        <v>1.5584110999650678</v>
      </c>
      <c r="M571" s="363">
        <f t="shared" si="222"/>
        <v>2.7182008402607911</v>
      </c>
      <c r="N571" s="366">
        <f t="shared" si="223"/>
        <v>1.1940570312050784</v>
      </c>
      <c r="O571" s="367">
        <f t="shared" si="224"/>
        <v>1.3227955992563212</v>
      </c>
      <c r="P571" s="368">
        <f t="shared" si="225"/>
        <v>0.99437007713874948</v>
      </c>
      <c r="Q571" s="369">
        <f t="shared" si="226"/>
        <v>-24.527840112610658</v>
      </c>
      <c r="R571" s="370">
        <f t="shared" si="227"/>
        <v>-185.15482939612545</v>
      </c>
      <c r="S571" s="372">
        <f t="shared" si="228"/>
        <v>-5.1548293961254501</v>
      </c>
      <c r="U571" s="345">
        <f t="shared" si="234"/>
        <v>97724</v>
      </c>
      <c r="V571" s="345">
        <f t="shared" si="235"/>
        <v>9549980176</v>
      </c>
      <c r="X571" s="371">
        <f t="shared" si="229"/>
        <v>7.1395742369947897</v>
      </c>
      <c r="Y571" s="372">
        <f t="shared" si="230"/>
        <v>-69.123876931081611</v>
      </c>
      <c r="AA571" s="371">
        <f t="shared" si="231"/>
        <v>14.353185563674181</v>
      </c>
      <c r="AB571" s="372">
        <f t="shared" si="232"/>
        <v>-116.03095246504387</v>
      </c>
      <c r="AD571">
        <f t="shared" si="236"/>
        <v>0</v>
      </c>
      <c r="AE571">
        <f t="shared" si="239"/>
        <v>0</v>
      </c>
    </row>
    <row r="572" spans="1:31" x14ac:dyDescent="0.2">
      <c r="A572" s="373">
        <v>98862</v>
      </c>
      <c r="B572" s="390">
        <f t="shared" si="233"/>
        <v>98.861999999999995</v>
      </c>
      <c r="C572" s="363">
        <f t="shared" si="214"/>
        <v>129.90287638407102</v>
      </c>
      <c r="D572" s="364">
        <f t="shared" si="215"/>
        <v>1.5630981918129427</v>
      </c>
      <c r="E572" s="364">
        <f t="shared" si="216"/>
        <v>3.82284940063801</v>
      </c>
      <c r="F572" s="365">
        <f t="shared" si="217"/>
        <v>1.3061323248346886</v>
      </c>
      <c r="G572" s="364">
        <f t="shared" si="218"/>
        <v>1.4021063037240391</v>
      </c>
      <c r="H572" s="365">
        <f t="shared" si="219"/>
        <v>-0.77672539602772805</v>
      </c>
      <c r="I572" s="363">
        <f t="shared" si="220"/>
        <v>335512.54058611603</v>
      </c>
      <c r="J572" s="366">
        <f t="shared" si="221"/>
        <v>1.5707933462803731</v>
      </c>
      <c r="K572" s="374">
        <f t="shared" si="237"/>
        <v>81.683536595653933</v>
      </c>
      <c r="L572" s="375">
        <f t="shared" si="238"/>
        <v>1.5585536519227032</v>
      </c>
      <c r="M572" s="363">
        <f t="shared" si="222"/>
        <v>2.7455916551238797</v>
      </c>
      <c r="N572" s="366">
        <f t="shared" si="223"/>
        <v>1.1980009507804641</v>
      </c>
      <c r="O572" s="367">
        <f t="shared" si="224"/>
        <v>1.330119982997064</v>
      </c>
      <c r="P572" s="368">
        <f t="shared" si="225"/>
        <v>1.0037824798701325</v>
      </c>
      <c r="Q572" s="369">
        <f t="shared" si="226"/>
        <v>-24.620736347183801</v>
      </c>
      <c r="R572" s="370">
        <f t="shared" si="227"/>
        <v>-186.08032770975723</v>
      </c>
      <c r="S572" s="372">
        <f t="shared" si="228"/>
        <v>-6.0803277097572277</v>
      </c>
      <c r="U572" s="345">
        <f t="shared" si="234"/>
        <v>98862</v>
      </c>
      <c r="V572" s="345">
        <f t="shared" si="235"/>
        <v>9773695044</v>
      </c>
      <c r="X572" s="371">
        <f t="shared" si="229"/>
        <v>7.0524709131923267</v>
      </c>
      <c r="Y572" s="372">
        <f t="shared" si="230"/>
        <v>-69.341681240839435</v>
      </c>
      <c r="AA572" s="371">
        <f t="shared" si="231"/>
        <v>14.347392652903494</v>
      </c>
      <c r="AB572" s="372">
        <f t="shared" si="232"/>
        <v>-116.73864646891779</v>
      </c>
      <c r="AD572">
        <f t="shared" si="236"/>
        <v>0</v>
      </c>
      <c r="AE572">
        <f t="shared" si="239"/>
        <v>0</v>
      </c>
    </row>
    <row r="573" spans="1:31" x14ac:dyDescent="0.2">
      <c r="A573" s="373">
        <v>100000</v>
      </c>
      <c r="B573" s="390">
        <f t="shared" si="233"/>
        <v>100</v>
      </c>
      <c r="C573" s="363">
        <f t="shared" si="214"/>
        <v>131.39809965264431</v>
      </c>
      <c r="D573" s="364">
        <f t="shared" si="215"/>
        <v>1.5631857931868833</v>
      </c>
      <c r="E573" s="364">
        <f t="shared" si="216"/>
        <v>3.8638590711900616</v>
      </c>
      <c r="F573" s="365">
        <f t="shared" si="217"/>
        <v>1.3090077409742333</v>
      </c>
      <c r="G573" s="364">
        <f t="shared" si="218"/>
        <v>1.4100592399975569</v>
      </c>
      <c r="H573" s="365">
        <f t="shared" si="219"/>
        <v>-0.78244760206980735</v>
      </c>
      <c r="I573" s="363">
        <f t="shared" si="220"/>
        <v>339374.62380498304</v>
      </c>
      <c r="J573" s="366">
        <f t="shared" si="221"/>
        <v>1.5707933801986285</v>
      </c>
      <c r="K573" s="374">
        <f t="shared" si="237"/>
        <v>82.623655267035929</v>
      </c>
      <c r="L573" s="375">
        <f t="shared" si="238"/>
        <v>1.5586929598785613</v>
      </c>
      <c r="M573" s="363">
        <f t="shared" si="222"/>
        <v>2.7730243322424473</v>
      </c>
      <c r="N573" s="366">
        <f t="shared" si="223"/>
        <v>1.2018668975343547</v>
      </c>
      <c r="O573" s="367">
        <f t="shared" si="224"/>
        <v>1.3375208594128793</v>
      </c>
      <c r="P573" s="368">
        <f t="shared" si="225"/>
        <v>1.0131389836084024</v>
      </c>
      <c r="Q573" s="369">
        <f t="shared" si="226"/>
        <v>-24.712896905728098</v>
      </c>
      <c r="R573" s="370">
        <f t="shared" si="227"/>
        <v>-186.99806673985904</v>
      </c>
      <c r="S573" s="372">
        <f t="shared" si="228"/>
        <v>-6.9980667398590413</v>
      </c>
      <c r="U573" s="345">
        <f t="shared" si="234"/>
        <v>100000</v>
      </c>
      <c r="V573" s="345">
        <f t="shared" si="235"/>
        <v>10000000000</v>
      </c>
      <c r="X573" s="371">
        <f t="shared" si="229"/>
        <v>6.9661014994061254</v>
      </c>
      <c r="Y573" s="372">
        <f t="shared" si="230"/>
        <v>-69.555203859353298</v>
      </c>
      <c r="AA573" s="371">
        <f t="shared" si="231"/>
        <v>14.341601508145402</v>
      </c>
      <c r="AB573" s="372">
        <f t="shared" si="232"/>
        <v>-117.44286288050573</v>
      </c>
      <c r="AD573">
        <f t="shared" si="236"/>
        <v>0</v>
      </c>
      <c r="AE573">
        <f t="shared" si="239"/>
        <v>0</v>
      </c>
    </row>
    <row r="574" spans="1:31" x14ac:dyDescent="0.2">
      <c r="A574" s="373">
        <v>101165</v>
      </c>
      <c r="B574" s="390">
        <f t="shared" si="233"/>
        <v>101.16500000000001</v>
      </c>
      <c r="C574" s="363">
        <f t="shared" si="214"/>
        <v>132.9287993622157</v>
      </c>
      <c r="D574" s="364">
        <f t="shared" si="215"/>
        <v>1.5632734315518362</v>
      </c>
      <c r="E574" s="364">
        <f t="shared" si="216"/>
        <v>3.9058741194810302</v>
      </c>
      <c r="F574" s="365">
        <f t="shared" si="217"/>
        <v>1.3118888077136466</v>
      </c>
      <c r="G574" s="364">
        <f t="shared" si="218"/>
        <v>1.4182481492614849</v>
      </c>
      <c r="H574" s="365">
        <f t="shared" si="219"/>
        <v>-0.78823890028362043</v>
      </c>
      <c r="I574" s="363">
        <f t="shared" si="220"/>
        <v>343328.33817227697</v>
      </c>
      <c r="J574" s="366">
        <f t="shared" si="221"/>
        <v>1.570793414131161</v>
      </c>
      <c r="K574" s="374">
        <f t="shared" si="237"/>
        <v>83.58608066186865</v>
      </c>
      <c r="L574" s="375">
        <f t="shared" si="238"/>
        <v>1.5588323269435433</v>
      </c>
      <c r="M574" s="363">
        <f t="shared" si="222"/>
        <v>2.8011499522684802</v>
      </c>
      <c r="N574" s="366">
        <f t="shared" si="223"/>
        <v>1.2057460703419765</v>
      </c>
      <c r="O574" s="367">
        <f t="shared" si="224"/>
        <v>1.3451764112836824</v>
      </c>
      <c r="P574" s="368">
        <f t="shared" si="225"/>
        <v>1.0226597205614336</v>
      </c>
      <c r="Q574" s="369">
        <f t="shared" si="226"/>
        <v>-24.806501943544085</v>
      </c>
      <c r="R574" s="370">
        <f t="shared" si="227"/>
        <v>-187.92960710495382</v>
      </c>
      <c r="S574" s="372">
        <f t="shared" si="228"/>
        <v>-7.929607104953817</v>
      </c>
      <c r="U574" s="345">
        <f t="shared" si="234"/>
        <v>101165</v>
      </c>
      <c r="V574" s="345">
        <f t="shared" si="235"/>
        <v>10234357225</v>
      </c>
      <c r="X574" s="371">
        <f t="shared" si="229"/>
        <v>6.878433373501279</v>
      </c>
      <c r="Y574" s="372">
        <f t="shared" si="230"/>
        <v>-69.769480889041091</v>
      </c>
      <c r="AA574" s="371">
        <f t="shared" si="231"/>
        <v>14.335664596234265</v>
      </c>
      <c r="AB574" s="372">
        <f t="shared" si="232"/>
        <v>-118.16012621591275</v>
      </c>
      <c r="AD574">
        <f t="shared" si="236"/>
        <v>0</v>
      </c>
      <c r="AE574">
        <f t="shared" si="239"/>
        <v>0</v>
      </c>
    </row>
    <row r="575" spans="1:31" x14ac:dyDescent="0.2">
      <c r="A575" s="373">
        <v>102330</v>
      </c>
      <c r="B575" s="390">
        <f t="shared" si="233"/>
        <v>102.33</v>
      </c>
      <c r="C575" s="363">
        <f t="shared" si="214"/>
        <v>134.45950006949906</v>
      </c>
      <c r="D575" s="364">
        <f t="shared" si="215"/>
        <v>1.5633590745492061</v>
      </c>
      <c r="E575" s="364">
        <f t="shared" si="216"/>
        <v>3.9479208984359917</v>
      </c>
      <c r="F575" s="365">
        <f t="shared" si="217"/>
        <v>1.3147085286486198</v>
      </c>
      <c r="G575" s="364">
        <f t="shared" si="218"/>
        <v>1.4264840782907291</v>
      </c>
      <c r="H575" s="365">
        <f t="shared" si="219"/>
        <v>-0.79396351553667621</v>
      </c>
      <c r="I575" s="363">
        <f t="shared" si="220"/>
        <v>347282.0525395713</v>
      </c>
      <c r="J575" s="366">
        <f t="shared" si="221"/>
        <v>1.5707934472910676</v>
      </c>
      <c r="K575" s="374">
        <f t="shared" si="237"/>
        <v>84.548507643247589</v>
      </c>
      <c r="L575" s="375">
        <f t="shared" si="238"/>
        <v>1.5589685211432041</v>
      </c>
      <c r="M575" s="363">
        <f t="shared" si="222"/>
        <v>2.8293168855412598</v>
      </c>
      <c r="N575" s="366">
        <f t="shared" si="223"/>
        <v>1.2095480621148358</v>
      </c>
      <c r="O575" s="367">
        <f t="shared" si="224"/>
        <v>1.3529118210230233</v>
      </c>
      <c r="P575" s="368">
        <f t="shared" si="225"/>
        <v>1.0321221816105202</v>
      </c>
      <c r="Q575" s="369">
        <f t="shared" si="226"/>
        <v>-24.899375788523894</v>
      </c>
      <c r="R575" s="370">
        <f t="shared" si="227"/>
        <v>-188.85314798399682</v>
      </c>
      <c r="S575" s="372">
        <f t="shared" si="228"/>
        <v>-8.8531479839968199</v>
      </c>
      <c r="U575" s="345">
        <f t="shared" si="234"/>
        <v>102330</v>
      </c>
      <c r="V575" s="345">
        <f t="shared" si="235"/>
        <v>10471428900</v>
      </c>
      <c r="X575" s="371">
        <f t="shared" si="229"/>
        <v>6.7915146362139858</v>
      </c>
      <c r="Y575" s="372">
        <f t="shared" si="230"/>
        <v>-69.979517518697349</v>
      </c>
      <c r="AA575" s="371">
        <f t="shared" si="231"/>
        <v>14.329709488541745</v>
      </c>
      <c r="AB575" s="372">
        <f t="shared" si="232"/>
        <v>-118.87363046529944</v>
      </c>
      <c r="AD575">
        <f t="shared" si="236"/>
        <v>0</v>
      </c>
      <c r="AE575">
        <f t="shared" si="239"/>
        <v>0</v>
      </c>
    </row>
    <row r="576" spans="1:31" x14ac:dyDescent="0.2">
      <c r="A576" s="373">
        <v>103520</v>
      </c>
      <c r="B576" s="390">
        <f t="shared" si="233"/>
        <v>103.52</v>
      </c>
      <c r="C576" s="363">
        <f t="shared" si="214"/>
        <v>136.02304942647893</v>
      </c>
      <c r="D576" s="364">
        <f t="shared" si="215"/>
        <v>1.563444565366674</v>
      </c>
      <c r="E576" s="364">
        <f t="shared" si="216"/>
        <v>3.9909016852937418</v>
      </c>
      <c r="F576" s="365">
        <f t="shared" si="217"/>
        <v>1.3175273943005188</v>
      </c>
      <c r="G576" s="364">
        <f t="shared" si="218"/>
        <v>1.4349444462299508</v>
      </c>
      <c r="H576" s="365">
        <f t="shared" si="219"/>
        <v>-0.79974293908110339</v>
      </c>
      <c r="I576" s="363">
        <f t="shared" si="220"/>
        <v>351320.61056281644</v>
      </c>
      <c r="J576" s="366">
        <f t="shared" si="221"/>
        <v>1.5707934803920101</v>
      </c>
      <c r="K576" s="374">
        <f t="shared" si="237"/>
        <v>85.531589146433049</v>
      </c>
      <c r="L576" s="375">
        <f t="shared" si="238"/>
        <v>1.5591044736026241</v>
      </c>
      <c r="M576" s="363">
        <f t="shared" si="222"/>
        <v>2.8581296419703066</v>
      </c>
      <c r="N576" s="366">
        <f t="shared" si="223"/>
        <v>1.213354218648274</v>
      </c>
      <c r="O576" s="367">
        <f t="shared" si="224"/>
        <v>1.3608955167936689</v>
      </c>
      <c r="P576" s="368">
        <f t="shared" si="225"/>
        <v>1.0417277108208312</v>
      </c>
      <c r="Q576" s="369">
        <f t="shared" si="226"/>
        <v>-24.993507543368771</v>
      </c>
      <c r="R576" s="370">
        <f t="shared" si="227"/>
        <v>-189.78831910401712</v>
      </c>
      <c r="S576" s="372">
        <f t="shared" si="228"/>
        <v>-9.7883191040171198</v>
      </c>
      <c r="U576" s="345">
        <f t="shared" si="234"/>
        <v>103520</v>
      </c>
      <c r="V576" s="345">
        <f t="shared" si="235"/>
        <v>10716390400</v>
      </c>
      <c r="X576" s="371">
        <f t="shared" si="229"/>
        <v>6.7034940968142536</v>
      </c>
      <c r="Y576" s="372">
        <f t="shared" si="230"/>
        <v>-70.189806618874925</v>
      </c>
      <c r="AA576" s="371">
        <f t="shared" si="231"/>
        <v>14.323598273096604</v>
      </c>
      <c r="AB576" s="372">
        <f t="shared" si="232"/>
        <v>-119.59851248514227</v>
      </c>
      <c r="AD576">
        <f t="shared" si="236"/>
        <v>0</v>
      </c>
      <c r="AE576">
        <f t="shared" si="239"/>
        <v>0</v>
      </c>
    </row>
    <row r="577" spans="1:31" x14ac:dyDescent="0.2">
      <c r="A577" s="373">
        <v>104710</v>
      </c>
      <c r="B577" s="390">
        <f t="shared" si="233"/>
        <v>104.71</v>
      </c>
      <c r="C577" s="363">
        <f t="shared" si="214"/>
        <v>137.58659975501249</v>
      </c>
      <c r="D577" s="364">
        <f t="shared" si="215"/>
        <v>1.5635281131292984</v>
      </c>
      <c r="E577" s="364">
        <f t="shared" si="216"/>
        <v>4.0339135079574611</v>
      </c>
      <c r="F577" s="365">
        <f t="shared" si="217"/>
        <v>1.3202861688685414</v>
      </c>
      <c r="G577" s="364">
        <f t="shared" si="218"/>
        <v>1.4434521810272161</v>
      </c>
      <c r="H577" s="365">
        <f t="shared" si="219"/>
        <v>-0.80545442346797347</v>
      </c>
      <c r="I577" s="363">
        <f t="shared" si="220"/>
        <v>355359.16858606203</v>
      </c>
      <c r="J577" s="366">
        <f t="shared" si="221"/>
        <v>1.5707935127405865</v>
      </c>
      <c r="K577" s="374">
        <f t="shared" si="237"/>
        <v>86.514672194577187</v>
      </c>
      <c r="L577" s="375">
        <f t="shared" si="238"/>
        <v>1.5592373363559724</v>
      </c>
      <c r="M577" s="363">
        <f t="shared" si="222"/>
        <v>2.8869829768172957</v>
      </c>
      <c r="N577" s="366">
        <f t="shared" si="223"/>
        <v>1.2170843486861707</v>
      </c>
      <c r="O577" s="367">
        <f t="shared" si="224"/>
        <v>1.3689622203004292</v>
      </c>
      <c r="P577" s="368">
        <f t="shared" si="225"/>
        <v>1.0512728032024892</v>
      </c>
      <c r="Q577" s="369">
        <f t="shared" si="226"/>
        <v>-25.086915824867269</v>
      </c>
      <c r="R577" s="370">
        <f t="shared" si="227"/>
        <v>-190.7152874451628</v>
      </c>
      <c r="S577" s="372">
        <f t="shared" si="228"/>
        <v>-10.715287445162801</v>
      </c>
      <c r="U577" s="345">
        <f t="shared" si="234"/>
        <v>104710</v>
      </c>
      <c r="V577" s="345">
        <f t="shared" si="235"/>
        <v>10964184100</v>
      </c>
      <c r="X577" s="371">
        <f t="shared" si="229"/>
        <v>6.6162347004663307</v>
      </c>
      <c r="Y577" s="372">
        <f t="shared" si="230"/>
        <v>-70.395916705732446</v>
      </c>
      <c r="AA577" s="371">
        <f t="shared" si="231"/>
        <v>14.317449387946024</v>
      </c>
      <c r="AB577" s="372">
        <f t="shared" si="232"/>
        <v>-120.31937073943035</v>
      </c>
      <c r="AD577">
        <f t="shared" si="236"/>
        <v>0</v>
      </c>
      <c r="AE577">
        <f t="shared" si="239"/>
        <v>0</v>
      </c>
    </row>
    <row r="578" spans="1:31" x14ac:dyDescent="0.2">
      <c r="A578" s="373">
        <v>105930</v>
      </c>
      <c r="B578" s="390">
        <f t="shared" si="233"/>
        <v>105.93</v>
      </c>
      <c r="C578" s="363">
        <f t="shared" si="214"/>
        <v>139.1895682930458</v>
      </c>
      <c r="D578" s="364">
        <f t="shared" si="215"/>
        <v>1.5636118185363019</v>
      </c>
      <c r="E578" s="364">
        <f t="shared" si="216"/>
        <v>4.0780408535369324</v>
      </c>
      <c r="F578" s="365">
        <f t="shared" si="217"/>
        <v>1.323054057065262</v>
      </c>
      <c r="G578" s="364">
        <f t="shared" si="218"/>
        <v>1.4522226981042698</v>
      </c>
      <c r="H578" s="365">
        <f t="shared" si="219"/>
        <v>-0.81124022846617327</v>
      </c>
      <c r="I578" s="363">
        <f t="shared" si="220"/>
        <v>359499.53899644868</v>
      </c>
      <c r="J578" s="366">
        <f t="shared" si="221"/>
        <v>1.5707935451501613</v>
      </c>
      <c r="K578" s="374">
        <f t="shared" si="237"/>
        <v>87.522540398349548</v>
      </c>
      <c r="L578" s="375">
        <f t="shared" si="238"/>
        <v>1.559370450052481</v>
      </c>
      <c r="M578" s="363">
        <f t="shared" si="222"/>
        <v>2.9166045717102858</v>
      </c>
      <c r="N578" s="366">
        <f t="shared" si="223"/>
        <v>1.2208318450728703</v>
      </c>
      <c r="O578" s="367">
        <f t="shared" si="224"/>
        <v>1.3773182984777981</v>
      </c>
      <c r="P578" s="368">
        <f t="shared" si="225"/>
        <v>1.0609959956878792</v>
      </c>
      <c r="Q578" s="369">
        <f t="shared" si="226"/>
        <v>-25.181947596386941</v>
      </c>
      <c r="R578" s="370">
        <f t="shared" si="227"/>
        <v>-191.65718593186031</v>
      </c>
      <c r="S578" s="372">
        <f t="shared" si="228"/>
        <v>-11.657185931860312</v>
      </c>
      <c r="U578" s="345">
        <f t="shared" si="234"/>
        <v>105930</v>
      </c>
      <c r="V578" s="345">
        <f t="shared" si="235"/>
        <v>11221164900</v>
      </c>
      <c r="X578" s="371">
        <f t="shared" si="229"/>
        <v>6.5275548292532761</v>
      </c>
      <c r="Y578" s="372">
        <f t="shared" si="230"/>
        <v>-70.603007436593998</v>
      </c>
      <c r="AA578" s="371">
        <f t="shared" si="231"/>
        <v>14.311097487639408</v>
      </c>
      <c r="AB578" s="372">
        <f t="shared" si="232"/>
        <v>-121.05417849526629</v>
      </c>
      <c r="AD578">
        <f t="shared" si="236"/>
        <v>0</v>
      </c>
      <c r="AE578">
        <f t="shared" si="239"/>
        <v>0</v>
      </c>
    </row>
    <row r="579" spans="1:31" x14ac:dyDescent="0.2">
      <c r="A579" s="373">
        <v>107150</v>
      </c>
      <c r="B579" s="390">
        <f t="shared" si="233"/>
        <v>107.15</v>
      </c>
      <c r="C579" s="363">
        <f t="shared" si="214"/>
        <v>140.79253778411703</v>
      </c>
      <c r="D579" s="364">
        <f t="shared" si="215"/>
        <v>1.5636936179165202</v>
      </c>
      <c r="E579" s="364">
        <f t="shared" si="216"/>
        <v>4.1221987727914504</v>
      </c>
      <c r="F579" s="365">
        <f t="shared" si="217"/>
        <v>1.325762665164131</v>
      </c>
      <c r="G579" s="364">
        <f t="shared" si="218"/>
        <v>1.4610412445255523</v>
      </c>
      <c r="H579" s="365">
        <f t="shared" si="219"/>
        <v>-0.81695637902645679</v>
      </c>
      <c r="I579" s="363">
        <f t="shared" si="220"/>
        <v>363639.90940683568</v>
      </c>
      <c r="J579" s="366">
        <f t="shared" si="221"/>
        <v>1.5707935768217112</v>
      </c>
      <c r="K579" s="374">
        <f t="shared" si="237"/>
        <v>88.530410117645502</v>
      </c>
      <c r="L579" s="375">
        <f t="shared" si="238"/>
        <v>1.5595005328997336</v>
      </c>
      <c r="M579" s="363">
        <f t="shared" si="222"/>
        <v>2.9462663026572509</v>
      </c>
      <c r="N579" s="366">
        <f t="shared" si="223"/>
        <v>1.2245039358324525</v>
      </c>
      <c r="O579" s="367">
        <f t="shared" si="224"/>
        <v>1.3857612995753066</v>
      </c>
      <c r="P579" s="368">
        <f t="shared" si="225"/>
        <v>1.0706561003041819</v>
      </c>
      <c r="Q579" s="369">
        <f t="shared" si="226"/>
        <v>-25.276258310307547</v>
      </c>
      <c r="R579" s="370">
        <f t="shared" si="227"/>
        <v>-192.59061932511918</v>
      </c>
      <c r="S579" s="372">
        <f t="shared" si="228"/>
        <v>-12.590619325119178</v>
      </c>
      <c r="U579" s="345">
        <f t="shared" si="234"/>
        <v>107150</v>
      </c>
      <c r="V579" s="345">
        <f t="shared" si="235"/>
        <v>11481122500</v>
      </c>
      <c r="X579" s="371">
        <f t="shared" si="229"/>
        <v>6.4396530637119369</v>
      </c>
      <c r="Y579" s="372">
        <f t="shared" si="230"/>
        <v>-70.805951355850482</v>
      </c>
      <c r="AA579" s="371">
        <f t="shared" si="231"/>
        <v>14.304688539260139</v>
      </c>
      <c r="AB579" s="372">
        <f t="shared" si="232"/>
        <v>-121.78466796926868</v>
      </c>
      <c r="AD579">
        <f t="shared" si="236"/>
        <v>0</v>
      </c>
      <c r="AE579">
        <f t="shared" si="239"/>
        <v>0</v>
      </c>
    </row>
    <row r="580" spans="1:31" x14ac:dyDescent="0.2">
      <c r="A580" s="373">
        <v>108400</v>
      </c>
      <c r="B580" s="390">
        <f t="shared" si="233"/>
        <v>108.4</v>
      </c>
      <c r="C580" s="363">
        <f t="shared" si="214"/>
        <v>142.43492551258808</v>
      </c>
      <c r="D580" s="364">
        <f t="shared" si="215"/>
        <v>1.5637755191401836</v>
      </c>
      <c r="E580" s="364">
        <f t="shared" si="216"/>
        <v>4.1674732368856855</v>
      </c>
      <c r="F580" s="365">
        <f t="shared" si="217"/>
        <v>1.328478323382235</v>
      </c>
      <c r="G580" s="364">
        <f t="shared" si="218"/>
        <v>1.4701255520569663</v>
      </c>
      <c r="H580" s="365">
        <f t="shared" si="219"/>
        <v>-0.82274176973428881</v>
      </c>
      <c r="I580" s="363">
        <f t="shared" si="220"/>
        <v>367882.09220436373</v>
      </c>
      <c r="J580" s="366">
        <f t="shared" si="221"/>
        <v>1.5707936085326566</v>
      </c>
      <c r="K580" s="374">
        <f t="shared" si="237"/>
        <v>89.563065036944693</v>
      </c>
      <c r="L580" s="375">
        <f t="shared" si="238"/>
        <v>1.5596307779368199</v>
      </c>
      <c r="M580" s="363">
        <f t="shared" si="222"/>
        <v>2.9766977943941892</v>
      </c>
      <c r="N580" s="366">
        <f t="shared" si="223"/>
        <v>1.2281903693256171</v>
      </c>
      <c r="O580" s="367">
        <f t="shared" si="224"/>
        <v>1.3945019060452502</v>
      </c>
      <c r="P580" s="368">
        <f t="shared" si="225"/>
        <v>1.0804885595181299</v>
      </c>
      <c r="Q580" s="369">
        <f t="shared" si="226"/>
        <v>-25.372159945504173</v>
      </c>
      <c r="R580" s="370">
        <f t="shared" si="227"/>
        <v>-193.53830945833406</v>
      </c>
      <c r="S580" s="372">
        <f t="shared" si="228"/>
        <v>-13.538309458334055</v>
      </c>
      <c r="U580" s="345">
        <f t="shared" si="234"/>
        <v>108400</v>
      </c>
      <c r="V580" s="345">
        <f t="shared" si="235"/>
        <v>11750560000</v>
      </c>
      <c r="X580" s="371">
        <f t="shared" si="229"/>
        <v>6.3503854172784591</v>
      </c>
      <c r="Y580" s="372">
        <f t="shared" si="230"/>
        <v>-71.00970776267306</v>
      </c>
      <c r="AA580" s="371">
        <f t="shared" si="231"/>
        <v>14.298054550496992</v>
      </c>
      <c r="AB580" s="372">
        <f t="shared" si="232"/>
        <v>-122.52860169566097</v>
      </c>
      <c r="AD580">
        <f t="shared" si="236"/>
        <v>0</v>
      </c>
      <c r="AE580">
        <f t="shared" si="239"/>
        <v>0</v>
      </c>
    </row>
    <row r="581" spans="1:31" x14ac:dyDescent="0.2">
      <c r="A581" s="373">
        <v>109650</v>
      </c>
      <c r="B581" s="390">
        <f t="shared" si="233"/>
        <v>109.65</v>
      </c>
      <c r="C581" s="363">
        <f t="shared" si="214"/>
        <v>144.07731417470313</v>
      </c>
      <c r="D581" s="364">
        <f t="shared" si="215"/>
        <v>1.5638555531218874</v>
      </c>
      <c r="E581" s="364">
        <f t="shared" si="216"/>
        <v>4.2127777745303288</v>
      </c>
      <c r="F581" s="365">
        <f t="shared" si="217"/>
        <v>1.3311355920509842</v>
      </c>
      <c r="G581" s="364">
        <f t="shared" si="218"/>
        <v>1.47925846047037</v>
      </c>
      <c r="H581" s="365">
        <f t="shared" si="219"/>
        <v>-0.8284559119964181</v>
      </c>
      <c r="I581" s="363">
        <f t="shared" si="220"/>
        <v>372124.27500189206</v>
      </c>
      <c r="J581" s="366">
        <f t="shared" si="221"/>
        <v>1.5707936395205984</v>
      </c>
      <c r="K581" s="374">
        <f t="shared" si="237"/>
        <v>90.595721440934994</v>
      </c>
      <c r="L581" s="375">
        <f t="shared" si="238"/>
        <v>1.5597580537768285</v>
      </c>
      <c r="M581" s="363">
        <f t="shared" si="222"/>
        <v>3.0071689197835791</v>
      </c>
      <c r="N581" s="366">
        <f t="shared" si="223"/>
        <v>1.2318021430840167</v>
      </c>
      <c r="O581" s="367">
        <f t="shared" si="224"/>
        <v>1.4033334321738857</v>
      </c>
      <c r="P581" s="368">
        <f t="shared" si="225"/>
        <v>1.0902552976994786</v>
      </c>
      <c r="Q581" s="369">
        <f t="shared" si="226"/>
        <v>-25.467343865139632</v>
      </c>
      <c r="R581" s="370">
        <f t="shared" si="227"/>
        <v>-194.47728270150662</v>
      </c>
      <c r="S581" s="372">
        <f t="shared" si="228"/>
        <v>-14.477282701506624</v>
      </c>
      <c r="U581" s="345">
        <f t="shared" si="234"/>
        <v>109650</v>
      </c>
      <c r="V581" s="345">
        <f t="shared" si="235"/>
        <v>12023122500</v>
      </c>
      <c r="X581" s="371">
        <f t="shared" si="229"/>
        <v>6.2619115742746203</v>
      </c>
      <c r="Y581" s="372">
        <f t="shared" si="230"/>
        <v>-71.209356562825405</v>
      </c>
      <c r="AA581" s="371">
        <f t="shared" si="231"/>
        <v>14.291344473865371</v>
      </c>
      <c r="AB581" s="372">
        <f t="shared" si="232"/>
        <v>-123.26792613868126</v>
      </c>
      <c r="AD581">
        <f t="shared" si="236"/>
        <v>0</v>
      </c>
      <c r="AE581">
        <f t="shared" si="239"/>
        <v>0</v>
      </c>
    </row>
    <row r="582" spans="1:31" x14ac:dyDescent="0.2">
      <c r="A582" s="373">
        <v>110925</v>
      </c>
      <c r="B582" s="390">
        <f t="shared" si="233"/>
        <v>110.925</v>
      </c>
      <c r="C582" s="363">
        <f t="shared" si="214"/>
        <v>145.75255153916871</v>
      </c>
      <c r="D582" s="364">
        <f t="shared" si="215"/>
        <v>1.5639353296114518</v>
      </c>
      <c r="E582" s="364">
        <f t="shared" si="216"/>
        <v>4.259018389416072</v>
      </c>
      <c r="F582" s="365">
        <f t="shared" si="217"/>
        <v>1.3337877472890056</v>
      </c>
      <c r="G582" s="364">
        <f t="shared" si="218"/>
        <v>1.4886231679788922</v>
      </c>
      <c r="H582" s="365">
        <f t="shared" si="219"/>
        <v>-0.83421191361494984</v>
      </c>
      <c r="I582" s="363">
        <f t="shared" si="220"/>
        <v>376451.30145537137</v>
      </c>
      <c r="J582" s="366">
        <f t="shared" si="221"/>
        <v>1.5707936704088086</v>
      </c>
      <c r="K582" s="374">
        <f t="shared" si="237"/>
        <v>91.649032450487255</v>
      </c>
      <c r="L582" s="375">
        <f t="shared" si="238"/>
        <v>1.5598849203493605</v>
      </c>
      <c r="M582" s="363">
        <f t="shared" si="222"/>
        <v>3.0382890615969491</v>
      </c>
      <c r="N582" s="366">
        <f t="shared" si="223"/>
        <v>1.2354114711977964</v>
      </c>
      <c r="O582" s="367">
        <f t="shared" si="224"/>
        <v>1.4124350872904388</v>
      </c>
      <c r="P582" s="368">
        <f t="shared" si="225"/>
        <v>1.1001499460934208</v>
      </c>
      <c r="Q582" s="369">
        <f t="shared" si="226"/>
        <v>-25.563711510081085</v>
      </c>
      <c r="R582" s="370">
        <f t="shared" si="227"/>
        <v>-195.42614456774047</v>
      </c>
      <c r="S582" s="372">
        <f t="shared" si="228"/>
        <v>-15.426144567740465</v>
      </c>
      <c r="U582" s="345">
        <f t="shared" si="234"/>
        <v>110925</v>
      </c>
      <c r="V582" s="345">
        <f t="shared" si="235"/>
        <v>12304355625</v>
      </c>
      <c r="X582" s="371">
        <f t="shared" si="229"/>
        <v>6.1724741608457805</v>
      </c>
      <c r="Y582" s="372">
        <f t="shared" si="230"/>
        <v>-71.408888681447593</v>
      </c>
      <c r="AA582" s="371">
        <f t="shared" si="231"/>
        <v>14.284414242352758</v>
      </c>
      <c r="AB582" s="372">
        <f t="shared" si="232"/>
        <v>-124.01725588629287</v>
      </c>
      <c r="AD582">
        <f t="shared" si="236"/>
        <v>0</v>
      </c>
      <c r="AE582">
        <f t="shared" si="239"/>
        <v>0</v>
      </c>
    </row>
    <row r="583" spans="1:31" x14ac:dyDescent="0.2">
      <c r="A583" s="373">
        <v>112200</v>
      </c>
      <c r="B583" s="390">
        <f t="shared" si="233"/>
        <v>112.2</v>
      </c>
      <c r="C583" s="363">
        <f t="shared" si="214"/>
        <v>147.42778981016448</v>
      </c>
      <c r="D583" s="364">
        <f t="shared" si="215"/>
        <v>1.5640132930833655</v>
      </c>
      <c r="E583" s="364">
        <f t="shared" si="216"/>
        <v>4.3052883182915131</v>
      </c>
      <c r="F583" s="365">
        <f t="shared" si="217"/>
        <v>1.3363829138048033</v>
      </c>
      <c r="G583" s="364">
        <f t="shared" si="218"/>
        <v>1.4980365783056955</v>
      </c>
      <c r="H583" s="365">
        <f t="shared" si="219"/>
        <v>-0.8398957620901083</v>
      </c>
      <c r="I583" s="363">
        <f t="shared" si="220"/>
        <v>380778.32790885103</v>
      </c>
      <c r="J583" s="366">
        <f t="shared" si="221"/>
        <v>1.5707937005950141</v>
      </c>
      <c r="K583" s="374">
        <f t="shared" si="237"/>
        <v>92.702344901621245</v>
      </c>
      <c r="L583" s="375">
        <f t="shared" si="238"/>
        <v>1.5600089039301002</v>
      </c>
      <c r="M583" s="363">
        <f t="shared" si="222"/>
        <v>3.0694479810737691</v>
      </c>
      <c r="N583" s="366">
        <f t="shared" si="223"/>
        <v>1.2389475657807227</v>
      </c>
      <c r="O583" s="367">
        <f t="shared" si="224"/>
        <v>1.4216310013705424</v>
      </c>
      <c r="P583" s="368">
        <f t="shared" si="225"/>
        <v>1.1099767978223432</v>
      </c>
      <c r="Q583" s="369">
        <f t="shared" si="226"/>
        <v>-25.659371081807887</v>
      </c>
      <c r="R583" s="370">
        <f t="shared" si="227"/>
        <v>-196.36611840640671</v>
      </c>
      <c r="S583" s="372">
        <f t="shared" si="228"/>
        <v>-16.366118406406713</v>
      </c>
      <c r="U583" s="345">
        <f t="shared" si="234"/>
        <v>112200</v>
      </c>
      <c r="V583" s="345">
        <f t="shared" si="235"/>
        <v>12588840000</v>
      </c>
      <c r="X583" s="371">
        <f t="shared" si="229"/>
        <v>6.0838387254611455</v>
      </c>
      <c r="Y583" s="372">
        <f t="shared" si="230"/>
        <v>-71.604389970868624</v>
      </c>
      <c r="AA583" s="371">
        <f t="shared" si="231"/>
        <v>14.277390106010593</v>
      </c>
      <c r="AB583" s="372">
        <f t="shared" si="232"/>
        <v>-124.76172843553806</v>
      </c>
      <c r="AD583">
        <f t="shared" si="236"/>
        <v>0</v>
      </c>
      <c r="AE583">
        <f t="shared" si="239"/>
        <v>0</v>
      </c>
    </row>
    <row r="584" spans="1:31" x14ac:dyDescent="0.2">
      <c r="A584" s="373">
        <v>113510</v>
      </c>
      <c r="B584" s="390">
        <f t="shared" si="233"/>
        <v>113.51</v>
      </c>
      <c r="C584" s="363">
        <f t="shared" si="214"/>
        <v>149.14901592618219</v>
      </c>
      <c r="D584" s="364">
        <f t="shared" si="215"/>
        <v>1.5640915725857076</v>
      </c>
      <c r="E584" s="364">
        <f t="shared" si="216"/>
        <v>4.3528579515970485</v>
      </c>
      <c r="F584" s="365">
        <f t="shared" si="217"/>
        <v>1.3389918374296617</v>
      </c>
      <c r="G584" s="364">
        <f t="shared" si="218"/>
        <v>1.5077581637197428</v>
      </c>
      <c r="H584" s="365">
        <f t="shared" si="219"/>
        <v>-0.84566152467435951</v>
      </c>
      <c r="I584" s="363">
        <f t="shared" si="220"/>
        <v>385224.13548066182</v>
      </c>
      <c r="J584" s="366">
        <f t="shared" si="221"/>
        <v>1.5707937309035496</v>
      </c>
      <c r="K584" s="374">
        <f t="shared" si="237"/>
        <v>93.784573262628982</v>
      </c>
      <c r="L584" s="375">
        <f t="shared" si="238"/>
        <v>1.5601333902887673</v>
      </c>
      <c r="M584" s="363">
        <f t="shared" si="222"/>
        <v>3.1015014039986415</v>
      </c>
      <c r="N584" s="366">
        <f t="shared" si="223"/>
        <v>1.2425066814588672</v>
      </c>
      <c r="O584" s="367">
        <f t="shared" si="224"/>
        <v>1.4311773580130336</v>
      </c>
      <c r="P584" s="368">
        <f t="shared" si="225"/>
        <v>1.1200031146966405</v>
      </c>
      <c r="Q584" s="369">
        <f t="shared" si="226"/>
        <v>-25.756938446785465</v>
      </c>
      <c r="R584" s="370">
        <f t="shared" si="227"/>
        <v>-197.32273418328921</v>
      </c>
      <c r="S584" s="372">
        <f t="shared" si="228"/>
        <v>-17.322734183289214</v>
      </c>
      <c r="U584" s="345">
        <f t="shared" si="234"/>
        <v>113510</v>
      </c>
      <c r="V584" s="345">
        <f t="shared" si="235"/>
        <v>12884520100</v>
      </c>
      <c r="X584" s="371">
        <f t="shared" si="229"/>
        <v>5.9935930391678269</v>
      </c>
      <c r="Y584" s="372">
        <f t="shared" si="230"/>
        <v>-71.801181471842611</v>
      </c>
      <c r="AA584" s="371">
        <f t="shared" si="231"/>
        <v>14.270068427326329</v>
      </c>
      <c r="AB584" s="372">
        <f t="shared" si="232"/>
        <v>-125.52155271144663</v>
      </c>
      <c r="AD584">
        <f t="shared" si="236"/>
        <v>0</v>
      </c>
      <c r="AE584">
        <f t="shared" si="239"/>
        <v>0</v>
      </c>
    </row>
    <row r="585" spans="1:31" x14ac:dyDescent="0.2">
      <c r="A585" s="373">
        <v>114820</v>
      </c>
      <c r="B585" s="390">
        <f t="shared" si="233"/>
        <v>114.82</v>
      </c>
      <c r="C585" s="363">
        <f t="shared" si="214"/>
        <v>150.87024293528381</v>
      </c>
      <c r="D585" s="364">
        <f t="shared" si="215"/>
        <v>1.5641680659603632</v>
      </c>
      <c r="E585" s="364">
        <f t="shared" si="216"/>
        <v>4.4004565718786175</v>
      </c>
      <c r="F585" s="365">
        <f t="shared" si="217"/>
        <v>1.3415443379888121</v>
      </c>
      <c r="G585" s="364">
        <f t="shared" si="218"/>
        <v>1.5175292299015735</v>
      </c>
      <c r="H585" s="365">
        <f t="shared" si="219"/>
        <v>-0.85135322527642365</v>
      </c>
      <c r="I585" s="363">
        <f t="shared" si="220"/>
        <v>389669.94305247301</v>
      </c>
      <c r="J585" s="366">
        <f t="shared" si="221"/>
        <v>1.5707937605204949</v>
      </c>
      <c r="K585" s="374">
        <f t="shared" si="237"/>
        <v>94.866803043842864</v>
      </c>
      <c r="L585" s="375">
        <f t="shared" si="238"/>
        <v>1.5602550363966265</v>
      </c>
      <c r="M585" s="363">
        <f t="shared" si="222"/>
        <v>3.1335933105547076</v>
      </c>
      <c r="N585" s="366">
        <f t="shared" si="223"/>
        <v>1.245992940974836</v>
      </c>
      <c r="O585" s="367">
        <f t="shared" si="224"/>
        <v>1.4408228783458266</v>
      </c>
      <c r="P585" s="368">
        <f t="shared" si="225"/>
        <v>1.1299585273461681</v>
      </c>
      <c r="Q585" s="369">
        <f t="shared" si="226"/>
        <v>-25.853796949300097</v>
      </c>
      <c r="R585" s="370">
        <f t="shared" si="227"/>
        <v>-198.27016281843939</v>
      </c>
      <c r="S585" s="372">
        <f t="shared" si="228"/>
        <v>-18.270162818439388</v>
      </c>
      <c r="U585" s="345">
        <f t="shared" si="234"/>
        <v>114820</v>
      </c>
      <c r="V585" s="345">
        <f t="shared" si="235"/>
        <v>13183632400</v>
      </c>
      <c r="X585" s="371">
        <f t="shared" si="229"/>
        <v>5.9041688498923008</v>
      </c>
      <c r="Y585" s="372">
        <f t="shared" si="230"/>
        <v>-71.993961316966647</v>
      </c>
      <c r="AA585" s="371">
        <f t="shared" si="231"/>
        <v>14.262634114087225</v>
      </c>
      <c r="AB585" s="372">
        <f t="shared" si="232"/>
        <v>-126.27620150147271</v>
      </c>
      <c r="AD585">
        <f t="shared" si="236"/>
        <v>0</v>
      </c>
      <c r="AE585">
        <f t="shared" si="239"/>
        <v>0</v>
      </c>
    </row>
    <row r="586" spans="1:31" x14ac:dyDescent="0.2">
      <c r="A586" s="373">
        <v>116155</v>
      </c>
      <c r="B586" s="390">
        <f t="shared" si="233"/>
        <v>116.155</v>
      </c>
      <c r="C586" s="363">
        <f t="shared" si="214"/>
        <v>152.62431867559894</v>
      </c>
      <c r="D586" s="364">
        <f t="shared" si="215"/>
        <v>1.5642442441145086</v>
      </c>
      <c r="E586" s="364">
        <f t="shared" si="216"/>
        <v>4.4489924215443155</v>
      </c>
      <c r="F586" s="365">
        <f t="shared" si="217"/>
        <v>1.3440893430017209</v>
      </c>
      <c r="G586" s="364">
        <f t="shared" si="218"/>
        <v>1.5275366899042022</v>
      </c>
      <c r="H586" s="365">
        <f t="shared" si="219"/>
        <v>-0.85707844400154198</v>
      </c>
      <c r="I586" s="363">
        <f t="shared" si="220"/>
        <v>394200.59428023512</v>
      </c>
      <c r="J586" s="366">
        <f t="shared" si="221"/>
        <v>1.5707937900153623</v>
      </c>
      <c r="K586" s="374">
        <f t="shared" si="237"/>
        <v>95.969687476531135</v>
      </c>
      <c r="L586" s="375">
        <f t="shared" si="238"/>
        <v>1.5603761814021604</v>
      </c>
      <c r="M586" s="363">
        <f t="shared" si="222"/>
        <v>3.1663360388366519</v>
      </c>
      <c r="N586" s="366">
        <f t="shared" si="223"/>
        <v>1.2494729843553196</v>
      </c>
      <c r="O586" s="367">
        <f t="shared" si="224"/>
        <v>1.4507543225130954</v>
      </c>
      <c r="P586" s="368">
        <f t="shared" si="225"/>
        <v>1.1400313456114002</v>
      </c>
      <c r="Q586" s="369">
        <f t="shared" si="226"/>
        <v>-25.951793707935312</v>
      </c>
      <c r="R586" s="370">
        <f t="shared" si="227"/>
        <v>-199.22632269494432</v>
      </c>
      <c r="S586" s="372">
        <f t="shared" si="228"/>
        <v>-19.226322694944315</v>
      </c>
      <c r="U586" s="345">
        <f t="shared" si="234"/>
        <v>116155</v>
      </c>
      <c r="V586" s="345">
        <f t="shared" si="235"/>
        <v>13491984025</v>
      </c>
      <c r="X586" s="371">
        <f t="shared" si="229"/>
        <v>5.813870368901334</v>
      </c>
      <c r="Y586" s="372">
        <f t="shared" si="230"/>
        <v>-72.186413707815959</v>
      </c>
      <c r="AA586" s="371">
        <f t="shared" si="231"/>
        <v>14.254935836442979</v>
      </c>
      <c r="AB586" s="372">
        <f t="shared" si="232"/>
        <v>-127.03990898712834</v>
      </c>
      <c r="AD586">
        <f t="shared" si="236"/>
        <v>0</v>
      </c>
      <c r="AE586">
        <f t="shared" si="239"/>
        <v>0</v>
      </c>
    </row>
    <row r="587" spans="1:31" x14ac:dyDescent="0.2">
      <c r="A587" s="373">
        <v>117490</v>
      </c>
      <c r="B587" s="390">
        <f t="shared" si="233"/>
        <v>117.49</v>
      </c>
      <c r="C587" s="363">
        <f t="shared" si="214"/>
        <v>154.37839528148311</v>
      </c>
      <c r="D587" s="364">
        <f t="shared" si="215"/>
        <v>1.564318691167808</v>
      </c>
      <c r="E587" s="364">
        <f t="shared" si="216"/>
        <v>4.4975564655019191</v>
      </c>
      <c r="F587" s="365">
        <f t="shared" si="217"/>
        <v>1.3465794025716311</v>
      </c>
      <c r="G587" s="364">
        <f t="shared" si="218"/>
        <v>1.5375935669914924</v>
      </c>
      <c r="H587" s="365">
        <f t="shared" si="219"/>
        <v>-0.86272895250964332</v>
      </c>
      <c r="I587" s="363">
        <f t="shared" si="220"/>
        <v>398731.24550799758</v>
      </c>
      <c r="J587" s="366">
        <f t="shared" si="221"/>
        <v>1.5707938188399488</v>
      </c>
      <c r="K587" s="374">
        <f t="shared" si="237"/>
        <v>97.072573285676995</v>
      </c>
      <c r="L587" s="375">
        <f t="shared" si="238"/>
        <v>1.5604945736420017</v>
      </c>
      <c r="M587" s="363">
        <f t="shared" si="222"/>
        <v>3.1991163284544717</v>
      </c>
      <c r="N587" s="366">
        <f t="shared" si="223"/>
        <v>1.2528817506037073</v>
      </c>
      <c r="O587" s="367">
        <f t="shared" si="224"/>
        <v>1.460788409483583</v>
      </c>
      <c r="P587" s="368">
        <f t="shared" si="225"/>
        <v>1.1500312732310565</v>
      </c>
      <c r="Q587" s="369">
        <f t="shared" si="226"/>
        <v>-26.049092204537594</v>
      </c>
      <c r="R587" s="370">
        <f t="shared" si="227"/>
        <v>-200.17314842678138</v>
      </c>
      <c r="S587" s="372">
        <f t="shared" si="228"/>
        <v>-20.173148426781381</v>
      </c>
      <c r="U587" s="345">
        <f t="shared" si="234"/>
        <v>117490</v>
      </c>
      <c r="V587" s="345">
        <f t="shared" si="235"/>
        <v>13803900100</v>
      </c>
      <c r="X587" s="371">
        <f t="shared" si="229"/>
        <v>5.72439914506535</v>
      </c>
      <c r="Y587" s="372">
        <f t="shared" si="230"/>
        <v>-72.374939903267787</v>
      </c>
      <c r="AA587" s="371">
        <f t="shared" si="231"/>
        <v>14.247108563676679</v>
      </c>
      <c r="AB587" s="372">
        <f t="shared" si="232"/>
        <v>-127.79820852351359</v>
      </c>
      <c r="AD587">
        <f t="shared" si="236"/>
        <v>0</v>
      </c>
      <c r="AE587">
        <f t="shared" si="239"/>
        <v>0</v>
      </c>
    </row>
    <row r="588" spans="1:31" x14ac:dyDescent="0.2">
      <c r="A588" s="373">
        <v>118860</v>
      </c>
      <c r="B588" s="390">
        <f t="shared" si="233"/>
        <v>118.86</v>
      </c>
      <c r="C588" s="363">
        <f t="shared" si="214"/>
        <v>156.17845978380734</v>
      </c>
      <c r="D588" s="364">
        <f t="shared" si="215"/>
        <v>1.564393351413832</v>
      </c>
      <c r="E588" s="364">
        <f t="shared" si="216"/>
        <v>4.5474220894967186</v>
      </c>
      <c r="F588" s="365">
        <f t="shared" si="217"/>
        <v>1.349079433841851</v>
      </c>
      <c r="G588" s="364">
        <f t="shared" si="218"/>
        <v>1.5479644748032373</v>
      </c>
      <c r="H588" s="365">
        <f t="shared" si="219"/>
        <v>-0.86845108032449636</v>
      </c>
      <c r="I588" s="363">
        <f t="shared" si="220"/>
        <v>403380.67785409122</v>
      </c>
      <c r="J588" s="366">
        <f t="shared" si="221"/>
        <v>1.570793847747052</v>
      </c>
      <c r="K588" s="374">
        <f t="shared" si="237"/>
        <v>98.204375086476389</v>
      </c>
      <c r="L588" s="375">
        <f t="shared" si="238"/>
        <v>1.5606133050949946</v>
      </c>
      <c r="M588" s="363">
        <f t="shared" si="222"/>
        <v>3.2327938794657842</v>
      </c>
      <c r="N588" s="366">
        <f t="shared" si="223"/>
        <v>1.256307972766411</v>
      </c>
      <c r="O588" s="367">
        <f t="shared" si="224"/>
        <v>1.4711921042942691</v>
      </c>
      <c r="P588" s="368">
        <f t="shared" si="225"/>
        <v>1.1602179977559921</v>
      </c>
      <c r="Q588" s="369">
        <f t="shared" si="226"/>
        <v>-26.148234533381469</v>
      </c>
      <c r="R588" s="370">
        <f t="shared" si="227"/>
        <v>-201.13520191510784</v>
      </c>
      <c r="S588" s="372">
        <f t="shared" si="228"/>
        <v>-21.135201915107842</v>
      </c>
      <c r="U588" s="345">
        <f t="shared" si="234"/>
        <v>118860</v>
      </c>
      <c r="V588" s="345">
        <f t="shared" si="235"/>
        <v>14127699600</v>
      </c>
      <c r="X588" s="371">
        <f t="shared" si="229"/>
        <v>5.6334289275026519</v>
      </c>
      <c r="Y588" s="372">
        <f t="shared" si="230"/>
        <v>-72.564446818184507</v>
      </c>
      <c r="AA588" s="371">
        <f t="shared" si="231"/>
        <v>14.2389364523955</v>
      </c>
      <c r="AB588" s="372">
        <f t="shared" si="232"/>
        <v>-128.57075509692334</v>
      </c>
      <c r="AD588">
        <f t="shared" si="236"/>
        <v>0</v>
      </c>
      <c r="AE588">
        <f t="shared" si="239"/>
        <v>0</v>
      </c>
    </row>
    <row r="589" spans="1:31" x14ac:dyDescent="0.2">
      <c r="A589" s="373">
        <v>120230</v>
      </c>
      <c r="B589" s="390">
        <f t="shared" si="233"/>
        <v>120.23</v>
      </c>
      <c r="C589" s="363">
        <f t="shared" ref="C589:C613" si="240">SQRT(1+(A589/pole1)^2)</f>
        <v>157.97852513685515</v>
      </c>
      <c r="D589" s="364">
        <f t="shared" ref="D589:D613" si="241">ATAN(A589/pole1)</f>
        <v>1.5644663102477119</v>
      </c>
      <c r="E589" s="364">
        <f t="shared" ref="E589:E613" si="242">SQRT(1+(A589/Zero1)^2)</f>
        <v>4.5973155189172825</v>
      </c>
      <c r="F589" s="365">
        <f t="shared" ref="F589:F613" si="243">ATAN(A589/Zero1)</f>
        <v>1.3515252157887847</v>
      </c>
      <c r="G589" s="364">
        <f t="shared" ref="G589:G613" si="244">IF(VIN_nom&gt;Vout, 1, SQRT(1+(A589/z_RHP)^2))</f>
        <v>1.5583853916606125</v>
      </c>
      <c r="H589" s="365">
        <f t="shared" ref="H589:H613" si="245">IF(VIN_nom&gt;Vout, 0, -ATAN(A589/z_RHP))</f>
        <v>-0.87409686325601776</v>
      </c>
      <c r="I589" s="363">
        <f t="shared" ref="I589:I613" si="246">SQRT(1+(A589/Pole2)^2)</f>
        <v>408030.11020018515</v>
      </c>
      <c r="J589" s="366">
        <f t="shared" ref="J589:J613" si="247">ATAN(A589/Pole2)</f>
        <v>1.5707938759953723</v>
      </c>
      <c r="K589" s="374">
        <f t="shared" si="237"/>
        <v>99.336178240131545</v>
      </c>
      <c r="L589" s="375">
        <f t="shared" si="238"/>
        <v>1.5607293309767523</v>
      </c>
      <c r="M589" s="363">
        <f t="shared" ref="M589:M613" si="248">SQRT(1+(A589/pole4)^2)</f>
        <v>3.2665085974617236</v>
      </c>
      <c r="N589" s="366">
        <f t="shared" ref="N589:N613" si="249">ATAN(A589/pole4)</f>
        <v>1.259663507295965</v>
      </c>
      <c r="O589" s="367">
        <f t="shared" ref="O589:O613" si="250">SQRT((1-(V589/pterm2))^2+(A589/pterm1)^2)</f>
        <v>1.4817035487137182</v>
      </c>
      <c r="P589" s="368">
        <f t="shared" ref="P589:P613" si="251">IF((ATAN((A589/pterm1)/(1-A589^2/pterm2))&gt;0),ATAN((A589/pterm1)/(1-A589^2/pterm2)),PI()+ATAN((A589/pterm1)/(1-A589^2/pterm2)))</f>
        <v>1.1703288000048544</v>
      </c>
      <c r="Q589" s="369">
        <f t="shared" ref="Q589:Q613" si="252">20*LOG10(((E589*K589*G589)/(C589*I589*O589*M589))*Adc)</f>
        <v>-26.246679192218451</v>
      </c>
      <c r="R589" s="370">
        <f t="shared" ref="R589:R613" si="253">((F589+L589+H589)-(D589+J589+P589+N589))*radconv</f>
        <v>-202.08764678838585</v>
      </c>
      <c r="S589" s="372">
        <f t="shared" ref="S589:S613" si="254">IF(R589&gt;0,R589,R589+180)</f>
        <v>-22.087646788385854</v>
      </c>
      <c r="U589" s="345">
        <f t="shared" si="234"/>
        <v>120230</v>
      </c>
      <c r="V589" s="345">
        <f t="shared" si="235"/>
        <v>14455252900</v>
      </c>
      <c r="X589" s="371">
        <f t="shared" ref="X589:X613" si="255">20*LOG10((K589/(I589*M589))*AEA)</f>
        <v>5.5433029154744498</v>
      </c>
      <c r="Y589" s="372">
        <f t="shared" ref="Y589:Y613" si="256">(L589-(J589+N589))*radconv</f>
        <v>-72.750058610120973</v>
      </c>
      <c r="AA589" s="371">
        <f t="shared" ref="AA589:AA613" si="257">20*LOG10((E589*G589/(C589*O589))*Acs*Am)</f>
        <v>14.230617805586725</v>
      </c>
      <c r="AB589" s="372">
        <f t="shared" ref="AB589:AB613" si="258">(F589+H589-(D589+P589))*radconv</f>
        <v>-129.33758817826487</v>
      </c>
      <c r="AD589">
        <f t="shared" si="236"/>
        <v>0</v>
      </c>
      <c r="AE589">
        <f t="shared" si="239"/>
        <v>0</v>
      </c>
    </row>
    <row r="590" spans="1:31" x14ac:dyDescent="0.2">
      <c r="A590" s="373">
        <v>126030</v>
      </c>
      <c r="B590" s="390">
        <f t="shared" ref="B590:B613" si="259">A590/1000</f>
        <v>126.03</v>
      </c>
      <c r="C590" s="363">
        <f t="shared" si="240"/>
        <v>165.59924855622504</v>
      </c>
      <c r="D590" s="364">
        <f t="shared" si="241"/>
        <v>1.5647576153489386</v>
      </c>
      <c r="E590" s="364">
        <f t="shared" si="242"/>
        <v>4.8088312836566649</v>
      </c>
      <c r="F590" s="365">
        <f t="shared" si="243"/>
        <v>1.3613168999182961</v>
      </c>
      <c r="G590" s="364">
        <f t="shared" si="244"/>
        <v>1.6030346233871098</v>
      </c>
      <c r="H590" s="365">
        <f t="shared" si="245"/>
        <v>-0.89717952828919589</v>
      </c>
      <c r="I590" s="363">
        <f t="shared" si="246"/>
        <v>427713.83838073228</v>
      </c>
      <c r="J590" s="366">
        <f t="shared" si="247"/>
        <v>1.5707939887830993</v>
      </c>
      <c r="K590" s="374">
        <f t="shared" si="237"/>
        <v>104.12776760713429</v>
      </c>
      <c r="L590" s="375">
        <f t="shared" si="238"/>
        <v>1.561192592890899</v>
      </c>
      <c r="M590" s="363">
        <f t="shared" si="248"/>
        <v>3.4096287878011484</v>
      </c>
      <c r="N590" s="366">
        <f t="shared" si="249"/>
        <v>1.2731330351259198</v>
      </c>
      <c r="O590" s="367">
        <f t="shared" si="250"/>
        <v>1.5273945118660679</v>
      </c>
      <c r="P590" s="368">
        <f t="shared" si="251"/>
        <v>1.212302798916999</v>
      </c>
      <c r="Q590" s="369">
        <f t="shared" si="252"/>
        <v>-26.656123600615011</v>
      </c>
      <c r="R590" s="370">
        <f t="shared" si="253"/>
        <v>-206.01599805050867</v>
      </c>
      <c r="S590" s="372">
        <f t="shared" si="254"/>
        <v>-26.015998050508671</v>
      </c>
      <c r="U590" s="345">
        <f t="shared" ref="U590:U613" si="260">IF(Q590&lt;0,A590,1000000000)</f>
        <v>126030</v>
      </c>
      <c r="V590" s="345">
        <f t="shared" ref="V590:V613" si="261">A590^2</f>
        <v>15883560900</v>
      </c>
      <c r="X590" s="371">
        <f t="shared" si="255"/>
        <v>5.1707974666287679</v>
      </c>
      <c r="Y590" s="372">
        <f t="shared" si="256"/>
        <v>-73.495269217433901</v>
      </c>
      <c r="AA590" s="371">
        <f t="shared" si="257"/>
        <v>14.193678846035846</v>
      </c>
      <c r="AB590" s="372">
        <f t="shared" si="258"/>
        <v>-132.52072883307477</v>
      </c>
      <c r="AD590">
        <f t="shared" ref="AD590:AD613" si="262">SUM((Q591&lt;0)*(Q590&gt;0))*A590</f>
        <v>0</v>
      </c>
      <c r="AE590">
        <f t="shared" si="239"/>
        <v>0</v>
      </c>
    </row>
    <row r="591" spans="1:31" x14ac:dyDescent="0.2">
      <c r="A591" s="373">
        <v>131830</v>
      </c>
      <c r="B591" s="390">
        <f t="shared" si="259"/>
        <v>131.83000000000001</v>
      </c>
      <c r="C591" s="363">
        <f t="shared" si="240"/>
        <v>173.21998479165737</v>
      </c>
      <c r="D591" s="364">
        <f t="shared" si="241"/>
        <v>1.5650232887941968</v>
      </c>
      <c r="E591" s="364">
        <f t="shared" si="242"/>
        <v>5.0207692337572807</v>
      </c>
      <c r="F591" s="365">
        <f t="shared" si="243"/>
        <v>1.370282726285909</v>
      </c>
      <c r="G591" s="364">
        <f t="shared" si="244"/>
        <v>1.6484914435313944</v>
      </c>
      <c r="H591" s="365">
        <f t="shared" si="245"/>
        <v>-0.91900029563729502</v>
      </c>
      <c r="I591" s="363">
        <f t="shared" si="246"/>
        <v>447397.56656128448</v>
      </c>
      <c r="J591" s="366">
        <f t="shared" si="247"/>
        <v>1.5707940916463963</v>
      </c>
      <c r="K591" s="374">
        <f t="shared" si="237"/>
        <v>108.91937735497714</v>
      </c>
      <c r="L591" s="375">
        <f t="shared" si="238"/>
        <v>1.5616150950105048</v>
      </c>
      <c r="M591" s="363">
        <f t="shared" si="248"/>
        <v>3.553317686747151</v>
      </c>
      <c r="N591" s="366">
        <f t="shared" si="249"/>
        <v>1.2855153004402156</v>
      </c>
      <c r="O591" s="367">
        <f t="shared" si="250"/>
        <v>1.5750022823744212</v>
      </c>
      <c r="P591" s="368">
        <f t="shared" si="251"/>
        <v>1.2529587666768469</v>
      </c>
      <c r="Q591" s="369">
        <f t="shared" si="252"/>
        <v>-27.054598459517166</v>
      </c>
      <c r="R591" s="370">
        <f t="shared" si="253"/>
        <v>-209.78241909934965</v>
      </c>
      <c r="S591" s="372">
        <f t="shared" si="254"/>
        <v>-29.782419099349653</v>
      </c>
      <c r="U591" s="345">
        <f t="shared" si="260"/>
        <v>131830</v>
      </c>
      <c r="V591" s="345">
        <f t="shared" si="261"/>
        <v>17379148900</v>
      </c>
      <c r="X591" s="371">
        <f t="shared" si="255"/>
        <v>4.8122242281927488</v>
      </c>
      <c r="Y591" s="372">
        <f t="shared" si="256"/>
        <v>-74.180519066881317</v>
      </c>
      <c r="AA591" s="371">
        <f t="shared" si="257"/>
        <v>14.15377722556971</v>
      </c>
      <c r="AB591" s="372">
        <f t="shared" si="258"/>
        <v>-135.60190003246834</v>
      </c>
      <c r="AD591">
        <f t="shared" si="262"/>
        <v>0</v>
      </c>
      <c r="AE591">
        <f t="shared" si="239"/>
        <v>0</v>
      </c>
    </row>
    <row r="592" spans="1:31" x14ac:dyDescent="0.2">
      <c r="A592" s="373">
        <v>144540</v>
      </c>
      <c r="B592" s="390">
        <f t="shared" si="259"/>
        <v>144.54</v>
      </c>
      <c r="C592" s="363">
        <f t="shared" si="240"/>
        <v>189.91994578519248</v>
      </c>
      <c r="D592" s="364">
        <f t="shared" si="241"/>
        <v>1.5655309260671246</v>
      </c>
      <c r="E592" s="364">
        <f t="shared" si="242"/>
        <v>5.4864427921425571</v>
      </c>
      <c r="F592" s="365">
        <f t="shared" si="243"/>
        <v>1.3875042754232416</v>
      </c>
      <c r="G592" s="364">
        <f t="shared" si="244"/>
        <v>1.7506195827285094</v>
      </c>
      <c r="H592" s="365">
        <f t="shared" si="245"/>
        <v>-0.96279716637301893</v>
      </c>
      <c r="I592" s="363">
        <f t="shared" si="246"/>
        <v>490532.0812466123</v>
      </c>
      <c r="J592" s="366">
        <f t="shared" si="247"/>
        <v>1.5707942881922481</v>
      </c>
      <c r="K592" s="374">
        <f t="shared" si="237"/>
        <v>119.41967110121824</v>
      </c>
      <c r="L592" s="375">
        <f t="shared" si="238"/>
        <v>1.5624223991330228</v>
      </c>
      <c r="M592" s="363">
        <f t="shared" si="248"/>
        <v>3.8698733681142063</v>
      </c>
      <c r="N592" s="366">
        <f t="shared" si="249"/>
        <v>1.3094241283802126</v>
      </c>
      <c r="O592" s="367">
        <f t="shared" si="250"/>
        <v>1.6859855571765316</v>
      </c>
      <c r="P592" s="368">
        <f t="shared" si="251"/>
        <v>1.3376227734102213</v>
      </c>
      <c r="Q592" s="369">
        <f t="shared" si="252"/>
        <v>-27.89430563094443</v>
      </c>
      <c r="R592" s="370">
        <f t="shared" si="253"/>
        <v>-217.50867968703096</v>
      </c>
      <c r="S592" s="372">
        <f t="shared" si="254"/>
        <v>-37.508679687030963</v>
      </c>
      <c r="U592" s="345">
        <f t="shared" si="260"/>
        <v>144540</v>
      </c>
      <c r="V592" s="345">
        <f t="shared" si="261"/>
        <v>20891811600</v>
      </c>
      <c r="X592" s="371">
        <f t="shared" si="255"/>
        <v>4.0709083480429396</v>
      </c>
      <c r="Y592" s="372">
        <f t="shared" si="256"/>
        <v>-75.504150144704084</v>
      </c>
      <c r="AA592" s="371">
        <f t="shared" si="257"/>
        <v>14.05538593429225</v>
      </c>
      <c r="AB592" s="372">
        <f t="shared" si="258"/>
        <v>-142.00452954232691</v>
      </c>
      <c r="AD592">
        <f t="shared" si="262"/>
        <v>0</v>
      </c>
      <c r="AE592">
        <f t="shared" si="239"/>
        <v>0</v>
      </c>
    </row>
    <row r="593" spans="1:31" x14ac:dyDescent="0.2">
      <c r="A593" s="373">
        <v>158490</v>
      </c>
      <c r="B593" s="390">
        <f t="shared" si="259"/>
        <v>158.49</v>
      </c>
      <c r="C593" s="363">
        <f t="shared" si="240"/>
        <v>208.24921812624808</v>
      </c>
      <c r="D593" s="364">
        <f t="shared" si="241"/>
        <v>1.5659943695431948</v>
      </c>
      <c r="E593" s="364">
        <f t="shared" si="242"/>
        <v>5.9991156699938504</v>
      </c>
      <c r="F593" s="365">
        <f t="shared" si="243"/>
        <v>1.4033233306747044</v>
      </c>
      <c r="G593" s="364">
        <f t="shared" si="244"/>
        <v>1.8661285981391986</v>
      </c>
      <c r="H593" s="365">
        <f t="shared" si="245"/>
        <v>-1.0052599574388177</v>
      </c>
      <c r="I593" s="363">
        <f t="shared" si="246"/>
        <v>537874.84126711218</v>
      </c>
      <c r="J593" s="366">
        <f t="shared" si="247"/>
        <v>1.5707944676263257</v>
      </c>
      <c r="K593" s="374">
        <f t="shared" si="237"/>
        <v>130.94445827103263</v>
      </c>
      <c r="L593" s="375">
        <f t="shared" si="238"/>
        <v>1.5631594268936451</v>
      </c>
      <c r="M593" s="363">
        <f t="shared" si="248"/>
        <v>4.2194573647806513</v>
      </c>
      <c r="N593" s="366">
        <f t="shared" si="249"/>
        <v>1.3315224021077956</v>
      </c>
      <c r="O593" s="367">
        <f t="shared" si="250"/>
        <v>1.8182469224219968</v>
      </c>
      <c r="P593" s="368">
        <f t="shared" si="251"/>
        <v>1.4239410129955925</v>
      </c>
      <c r="Q593" s="369">
        <f t="shared" si="252"/>
        <v>-28.770866784147294</v>
      </c>
      <c r="R593" s="370">
        <f t="shared" si="253"/>
        <v>-225.23139700680409</v>
      </c>
      <c r="S593" s="372">
        <f t="shared" si="254"/>
        <v>-45.231397006804087</v>
      </c>
      <c r="U593" s="345">
        <f t="shared" si="260"/>
        <v>158490</v>
      </c>
      <c r="V593" s="345">
        <f t="shared" si="261"/>
        <v>25119080100</v>
      </c>
      <c r="X593" s="371">
        <f t="shared" si="255"/>
        <v>3.3196601205824896</v>
      </c>
      <c r="Y593" s="372">
        <f t="shared" si="256"/>
        <v>-76.728069665965648</v>
      </c>
      <c r="AA593" s="371">
        <f t="shared" si="257"/>
        <v>13.930073008549842</v>
      </c>
      <c r="AB593" s="372">
        <f t="shared" si="258"/>
        <v>-148.50332734083844</v>
      </c>
      <c r="AD593">
        <f t="shared" si="262"/>
        <v>0</v>
      </c>
      <c r="AE593">
        <f t="shared" si="239"/>
        <v>0</v>
      </c>
    </row>
    <row r="594" spans="1:31" x14ac:dyDescent="0.2">
      <c r="A594" s="373">
        <v>173780</v>
      </c>
      <c r="B594" s="390">
        <f t="shared" si="259"/>
        <v>173.78</v>
      </c>
      <c r="C594" s="363">
        <f t="shared" si="240"/>
        <v>228.33919448710807</v>
      </c>
      <c r="D594" s="364">
        <f t="shared" si="241"/>
        <v>1.5664168631689945</v>
      </c>
      <c r="E594" s="364">
        <f t="shared" si="242"/>
        <v>6.562476382893534</v>
      </c>
      <c r="F594" s="365">
        <f t="shared" si="243"/>
        <v>1.4178188579741393</v>
      </c>
      <c r="G594" s="364">
        <f t="shared" si="244"/>
        <v>1.9961252371458829</v>
      </c>
      <c r="H594" s="365">
        <f t="shared" si="245"/>
        <v>-1.0460764691992095</v>
      </c>
      <c r="I594" s="363">
        <f t="shared" si="246"/>
        <v>589765.221246587</v>
      </c>
      <c r="J594" s="366">
        <f t="shared" si="247"/>
        <v>1.5707946312049161</v>
      </c>
      <c r="K594" s="374">
        <f t="shared" si="237"/>
        <v>143.5763538889878</v>
      </c>
      <c r="L594" s="375">
        <f t="shared" si="238"/>
        <v>1.5638313352893776</v>
      </c>
      <c r="M594" s="363">
        <f t="shared" si="248"/>
        <v>4.6046110451766333</v>
      </c>
      <c r="N594" s="366">
        <f t="shared" si="249"/>
        <v>1.3518782911705713</v>
      </c>
      <c r="O594" s="367">
        <f t="shared" si="250"/>
        <v>1.9757032977643678</v>
      </c>
      <c r="P594" s="368">
        <f t="shared" si="251"/>
        <v>1.5112283610852235</v>
      </c>
      <c r="Q594" s="369">
        <f t="shared" si="252"/>
        <v>-29.68642063194072</v>
      </c>
      <c r="R594" s="370">
        <f t="shared" si="253"/>
        <v>-232.8927004784569</v>
      </c>
      <c r="S594" s="372">
        <f t="shared" si="254"/>
        <v>-52.892700478456902</v>
      </c>
      <c r="U594" s="345">
        <f t="shared" si="260"/>
        <v>173780</v>
      </c>
      <c r="V594" s="345">
        <f t="shared" si="261"/>
        <v>30199488400</v>
      </c>
      <c r="X594" s="371">
        <f t="shared" si="255"/>
        <v>2.5608905512288165</v>
      </c>
      <c r="Y594" s="372">
        <f t="shared" si="256"/>
        <v>-77.855888055855928</v>
      </c>
      <c r="AA594" s="371">
        <f t="shared" si="257"/>
        <v>13.773288730110085</v>
      </c>
      <c r="AB594" s="372">
        <f t="shared" si="258"/>
        <v>-155.03681242260095</v>
      </c>
      <c r="AD594">
        <f t="shared" si="262"/>
        <v>0</v>
      </c>
      <c r="AE594">
        <f t="shared" si="239"/>
        <v>0</v>
      </c>
    </row>
    <row r="595" spans="1:31" x14ac:dyDescent="0.2">
      <c r="A595" s="373">
        <v>190550</v>
      </c>
      <c r="B595" s="390">
        <f t="shared" si="259"/>
        <v>190.55</v>
      </c>
      <c r="C595" s="363">
        <f t="shared" si="240"/>
        <v>250.37382493905048</v>
      </c>
      <c r="D595" s="364">
        <f t="shared" si="241"/>
        <v>1.5668022884445534</v>
      </c>
      <c r="E595" s="364">
        <f t="shared" si="242"/>
        <v>7.1816923463563622</v>
      </c>
      <c r="F595" s="365">
        <f t="shared" si="243"/>
        <v>1.4310994547784472</v>
      </c>
      <c r="G595" s="364">
        <f t="shared" si="244"/>
        <v>2.1420384600494167</v>
      </c>
      <c r="H595" s="365">
        <f t="shared" si="245"/>
        <v>-1.0850765289618307</v>
      </c>
      <c r="I595" s="363">
        <f t="shared" si="246"/>
        <v>646678.34565836098</v>
      </c>
      <c r="J595" s="366">
        <f t="shared" si="247"/>
        <v>1.5707947804310718</v>
      </c>
      <c r="K595" s="374">
        <f t="shared" si="237"/>
        <v>157.43101951393908</v>
      </c>
      <c r="L595" s="375">
        <f t="shared" si="238"/>
        <v>1.5644442957413245</v>
      </c>
      <c r="M595" s="363">
        <f t="shared" si="248"/>
        <v>5.0288868736783456</v>
      </c>
      <c r="N595" s="366">
        <f t="shared" si="249"/>
        <v>1.3706107935381655</v>
      </c>
      <c r="O595" s="367">
        <f t="shared" si="250"/>
        <v>2.1633762721601393</v>
      </c>
      <c r="P595" s="368">
        <f t="shared" si="251"/>
        <v>1.598950488877027</v>
      </c>
      <c r="Q595" s="369">
        <f t="shared" si="252"/>
        <v>-30.644439883638135</v>
      </c>
      <c r="R595" s="370">
        <f t="shared" si="253"/>
        <v>-240.45268992844049</v>
      </c>
      <c r="S595" s="372">
        <f t="shared" si="254"/>
        <v>-60.452689928440492</v>
      </c>
      <c r="U595" s="345">
        <f t="shared" si="260"/>
        <v>190550</v>
      </c>
      <c r="V595" s="345">
        <f t="shared" si="261"/>
        <v>36309302500</v>
      </c>
      <c r="X595" s="371">
        <f t="shared" si="255"/>
        <v>1.7952767954298281</v>
      </c>
      <c r="Y595" s="372">
        <f t="shared" si="256"/>
        <v>-78.894069885548092</v>
      </c>
      <c r="AA595" s="371">
        <f t="shared" si="257"/>
        <v>13.580883234211656</v>
      </c>
      <c r="AB595" s="372">
        <f t="shared" si="258"/>
        <v>-161.55862004289241</v>
      </c>
      <c r="AD595">
        <f t="shared" si="262"/>
        <v>0</v>
      </c>
      <c r="AE595">
        <f t="shared" si="239"/>
        <v>0</v>
      </c>
    </row>
    <row r="596" spans="1:31" x14ac:dyDescent="0.2">
      <c r="A596" s="373">
        <v>208930</v>
      </c>
      <c r="B596" s="390">
        <f t="shared" si="259"/>
        <v>208.93</v>
      </c>
      <c r="C596" s="363">
        <f t="shared" si="240"/>
        <v>274.52392056291347</v>
      </c>
      <c r="D596" s="364">
        <f t="shared" si="241"/>
        <v>1.5671536489201601</v>
      </c>
      <c r="E596" s="364">
        <f t="shared" si="242"/>
        <v>7.861570565530859</v>
      </c>
      <c r="F596" s="365">
        <f t="shared" si="243"/>
        <v>1.443249737739444</v>
      </c>
      <c r="G596" s="364">
        <f t="shared" si="244"/>
        <v>2.3052024121407886</v>
      </c>
      <c r="H596" s="365">
        <f t="shared" si="245"/>
        <v>-1.1220887800078247</v>
      </c>
      <c r="I596" s="363">
        <f t="shared" si="246"/>
        <v>709055.40151337802</v>
      </c>
      <c r="J596" s="366">
        <f t="shared" si="247"/>
        <v>1.5707949164678645</v>
      </c>
      <c r="K596" s="374">
        <f t="shared" si="237"/>
        <v>172.61585564240664</v>
      </c>
      <c r="L596" s="375">
        <f t="shared" si="238"/>
        <v>1.5650030838166604</v>
      </c>
      <c r="M596" s="363">
        <f t="shared" si="248"/>
        <v>5.4955937267076065</v>
      </c>
      <c r="N596" s="366">
        <f t="shared" si="249"/>
        <v>1.3878129380515709</v>
      </c>
      <c r="O596" s="367">
        <f t="shared" si="250"/>
        <v>2.3870543495056231</v>
      </c>
      <c r="P596" s="368">
        <f t="shared" si="251"/>
        <v>1.6864406814959187</v>
      </c>
      <c r="Q596" s="369">
        <f t="shared" si="252"/>
        <v>-31.646468262979109</v>
      </c>
      <c r="R596" s="370">
        <f t="shared" si="253"/>
        <v>-247.8637279119246</v>
      </c>
      <c r="S596" s="372">
        <f t="shared" si="254"/>
        <v>-67.863727911924599</v>
      </c>
      <c r="U596" s="345">
        <f t="shared" si="260"/>
        <v>208930</v>
      </c>
      <c r="V596" s="345">
        <f t="shared" si="261"/>
        <v>43651744900</v>
      </c>
      <c r="X596" s="371">
        <f t="shared" si="255"/>
        <v>1.024392261853426</v>
      </c>
      <c r="Y596" s="372">
        <f t="shared" si="256"/>
        <v>-79.847671761805103</v>
      </c>
      <c r="AA596" s="371">
        <f t="shared" si="257"/>
        <v>13.349739388447087</v>
      </c>
      <c r="AB596" s="372">
        <f t="shared" si="258"/>
        <v>-168.01605615011948</v>
      </c>
      <c r="AD596">
        <f t="shared" si="262"/>
        <v>0</v>
      </c>
      <c r="AE596">
        <f t="shared" si="239"/>
        <v>0</v>
      </c>
    </row>
    <row r="597" spans="1:31" x14ac:dyDescent="0.2">
      <c r="A597" s="373">
        <v>229090</v>
      </c>
      <c r="B597" s="390">
        <f t="shared" si="259"/>
        <v>229.09</v>
      </c>
      <c r="C597" s="363">
        <f t="shared" si="240"/>
        <v>301.01285002968348</v>
      </c>
      <c r="D597" s="364">
        <f t="shared" si="241"/>
        <v>1.567474203372853</v>
      </c>
      <c r="E597" s="364">
        <f t="shared" si="242"/>
        <v>8.6084046801893166</v>
      </c>
      <c r="F597" s="365">
        <f t="shared" si="243"/>
        <v>1.4543679201798958</v>
      </c>
      <c r="G597" s="364">
        <f t="shared" si="244"/>
        <v>2.4872968717567994</v>
      </c>
      <c r="H597" s="365">
        <f t="shared" si="245"/>
        <v>-1.1570494278411254</v>
      </c>
      <c r="I597" s="363">
        <f t="shared" si="246"/>
        <v>777473.32567210356</v>
      </c>
      <c r="J597" s="366">
        <f t="shared" si="247"/>
        <v>1.5707950405771358</v>
      </c>
      <c r="K597" s="374">
        <f t="shared" si="237"/>
        <v>189.27130960927613</v>
      </c>
      <c r="L597" s="375">
        <f t="shared" si="238"/>
        <v>1.5655128812766845</v>
      </c>
      <c r="M597" s="363">
        <f t="shared" si="248"/>
        <v>6.0090637306468286</v>
      </c>
      <c r="N597" s="366">
        <f t="shared" si="249"/>
        <v>1.4036031986255568</v>
      </c>
      <c r="O597" s="367">
        <f t="shared" si="250"/>
        <v>2.6540647877588333</v>
      </c>
      <c r="P597" s="368">
        <f t="shared" si="251"/>
        <v>1.773167324484624</v>
      </c>
      <c r="Q597" s="369">
        <f t="shared" si="252"/>
        <v>-32.694779400507727</v>
      </c>
      <c r="R597" s="370">
        <f t="shared" si="253"/>
        <v>-255.09275074858886</v>
      </c>
      <c r="S597" s="372">
        <f t="shared" si="254"/>
        <v>-75.092750748588855</v>
      </c>
      <c r="U597" s="345">
        <f t="shared" si="260"/>
        <v>229090</v>
      </c>
      <c r="V597" s="345">
        <f t="shared" si="261"/>
        <v>52482228100</v>
      </c>
      <c r="X597" s="371">
        <f t="shared" si="255"/>
        <v>0.24852391856898967</v>
      </c>
      <c r="Y597" s="372">
        <f t="shared" si="256"/>
        <v>-80.723184919178308</v>
      </c>
      <c r="AA597" s="371">
        <f t="shared" si="257"/>
        <v>13.07729659420291</v>
      </c>
      <c r="AB597" s="372">
        <f t="shared" si="258"/>
        <v>-174.36956582941048</v>
      </c>
      <c r="AD597">
        <f t="shared" si="262"/>
        <v>0</v>
      </c>
      <c r="AE597">
        <f t="shared" si="239"/>
        <v>0</v>
      </c>
    </row>
    <row r="598" spans="1:31" x14ac:dyDescent="0.2">
      <c r="A598" s="373">
        <v>251190</v>
      </c>
      <c r="B598" s="390">
        <f t="shared" si="259"/>
        <v>251.19</v>
      </c>
      <c r="C598" s="363">
        <f t="shared" si="240"/>
        <v>330.05084294324558</v>
      </c>
      <c r="D598" s="364">
        <f t="shared" si="241"/>
        <v>1.5677664859343996</v>
      </c>
      <c r="E598" s="364">
        <f t="shared" si="242"/>
        <v>9.4281262994184072</v>
      </c>
      <c r="F598" s="365">
        <f t="shared" si="243"/>
        <v>1.4645308282212004</v>
      </c>
      <c r="G598" s="364">
        <f t="shared" si="244"/>
        <v>2.6899090998539252</v>
      </c>
      <c r="H598" s="365">
        <f t="shared" si="245"/>
        <v>-1.1898923873467966</v>
      </c>
      <c r="I598" s="363">
        <f t="shared" si="246"/>
        <v>852475.11753262265</v>
      </c>
      <c r="J598" s="366">
        <f t="shared" si="247"/>
        <v>1.5707951537401301</v>
      </c>
      <c r="K598" s="374">
        <f t="shared" si="237"/>
        <v>207.52956756524424</v>
      </c>
      <c r="L598" s="375">
        <f t="shared" si="238"/>
        <v>1.5659777176609069</v>
      </c>
      <c r="M598" s="363">
        <f t="shared" si="248"/>
        <v>6.5733843641023055</v>
      </c>
      <c r="N598" s="366">
        <f t="shared" si="249"/>
        <v>1.4180747051850673</v>
      </c>
      <c r="O598" s="367">
        <f t="shared" si="250"/>
        <v>2.9729075702079064</v>
      </c>
      <c r="P598" s="368">
        <f t="shared" si="251"/>
        <v>1.8585039331747093</v>
      </c>
      <c r="Q598" s="369">
        <f t="shared" si="252"/>
        <v>-33.789504143364567</v>
      </c>
      <c r="R598" s="370">
        <f t="shared" si="253"/>
        <v>-262.10092562758547</v>
      </c>
      <c r="S598" s="372">
        <f t="shared" si="254"/>
        <v>-82.100925627585468</v>
      </c>
      <c r="U598" s="345">
        <f t="shared" si="260"/>
        <v>251190</v>
      </c>
      <c r="V598" s="345">
        <f t="shared" si="261"/>
        <v>63096416100</v>
      </c>
      <c r="X598" s="371">
        <f t="shared" si="255"/>
        <v>-0.53114082268947982</v>
      </c>
      <c r="Y598" s="372">
        <f t="shared" si="256"/>
        <v>-81.52571448993308</v>
      </c>
      <c r="AA598" s="371">
        <f t="shared" si="257"/>
        <v>12.762236592604534</v>
      </c>
      <c r="AB598" s="372">
        <f t="shared" si="258"/>
        <v>-180.57521113765236</v>
      </c>
      <c r="AD598">
        <f t="shared" si="262"/>
        <v>0</v>
      </c>
      <c r="AE598">
        <f t="shared" si="239"/>
        <v>0</v>
      </c>
    </row>
    <row r="599" spans="1:31" x14ac:dyDescent="0.2">
      <c r="A599" s="373">
        <v>275420</v>
      </c>
      <c r="B599" s="390">
        <f t="shared" si="259"/>
        <v>275.42</v>
      </c>
      <c r="C599" s="363">
        <f t="shared" si="240"/>
        <v>361.88754719420069</v>
      </c>
      <c r="D599" s="364">
        <f t="shared" si="241"/>
        <v>1.5680330339422257</v>
      </c>
      <c r="E599" s="364">
        <f t="shared" si="242"/>
        <v>10.327785573993863</v>
      </c>
      <c r="F599" s="365">
        <f t="shared" si="243"/>
        <v>1.4738182114453993</v>
      </c>
      <c r="G599" s="364">
        <f t="shared" si="244"/>
        <v>2.9148955462694524</v>
      </c>
      <c r="H599" s="365">
        <f t="shared" si="245"/>
        <v>-1.2206178413282214</v>
      </c>
      <c r="I599" s="363">
        <f t="shared" si="246"/>
        <v>934705.58888016141</v>
      </c>
      <c r="J599" s="366">
        <f t="shared" si="247"/>
        <v>1.5707952569393058</v>
      </c>
      <c r="K599" s="374">
        <f t="shared" ref="K599:K613" si="263">SQRT(1+(A599/Zero2)^2)</f>
        <v>227.5476009394624</v>
      </c>
      <c r="L599" s="375">
        <f t="shared" ref="L599:L613" si="264">ATAN(A599/Zero2)</f>
        <v>1.5664016277746688</v>
      </c>
      <c r="M599" s="363">
        <f t="shared" si="248"/>
        <v>7.1934159370648185</v>
      </c>
      <c r="N599" s="366">
        <f t="shared" si="249"/>
        <v>1.431328617101447</v>
      </c>
      <c r="O599" s="367">
        <f t="shared" si="250"/>
        <v>3.3540397835159794</v>
      </c>
      <c r="P599" s="368">
        <f t="shared" si="251"/>
        <v>1.9419235528672047</v>
      </c>
      <c r="Q599" s="369">
        <f t="shared" si="252"/>
        <v>-34.930691654478991</v>
      </c>
      <c r="R599" s="370">
        <f t="shared" si="253"/>
        <v>-268.85921169076465</v>
      </c>
      <c r="S599" s="372">
        <f t="shared" si="254"/>
        <v>-88.859211690764653</v>
      </c>
      <c r="U599" s="345">
        <f t="shared" si="260"/>
        <v>275420</v>
      </c>
      <c r="V599" s="345">
        <f t="shared" si="261"/>
        <v>75856176400</v>
      </c>
      <c r="X599" s="371">
        <f t="shared" si="255"/>
        <v>-1.31408069133201</v>
      </c>
      <c r="Y599" s="372">
        <f t="shared" si="256"/>
        <v>-82.260825358085512</v>
      </c>
      <c r="AA599" s="371">
        <f t="shared" si="257"/>
        <v>12.403988950132645</v>
      </c>
      <c r="AB599" s="372">
        <f t="shared" si="258"/>
        <v>-186.59838633267918</v>
      </c>
      <c r="AD599">
        <f t="shared" si="262"/>
        <v>0</v>
      </c>
      <c r="AE599">
        <f t="shared" si="239"/>
        <v>0</v>
      </c>
    </row>
    <row r="600" spans="1:31" x14ac:dyDescent="0.2">
      <c r="A600" s="373">
        <v>302000</v>
      </c>
      <c r="B600" s="390">
        <f t="shared" si="259"/>
        <v>302</v>
      </c>
      <c r="C600" s="363">
        <f t="shared" si="240"/>
        <v>396.81202903421712</v>
      </c>
      <c r="D600" s="364">
        <f t="shared" si="241"/>
        <v>1.5682762392337706</v>
      </c>
      <c r="E600" s="364">
        <f t="shared" si="242"/>
        <v>11.315554024950366</v>
      </c>
      <c r="F600" s="365">
        <f t="shared" si="243"/>
        <v>1.4823069561055553</v>
      </c>
      <c r="G600" s="364">
        <f t="shared" si="244"/>
        <v>3.1643942385206687</v>
      </c>
      <c r="H600" s="365">
        <f t="shared" si="245"/>
        <v>-1.2492687218334266</v>
      </c>
      <c r="I600" s="363">
        <f t="shared" si="246"/>
        <v>1024911.3638870872</v>
      </c>
      <c r="J600" s="366">
        <f t="shared" si="247"/>
        <v>1.5707953511007682</v>
      </c>
      <c r="K600" s="374">
        <f t="shared" si="263"/>
        <v>249.50716655779678</v>
      </c>
      <c r="L600" s="375">
        <f t="shared" si="264"/>
        <v>1.5667884151544134</v>
      </c>
      <c r="M600" s="363">
        <f t="shared" si="248"/>
        <v>7.8747959379352785</v>
      </c>
      <c r="N600" s="366">
        <f t="shared" si="249"/>
        <v>1.4434651128383564</v>
      </c>
      <c r="O600" s="367">
        <f t="shared" si="250"/>
        <v>3.8102986702734469</v>
      </c>
      <c r="P600" s="368">
        <f t="shared" si="251"/>
        <v>2.0229796747206219</v>
      </c>
      <c r="Q600" s="369">
        <f t="shared" si="252"/>
        <v>-36.118104508538671</v>
      </c>
      <c r="R600" s="370">
        <f t="shared" si="253"/>
        <v>-275.34573940515662</v>
      </c>
      <c r="S600" s="372">
        <f t="shared" si="254"/>
        <v>-95.345739405156621</v>
      </c>
      <c r="U600" s="345">
        <f t="shared" si="260"/>
        <v>302000</v>
      </c>
      <c r="V600" s="345">
        <f t="shared" si="261"/>
        <v>91204000000</v>
      </c>
      <c r="X600" s="371">
        <f t="shared" si="255"/>
        <v>-2.1001775227617792</v>
      </c>
      <c r="Y600" s="372">
        <f t="shared" si="256"/>
        <v>-82.934039453284299</v>
      </c>
      <c r="AA600" s="371">
        <f t="shared" si="257"/>
        <v>12.002672927502733</v>
      </c>
      <c r="AB600" s="372">
        <f t="shared" si="258"/>
        <v>-192.41169995187232</v>
      </c>
      <c r="AD600">
        <f t="shared" si="262"/>
        <v>0</v>
      </c>
      <c r="AE600">
        <f t="shared" si="239"/>
        <v>0</v>
      </c>
    </row>
    <row r="601" spans="1:31" x14ac:dyDescent="0.2">
      <c r="A601" s="373">
        <v>331130</v>
      </c>
      <c r="B601" s="390">
        <f t="shared" si="259"/>
        <v>331.13</v>
      </c>
      <c r="C601" s="363">
        <f t="shared" si="240"/>
        <v>435.08707613577951</v>
      </c>
      <c r="D601" s="364">
        <f t="shared" si="241"/>
        <v>1.5684979342769743</v>
      </c>
      <c r="E601" s="364">
        <f t="shared" si="242"/>
        <v>12.398865883418004</v>
      </c>
      <c r="F601" s="365">
        <f t="shared" si="243"/>
        <v>1.4900560934653782</v>
      </c>
      <c r="G601" s="364">
        <f t="shared" si="244"/>
        <v>3.4403574575721598</v>
      </c>
      <c r="H601" s="365">
        <f t="shared" si="245"/>
        <v>-1.2758719732978971</v>
      </c>
      <c r="I601" s="363">
        <f t="shared" si="246"/>
        <v>1123771.1918010067</v>
      </c>
      <c r="J601" s="366">
        <f t="shared" si="247"/>
        <v>1.5707954369340358</v>
      </c>
      <c r="K601" s="374">
        <f t="shared" si="263"/>
        <v>273.57349817018837</v>
      </c>
      <c r="L601" s="375">
        <f t="shared" si="264"/>
        <v>1.5671409938273326</v>
      </c>
      <c r="M601" s="363">
        <f t="shared" si="248"/>
        <v>8.622656767231005</v>
      </c>
      <c r="N601" s="366">
        <f t="shared" si="249"/>
        <v>1.4545612327145518</v>
      </c>
      <c r="O601" s="367">
        <f t="shared" si="250"/>
        <v>4.3564252799489003</v>
      </c>
      <c r="P601" s="368">
        <f t="shared" si="251"/>
        <v>2.1011674361216683</v>
      </c>
      <c r="Q601" s="369">
        <f t="shared" si="252"/>
        <v>-37.349021672574345</v>
      </c>
      <c r="R601" s="370">
        <f t="shared" si="253"/>
        <v>-281.53409599090918</v>
      </c>
      <c r="S601" s="372">
        <f t="shared" si="254"/>
        <v>-101.53409599090918</v>
      </c>
      <c r="U601" s="345">
        <f t="shared" si="260"/>
        <v>331130</v>
      </c>
      <c r="V601" s="345">
        <f t="shared" si="261"/>
        <v>109647076900</v>
      </c>
      <c r="X601" s="371">
        <f t="shared" si="255"/>
        <v>-2.8882250641309692</v>
      </c>
      <c r="Y601" s="372">
        <f t="shared" si="256"/>
        <v>-83.549603939844289</v>
      </c>
      <c r="AA601" s="371">
        <f t="shared" si="257"/>
        <v>11.559803304836244</v>
      </c>
      <c r="AB601" s="372">
        <f t="shared" si="258"/>
        <v>-197.98449205106493</v>
      </c>
      <c r="AD601">
        <f t="shared" si="262"/>
        <v>0</v>
      </c>
      <c r="AE601">
        <f t="shared" si="239"/>
        <v>0</v>
      </c>
    </row>
    <row r="602" spans="1:31" x14ac:dyDescent="0.2">
      <c r="A602" s="373">
        <v>363080</v>
      </c>
      <c r="B602" s="390">
        <f t="shared" si="259"/>
        <v>363.08</v>
      </c>
      <c r="C602" s="363">
        <f t="shared" si="240"/>
        <v>477.06745206039653</v>
      </c>
      <c r="D602" s="364">
        <f t="shared" si="241"/>
        <v>1.5687001856140577</v>
      </c>
      <c r="E602" s="364">
        <f t="shared" si="242"/>
        <v>13.587763354612814</v>
      </c>
      <c r="F602" s="365">
        <f t="shared" si="243"/>
        <v>1.4971340984585599</v>
      </c>
      <c r="G602" s="364">
        <f t="shared" si="244"/>
        <v>3.7454020764768368</v>
      </c>
      <c r="H602" s="365">
        <f t="shared" si="245"/>
        <v>-1.3005238505037071</v>
      </c>
      <c r="I602" s="363">
        <f t="shared" si="246"/>
        <v>1232201.384106189</v>
      </c>
      <c r="J602" s="366">
        <f t="shared" si="247"/>
        <v>1.5707955152392428</v>
      </c>
      <c r="K602" s="374">
        <f t="shared" si="263"/>
        <v>299.96966166287984</v>
      </c>
      <c r="L602" s="375">
        <f t="shared" si="264"/>
        <v>1.5674626501600923</v>
      </c>
      <c r="M602" s="363">
        <f t="shared" si="248"/>
        <v>9.4439340698442109</v>
      </c>
      <c r="N602" s="366">
        <f t="shared" si="249"/>
        <v>1.4647093720655402</v>
      </c>
      <c r="O602" s="367">
        <f t="shared" si="250"/>
        <v>5.0111295135256153</v>
      </c>
      <c r="P602" s="368">
        <f t="shared" si="251"/>
        <v>2.1761935791998481</v>
      </c>
      <c r="Q602" s="369">
        <f t="shared" si="252"/>
        <v>-38.622229825431369</v>
      </c>
      <c r="R602" s="370">
        <f t="shared" si="253"/>
        <v>-287.41429469561359</v>
      </c>
      <c r="S602" s="372">
        <f t="shared" si="254"/>
        <v>-107.41429469561359</v>
      </c>
      <c r="U602" s="345">
        <f t="shared" si="260"/>
        <v>363080</v>
      </c>
      <c r="V602" s="345">
        <f t="shared" si="261"/>
        <v>131827086400</v>
      </c>
      <c r="X602" s="371">
        <f t="shared" si="255"/>
        <v>-3.6784717785473457</v>
      </c>
      <c r="Y602" s="372">
        <f t="shared" si="256"/>
        <v>-84.112624431446989</v>
      </c>
      <c r="AA602" s="371">
        <f t="shared" si="257"/>
        <v>11.076841866395601</v>
      </c>
      <c r="AB602" s="372">
        <f t="shared" si="258"/>
        <v>-203.30167026416663</v>
      </c>
      <c r="AD602">
        <f t="shared" si="262"/>
        <v>0</v>
      </c>
      <c r="AE602">
        <f t="shared" ref="AE602:AE613" si="265">IF(AD602&gt;0,S602,0)</f>
        <v>0</v>
      </c>
    </row>
    <row r="603" spans="1:31" x14ac:dyDescent="0.2">
      <c r="A603" s="373">
        <v>398110</v>
      </c>
      <c r="B603" s="390">
        <f t="shared" si="259"/>
        <v>398.11</v>
      </c>
      <c r="C603" s="363">
        <f t="shared" si="240"/>
        <v>523.09478115694139</v>
      </c>
      <c r="D603" s="364">
        <f t="shared" si="241"/>
        <v>1.5688846261908715</v>
      </c>
      <c r="E603" s="364">
        <f t="shared" si="242"/>
        <v>14.891922647835676</v>
      </c>
      <c r="F603" s="365">
        <f t="shared" si="243"/>
        <v>1.5035952618779564</v>
      </c>
      <c r="G603" s="364">
        <f t="shared" si="244"/>
        <v>4.0820583048504675</v>
      </c>
      <c r="H603" s="365">
        <f t="shared" si="245"/>
        <v>-1.3233029843294706</v>
      </c>
      <c r="I603" s="363">
        <f t="shared" si="246"/>
        <v>1351084.3148245225</v>
      </c>
      <c r="J603" s="366">
        <f t="shared" si="247"/>
        <v>1.5707955866486385</v>
      </c>
      <c r="K603" s="374">
        <f t="shared" si="263"/>
        <v>328.9104615065383</v>
      </c>
      <c r="L603" s="375">
        <f t="shared" si="264"/>
        <v>1.5677559809936765</v>
      </c>
      <c r="M603" s="363">
        <f t="shared" si="248"/>
        <v>10.345314668069761</v>
      </c>
      <c r="N603" s="366">
        <f t="shared" si="249"/>
        <v>1.4739830468505823</v>
      </c>
      <c r="O603" s="367">
        <f t="shared" si="250"/>
        <v>5.7962303426758757</v>
      </c>
      <c r="P603" s="368">
        <f t="shared" si="251"/>
        <v>2.2477475222658918</v>
      </c>
      <c r="Q603" s="369">
        <f t="shared" si="252"/>
        <v>-39.934594199447702</v>
      </c>
      <c r="R603" s="370">
        <f t="shared" si="253"/>
        <v>-292.97409204674824</v>
      </c>
      <c r="S603" s="372">
        <f t="shared" si="254"/>
        <v>-112.97409204674824</v>
      </c>
      <c r="U603" s="345">
        <f t="shared" si="260"/>
        <v>398110</v>
      </c>
      <c r="V603" s="345">
        <f t="shared" si="261"/>
        <v>158491572100</v>
      </c>
      <c r="X603" s="371">
        <f t="shared" si="255"/>
        <v>-4.4702950665566306</v>
      </c>
      <c r="Y603" s="372">
        <f t="shared" si="256"/>
        <v>-84.627164330486323</v>
      </c>
      <c r="AA603" s="371">
        <f t="shared" si="257"/>
        <v>10.556300780388552</v>
      </c>
      <c r="AB603" s="372">
        <f t="shared" si="258"/>
        <v>-208.34692771626197</v>
      </c>
      <c r="AD603">
        <f t="shared" si="262"/>
        <v>0</v>
      </c>
      <c r="AE603">
        <f t="shared" si="265"/>
        <v>0</v>
      </c>
    </row>
    <row r="604" spans="1:31" x14ac:dyDescent="0.2">
      <c r="A604" s="373">
        <v>436520</v>
      </c>
      <c r="B604" s="390">
        <f t="shared" si="259"/>
        <v>436.52</v>
      </c>
      <c r="C604" s="363">
        <f t="shared" si="240"/>
        <v>573.563245517003</v>
      </c>
      <c r="D604" s="364">
        <f t="shared" si="241"/>
        <v>1.5690528390201113</v>
      </c>
      <c r="E604" s="364">
        <f t="shared" si="242"/>
        <v>16.322513455452359</v>
      </c>
      <c r="F604" s="365">
        <f t="shared" si="243"/>
        <v>1.5094928621094046</v>
      </c>
      <c r="G604" s="364">
        <f t="shared" si="244"/>
        <v>4.4532460311383906</v>
      </c>
      <c r="H604" s="365">
        <f t="shared" si="245"/>
        <v>-1.3443096689677099</v>
      </c>
      <c r="I604" s="363">
        <f t="shared" si="246"/>
        <v>1481438.1078274183</v>
      </c>
      <c r="J604" s="366">
        <f t="shared" si="247"/>
        <v>1.570795651775134</v>
      </c>
      <c r="K604" s="374">
        <f t="shared" si="263"/>
        <v>360.6437492529289</v>
      </c>
      <c r="L604" s="375">
        <f t="shared" si="264"/>
        <v>1.5680235037985264</v>
      </c>
      <c r="M604" s="363">
        <f t="shared" si="248"/>
        <v>11.334520403678018</v>
      </c>
      <c r="N604" s="366">
        <f t="shared" si="249"/>
        <v>1.4824554146354108</v>
      </c>
      <c r="O604" s="367">
        <f t="shared" si="250"/>
        <v>6.7382943900825856</v>
      </c>
      <c r="P604" s="368">
        <f t="shared" si="251"/>
        <v>2.3156318930970405</v>
      </c>
      <c r="Q604" s="369">
        <f t="shared" si="252"/>
        <v>-41.283220263172737</v>
      </c>
      <c r="R604" s="370">
        <f t="shared" si="253"/>
        <v>-298.20901137063248</v>
      </c>
      <c r="S604" s="372">
        <f t="shared" si="254"/>
        <v>-118.20901137063248</v>
      </c>
      <c r="U604" s="345">
        <f t="shared" si="260"/>
        <v>436520</v>
      </c>
      <c r="V604" s="345">
        <f t="shared" si="261"/>
        <v>190549710400</v>
      </c>
      <c r="X604" s="371">
        <f t="shared" si="255"/>
        <v>-5.2634906942040036</v>
      </c>
      <c r="Y604" s="372">
        <f t="shared" si="256"/>
        <v>-85.097271051408697</v>
      </c>
      <c r="AA604" s="371">
        <f t="shared" si="257"/>
        <v>10.000870344310895</v>
      </c>
      <c r="AB604" s="372">
        <f t="shared" si="258"/>
        <v>-213.11174031922383</v>
      </c>
      <c r="AD604">
        <f t="shared" si="262"/>
        <v>0</v>
      </c>
      <c r="AE604">
        <f t="shared" si="265"/>
        <v>0</v>
      </c>
    </row>
    <row r="605" spans="1:31" x14ac:dyDescent="0.2">
      <c r="A605" s="373">
        <v>478630</v>
      </c>
      <c r="B605" s="390">
        <f t="shared" si="259"/>
        <v>478.63</v>
      </c>
      <c r="C605" s="363">
        <f t="shared" si="240"/>
        <v>628.89330617895962</v>
      </c>
      <c r="D605" s="364">
        <f t="shared" si="241"/>
        <v>1.569206231286524</v>
      </c>
      <c r="E605" s="364">
        <f t="shared" si="242"/>
        <v>17.891454784206058</v>
      </c>
      <c r="F605" s="365">
        <f t="shared" si="243"/>
        <v>1.51487458039454</v>
      </c>
      <c r="G605" s="364">
        <f t="shared" si="244"/>
        <v>4.8620861441816174</v>
      </c>
      <c r="H605" s="365">
        <f t="shared" si="245"/>
        <v>-1.3636449337367527</v>
      </c>
      <c r="I605" s="363">
        <f t="shared" si="246"/>
        <v>1624348.7619110465</v>
      </c>
      <c r="J605" s="366">
        <f t="shared" si="247"/>
        <v>1.5707957111635598</v>
      </c>
      <c r="K605" s="374">
        <f t="shared" si="263"/>
        <v>395.43390011432655</v>
      </c>
      <c r="L605" s="375">
        <f t="shared" si="264"/>
        <v>1.5682674564436803</v>
      </c>
      <c r="M605" s="363">
        <f t="shared" si="248"/>
        <v>12.419794214252391</v>
      </c>
      <c r="N605" s="366">
        <f t="shared" si="249"/>
        <v>1.4901924427788713</v>
      </c>
      <c r="O605" s="367">
        <f t="shared" si="250"/>
        <v>7.8690472612006426</v>
      </c>
      <c r="P605" s="368">
        <f t="shared" si="251"/>
        <v>2.3797091412477105</v>
      </c>
      <c r="Q605" s="369">
        <f t="shared" si="252"/>
        <v>-42.66471594271102</v>
      </c>
      <c r="R605" s="370">
        <f t="shared" si="253"/>
        <v>-303.11796031466258</v>
      </c>
      <c r="S605" s="372">
        <f t="shared" si="254"/>
        <v>-123.11796031466258</v>
      </c>
      <c r="U605" s="345">
        <f t="shared" si="260"/>
        <v>478630</v>
      </c>
      <c r="V605" s="345">
        <f t="shared" si="261"/>
        <v>229086676900</v>
      </c>
      <c r="X605" s="371">
        <f t="shared" si="255"/>
        <v>-6.0577213392646589</v>
      </c>
      <c r="Y605" s="372">
        <f t="shared" si="256"/>
        <v>-85.52659605623127</v>
      </c>
      <c r="AA605" s="371">
        <f t="shared" si="257"/>
        <v>9.4136053098332617</v>
      </c>
      <c r="AB605" s="372">
        <f t="shared" si="258"/>
        <v>-217.5913642584313</v>
      </c>
      <c r="AD605">
        <f t="shared" si="262"/>
        <v>0</v>
      </c>
      <c r="AE605">
        <f t="shared" si="265"/>
        <v>0</v>
      </c>
    </row>
    <row r="606" spans="1:31" x14ac:dyDescent="0.2">
      <c r="A606" s="373">
        <v>524810</v>
      </c>
      <c r="B606" s="390">
        <f t="shared" si="259"/>
        <v>524.80999999999995</v>
      </c>
      <c r="C606" s="363">
        <f t="shared" si="240"/>
        <v>689.57112135868772</v>
      </c>
      <c r="D606" s="364">
        <f t="shared" si="241"/>
        <v>1.569346149547723</v>
      </c>
      <c r="E606" s="364">
        <f t="shared" si="242"/>
        <v>19.612532648925743</v>
      </c>
      <c r="F606" s="365">
        <f t="shared" si="243"/>
        <v>1.5197864027673742</v>
      </c>
      <c r="G606" s="364">
        <f t="shared" si="244"/>
        <v>5.3121933783869695</v>
      </c>
      <c r="H606" s="365">
        <f t="shared" si="245"/>
        <v>-1.3814202539750049</v>
      </c>
      <c r="I606" s="363">
        <f t="shared" si="246"/>
        <v>1781071.9631834803</v>
      </c>
      <c r="J606" s="366">
        <f t="shared" si="247"/>
        <v>1.5707957653352698</v>
      </c>
      <c r="K606" s="374">
        <f t="shared" si="263"/>
        <v>433.58659815296403</v>
      </c>
      <c r="L606" s="375">
        <f t="shared" si="264"/>
        <v>1.5684899804022743</v>
      </c>
      <c r="M606" s="363">
        <f t="shared" si="248"/>
        <v>13.61067330806522</v>
      </c>
      <c r="N606" s="366">
        <f t="shared" si="249"/>
        <v>1.4972583134368866</v>
      </c>
      <c r="O606" s="367">
        <f t="shared" si="250"/>
        <v>9.2271807467478055</v>
      </c>
      <c r="P606" s="368">
        <f t="shared" si="251"/>
        <v>2.4399386559806566</v>
      </c>
      <c r="Q606" s="369">
        <f t="shared" si="252"/>
        <v>-44.076219133932312</v>
      </c>
      <c r="R606" s="370">
        <f t="shared" si="253"/>
        <v>-307.70599616696342</v>
      </c>
      <c r="S606" s="372">
        <f t="shared" si="254"/>
        <v>-127.70599616696342</v>
      </c>
      <c r="U606" s="345">
        <f t="shared" si="260"/>
        <v>524810</v>
      </c>
      <c r="V606" s="345">
        <f t="shared" si="261"/>
        <v>275425536100</v>
      </c>
      <c r="X606" s="371">
        <f t="shared" si="255"/>
        <v>-6.8530302101300187</v>
      </c>
      <c r="Y606" s="372">
        <f t="shared" si="256"/>
        <v>-85.918694044111277</v>
      </c>
      <c r="AA606" s="371">
        <f t="shared" si="257"/>
        <v>8.7974109894773349</v>
      </c>
      <c r="AB606" s="372">
        <f t="shared" si="258"/>
        <v>-221.78730212285217</v>
      </c>
      <c r="AD606">
        <f t="shared" si="262"/>
        <v>0</v>
      </c>
      <c r="AE606">
        <f t="shared" si="265"/>
        <v>0</v>
      </c>
    </row>
    <row r="607" spans="1:31" x14ac:dyDescent="0.2">
      <c r="A607" s="373">
        <v>575440</v>
      </c>
      <c r="B607" s="390">
        <f t="shared" si="259"/>
        <v>575.44000000000005</v>
      </c>
      <c r="C607" s="363">
        <f t="shared" si="240"/>
        <v>756.09598880017575</v>
      </c>
      <c r="D607" s="364">
        <f t="shared" si="241"/>
        <v>1.5694737430140662</v>
      </c>
      <c r="E607" s="364">
        <f t="shared" si="242"/>
        <v>21.499909628246886</v>
      </c>
      <c r="F607" s="365">
        <f t="shared" si="243"/>
        <v>1.5242677168127083</v>
      </c>
      <c r="G607" s="364">
        <f t="shared" si="244"/>
        <v>5.8072889653738233</v>
      </c>
      <c r="H607" s="365">
        <f t="shared" si="245"/>
        <v>-1.3977363797400284</v>
      </c>
      <c r="I607" s="363">
        <f t="shared" si="246"/>
        <v>1952897.3352151725</v>
      </c>
      <c r="J607" s="366">
        <f t="shared" si="247"/>
        <v>1.5707958147352088</v>
      </c>
      <c r="K607" s="374">
        <f t="shared" si="263"/>
        <v>475.41578934834894</v>
      </c>
      <c r="L607" s="375">
        <f t="shared" si="264"/>
        <v>1.5686929033079118</v>
      </c>
      <c r="M607" s="363">
        <f t="shared" si="248"/>
        <v>14.916958160503416</v>
      </c>
      <c r="N607" s="366">
        <f t="shared" si="249"/>
        <v>1.5037082168020885</v>
      </c>
      <c r="O607" s="367">
        <f t="shared" si="250"/>
        <v>10.858459529652562</v>
      </c>
      <c r="P607" s="368">
        <f t="shared" si="251"/>
        <v>2.4963068207093331</v>
      </c>
      <c r="Q607" s="369">
        <f t="shared" si="252"/>
        <v>-45.514127105140361</v>
      </c>
      <c r="R607" s="370">
        <f t="shared" si="253"/>
        <v>-311.97897788512427</v>
      </c>
      <c r="S607" s="372">
        <f t="shared" si="254"/>
        <v>-131.97897788512427</v>
      </c>
      <c r="U607" s="345">
        <f t="shared" si="260"/>
        <v>575440</v>
      </c>
      <c r="V607" s="345">
        <f t="shared" si="261"/>
        <v>331131193600</v>
      </c>
      <c r="X607" s="371">
        <f t="shared" si="255"/>
        <v>-7.6490473305376137</v>
      </c>
      <c r="Y607" s="372">
        <f t="shared" si="256"/>
        <v>-86.276622489962023</v>
      </c>
      <c r="AA607" s="371">
        <f t="shared" si="257"/>
        <v>8.1555201386768754</v>
      </c>
      <c r="AB607" s="372">
        <f t="shared" si="258"/>
        <v>-225.70235539516216</v>
      </c>
      <c r="AD607">
        <f t="shared" si="262"/>
        <v>0</v>
      </c>
      <c r="AE607">
        <f t="shared" si="265"/>
        <v>0</v>
      </c>
    </row>
    <row r="608" spans="1:31" x14ac:dyDescent="0.2">
      <c r="A608" s="373">
        <v>630960</v>
      </c>
      <c r="B608" s="390">
        <f t="shared" si="259"/>
        <v>630.96</v>
      </c>
      <c r="C608" s="363">
        <f t="shared" si="240"/>
        <v>829.04604284404184</v>
      </c>
      <c r="D608" s="364">
        <f t="shared" si="241"/>
        <v>1.5695901208777219</v>
      </c>
      <c r="E608" s="364">
        <f t="shared" si="242"/>
        <v>23.569988237805987</v>
      </c>
      <c r="F608" s="365">
        <f t="shared" si="243"/>
        <v>1.5283567532477378</v>
      </c>
      <c r="G608" s="364">
        <f t="shared" si="244"/>
        <v>6.3516888687743664</v>
      </c>
      <c r="H608" s="365">
        <f t="shared" si="245"/>
        <v>-1.4127001203736964</v>
      </c>
      <c r="I608" s="363">
        <f t="shared" si="246"/>
        <v>2141318.1263508582</v>
      </c>
      <c r="J608" s="366">
        <f t="shared" si="247"/>
        <v>1.5707958597928255</v>
      </c>
      <c r="K608" s="374">
        <f t="shared" si="263"/>
        <v>521.28499027391285</v>
      </c>
      <c r="L608" s="375">
        <f t="shared" si="264"/>
        <v>1.5688779891638605</v>
      </c>
      <c r="M608" s="363">
        <f t="shared" si="248"/>
        <v>16.350001845112921</v>
      </c>
      <c r="N608" s="366">
        <f t="shared" si="249"/>
        <v>1.5095960573477527</v>
      </c>
      <c r="O608" s="367">
        <f t="shared" si="250"/>
        <v>12.818647354901302</v>
      </c>
      <c r="P608" s="368">
        <f t="shared" si="251"/>
        <v>2.5488807272601388</v>
      </c>
      <c r="Q608" s="369">
        <f t="shared" si="252"/>
        <v>-46.975624796779094</v>
      </c>
      <c r="R608" s="370">
        <f t="shared" si="253"/>
        <v>-315.94772981891731</v>
      </c>
      <c r="S608" s="372">
        <f t="shared" si="254"/>
        <v>-135.94772981891731</v>
      </c>
      <c r="U608" s="345">
        <f t="shared" si="260"/>
        <v>630960</v>
      </c>
      <c r="V608" s="345">
        <f t="shared" si="261"/>
        <v>398110521600</v>
      </c>
      <c r="X608" s="371">
        <f t="shared" si="255"/>
        <v>-8.4458012512612832</v>
      </c>
      <c r="Y608" s="372">
        <f t="shared" si="256"/>
        <v>-86.603368847265784</v>
      </c>
      <c r="AA608" s="371">
        <f t="shared" si="257"/>
        <v>7.4907763677618187</v>
      </c>
      <c r="AB608" s="372">
        <f t="shared" si="258"/>
        <v>-229.34436097165155</v>
      </c>
      <c r="AD608">
        <f t="shared" si="262"/>
        <v>0</v>
      </c>
      <c r="AE608">
        <f t="shared" si="265"/>
        <v>0</v>
      </c>
    </row>
    <row r="609" spans="1:31" x14ac:dyDescent="0.2">
      <c r="A609" s="373">
        <v>691830</v>
      </c>
      <c r="B609" s="390">
        <f t="shared" si="259"/>
        <v>691.83</v>
      </c>
      <c r="C609" s="363">
        <f t="shared" si="240"/>
        <v>909.02569676211385</v>
      </c>
      <c r="D609" s="364">
        <f t="shared" si="241"/>
        <v>1.5696962476604368</v>
      </c>
      <c r="E609" s="364">
        <f t="shared" si="242"/>
        <v>25.839919907005019</v>
      </c>
      <c r="F609" s="365">
        <f t="shared" si="243"/>
        <v>1.532086849964827</v>
      </c>
      <c r="G609" s="364">
        <f t="shared" si="244"/>
        <v>6.9499138602694943</v>
      </c>
      <c r="H609" s="365">
        <f t="shared" si="245"/>
        <v>-1.426408477995412</v>
      </c>
      <c r="I609" s="363">
        <f t="shared" si="246"/>
        <v>2347895.4598600343</v>
      </c>
      <c r="J609" s="366">
        <f t="shared" si="247"/>
        <v>1.5707959008815555</v>
      </c>
      <c r="K609" s="374">
        <f t="shared" si="263"/>
        <v>571.57424113882701</v>
      </c>
      <c r="L609" s="375">
        <f t="shared" si="264"/>
        <v>1.5690467719021415</v>
      </c>
      <c r="M609" s="363">
        <f t="shared" si="248"/>
        <v>17.921678173692111</v>
      </c>
      <c r="N609" s="366">
        <f t="shared" si="249"/>
        <v>1.5149689858556039</v>
      </c>
      <c r="O609" s="367">
        <f t="shared" si="250"/>
        <v>15.17397947793285</v>
      </c>
      <c r="P609" s="368">
        <f t="shared" si="251"/>
        <v>2.5977487745173704</v>
      </c>
      <c r="Q609" s="369">
        <f t="shared" si="252"/>
        <v>-48.457500831087245</v>
      </c>
      <c r="R609" s="370">
        <f t="shared" si="253"/>
        <v>-319.62363348023928</v>
      </c>
      <c r="S609" s="372">
        <f t="shared" si="254"/>
        <v>-139.62363348023928</v>
      </c>
      <c r="U609" s="345">
        <f t="shared" si="260"/>
        <v>691830</v>
      </c>
      <c r="V609" s="345">
        <f t="shared" si="261"/>
        <v>478628748900</v>
      </c>
      <c r="X609" s="371">
        <f t="shared" si="255"/>
        <v>-9.2430213051167556</v>
      </c>
      <c r="Y609" s="372">
        <f t="shared" si="256"/>
        <v>-86.901546790384558</v>
      </c>
      <c r="AA609" s="371">
        <f t="shared" si="257"/>
        <v>6.8061203873091376</v>
      </c>
      <c r="AB609" s="372">
        <f t="shared" si="258"/>
        <v>-232.72208668985476</v>
      </c>
      <c r="AD609">
        <f t="shared" si="262"/>
        <v>0</v>
      </c>
      <c r="AE609">
        <f t="shared" si="265"/>
        <v>0</v>
      </c>
    </row>
    <row r="610" spans="1:31" x14ac:dyDescent="0.2">
      <c r="A610" s="373">
        <v>758580</v>
      </c>
      <c r="B610" s="390">
        <f t="shared" si="259"/>
        <v>758.58</v>
      </c>
      <c r="C610" s="363">
        <f t="shared" si="240"/>
        <v>996.73133985259551</v>
      </c>
      <c r="D610" s="364">
        <f t="shared" si="241"/>
        <v>1.569793047247261</v>
      </c>
      <c r="E610" s="364">
        <f t="shared" si="242"/>
        <v>28.329469274084666</v>
      </c>
      <c r="F610" s="365">
        <f t="shared" si="243"/>
        <v>1.5354900605197659</v>
      </c>
      <c r="G610" s="364">
        <f t="shared" si="244"/>
        <v>7.6071806285210561</v>
      </c>
      <c r="H610" s="365">
        <f t="shared" si="245"/>
        <v>-1.4389600084191698</v>
      </c>
      <c r="I610" s="363">
        <f t="shared" si="246"/>
        <v>2574428.0212488584</v>
      </c>
      <c r="J610" s="366">
        <f t="shared" si="247"/>
        <v>1.5707959383590997</v>
      </c>
      <c r="K610" s="374">
        <f t="shared" si="263"/>
        <v>626.72141450703157</v>
      </c>
      <c r="L610" s="375">
        <f t="shared" si="264"/>
        <v>1.5692007208347698</v>
      </c>
      <c r="M610" s="363">
        <f t="shared" si="248"/>
        <v>19.645672333321802</v>
      </c>
      <c r="N610" s="366">
        <f t="shared" si="249"/>
        <v>1.5198725243700248</v>
      </c>
      <c r="O610" s="367">
        <f t="shared" si="250"/>
        <v>18.005082632770698</v>
      </c>
      <c r="P610" s="368">
        <f t="shared" si="251"/>
        <v>2.6430542302355127</v>
      </c>
      <c r="Q610" s="369">
        <f t="shared" si="252"/>
        <v>-49.957387470215309</v>
      </c>
      <c r="R610" s="370">
        <f t="shared" si="253"/>
        <v>-323.02128479635189</v>
      </c>
      <c r="S610" s="372">
        <f t="shared" si="254"/>
        <v>-143.02128479635189</v>
      </c>
      <c r="U610" s="345">
        <f t="shared" si="260"/>
        <v>758580</v>
      </c>
      <c r="V610" s="345">
        <f t="shared" si="261"/>
        <v>575443616400</v>
      </c>
      <c r="X610" s="371">
        <f t="shared" si="255"/>
        <v>-10.040787981306289</v>
      </c>
      <c r="Y610" s="372">
        <f t="shared" si="256"/>
        <v>-87.173680375456627</v>
      </c>
      <c r="AA610" s="371">
        <f t="shared" si="257"/>
        <v>6.1040004243706036</v>
      </c>
      <c r="AB610" s="372">
        <f t="shared" si="258"/>
        <v>-235.84760442089518</v>
      </c>
      <c r="AD610">
        <f t="shared" si="262"/>
        <v>0</v>
      </c>
      <c r="AE610">
        <f t="shared" si="265"/>
        <v>0</v>
      </c>
    </row>
    <row r="611" spans="1:31" x14ac:dyDescent="0.2">
      <c r="A611" s="373">
        <v>831760</v>
      </c>
      <c r="B611" s="390">
        <f t="shared" si="259"/>
        <v>831.76</v>
      </c>
      <c r="C611" s="363">
        <f t="shared" si="240"/>
        <v>1092.8856403354023</v>
      </c>
      <c r="D611" s="364">
        <f t="shared" si="241"/>
        <v>1.569881317847361</v>
      </c>
      <c r="E611" s="364">
        <f t="shared" si="242"/>
        <v>31.059149588442146</v>
      </c>
      <c r="F611" s="365">
        <f t="shared" si="243"/>
        <v>1.5385941298766845</v>
      </c>
      <c r="G611" s="364">
        <f t="shared" si="244"/>
        <v>8.3289108540181243</v>
      </c>
      <c r="H611" s="365">
        <f t="shared" si="245"/>
        <v>-1.4504422628532316</v>
      </c>
      <c r="I611" s="363">
        <f t="shared" si="246"/>
        <v>2822782.3709482495</v>
      </c>
      <c r="J611" s="366">
        <f t="shared" si="247"/>
        <v>1.5707959725345009</v>
      </c>
      <c r="K611" s="374">
        <f t="shared" si="263"/>
        <v>687.18090656310335</v>
      </c>
      <c r="L611" s="375">
        <f t="shared" si="264"/>
        <v>1.5693411054064759</v>
      </c>
      <c r="M611" s="363">
        <f t="shared" si="248"/>
        <v>21.536189861076309</v>
      </c>
      <c r="N611" s="366">
        <f t="shared" si="249"/>
        <v>1.524346156172695</v>
      </c>
      <c r="O611" s="367">
        <f t="shared" si="250"/>
        <v>21.407535411243593</v>
      </c>
      <c r="P611" s="368">
        <f t="shared" si="251"/>
        <v>2.6849437424421332</v>
      </c>
      <c r="Q611" s="369">
        <f t="shared" si="252"/>
        <v>-51.472479848131847</v>
      </c>
      <c r="R611" s="370">
        <f t="shared" si="253"/>
        <v>-326.15474796900128</v>
      </c>
      <c r="S611" s="372">
        <f t="shared" si="254"/>
        <v>-146.15474796900128</v>
      </c>
      <c r="U611" s="345">
        <f t="shared" si="260"/>
        <v>831760</v>
      </c>
      <c r="V611" s="345">
        <f t="shared" si="261"/>
        <v>691824697600</v>
      </c>
      <c r="X611" s="371">
        <f t="shared" si="255"/>
        <v>-10.838829341552596</v>
      </c>
      <c r="Y611" s="372">
        <f t="shared" si="256"/>
        <v>-87.421959111767592</v>
      </c>
      <c r="AA611" s="371">
        <f t="shared" si="257"/>
        <v>5.3869494067003663</v>
      </c>
      <c r="AB611" s="372">
        <f t="shared" si="258"/>
        <v>-238.73278885723374</v>
      </c>
      <c r="AD611">
        <f t="shared" si="262"/>
        <v>0</v>
      </c>
      <c r="AE611">
        <f t="shared" si="265"/>
        <v>0</v>
      </c>
    </row>
    <row r="612" spans="1:31" x14ac:dyDescent="0.2">
      <c r="A612" s="373">
        <v>912010</v>
      </c>
      <c r="B612" s="390">
        <f t="shared" si="259"/>
        <v>912.01</v>
      </c>
      <c r="C612" s="363">
        <f t="shared" si="240"/>
        <v>1198.3295213083691</v>
      </c>
      <c r="D612" s="364">
        <f t="shared" si="241"/>
        <v>1.5699618316929385</v>
      </c>
      <c r="E612" s="364">
        <f t="shared" si="242"/>
        <v>34.052833516055472</v>
      </c>
      <c r="F612" s="365">
        <f t="shared" si="243"/>
        <v>1.5414259725300503</v>
      </c>
      <c r="G612" s="364">
        <f t="shared" si="244"/>
        <v>9.1214210729153304</v>
      </c>
      <c r="H612" s="365">
        <f t="shared" si="245"/>
        <v>-1.4609434757897295</v>
      </c>
      <c r="I612" s="363">
        <f t="shared" si="246"/>
        <v>3095130.5065505509</v>
      </c>
      <c r="J612" s="366">
        <f t="shared" si="247"/>
        <v>1.5707960037067432</v>
      </c>
      <c r="K612" s="374">
        <f t="shared" si="263"/>
        <v>753.48146935543332</v>
      </c>
      <c r="L612" s="375">
        <f t="shared" si="264"/>
        <v>1.5694691537531757</v>
      </c>
      <c r="M612" s="363">
        <f t="shared" si="248"/>
        <v>23.609764654156319</v>
      </c>
      <c r="N612" s="366">
        <f t="shared" si="249"/>
        <v>1.5284282959260942</v>
      </c>
      <c r="O612" s="367">
        <f t="shared" si="250"/>
        <v>25.497971336663365</v>
      </c>
      <c r="P612" s="368">
        <f t="shared" si="251"/>
        <v>2.7236027958383517</v>
      </c>
      <c r="Q612" s="369">
        <f t="shared" si="252"/>
        <v>-53.000987344339336</v>
      </c>
      <c r="R612" s="370">
        <f t="shared" si="253"/>
        <v>-329.04033875961403</v>
      </c>
      <c r="S612" s="372">
        <f t="shared" si="254"/>
        <v>-149.04033875961403</v>
      </c>
      <c r="U612" s="345">
        <f t="shared" si="260"/>
        <v>912010</v>
      </c>
      <c r="V612" s="345">
        <f t="shared" si="261"/>
        <v>831762240100</v>
      </c>
      <c r="X612" s="371">
        <f t="shared" si="255"/>
        <v>-11.637286623333376</v>
      </c>
      <c r="Y612" s="372">
        <f t="shared" si="256"/>
        <v>-87.648513647477188</v>
      </c>
      <c r="AA612" s="371">
        <f t="shared" si="257"/>
        <v>4.65689919227367</v>
      </c>
      <c r="AB612" s="372">
        <f t="shared" si="258"/>
        <v>-241.39182511213679</v>
      </c>
      <c r="AD612">
        <f t="shared" si="262"/>
        <v>0</v>
      </c>
      <c r="AE612">
        <f t="shared" si="265"/>
        <v>0</v>
      </c>
    </row>
    <row r="613" spans="1:31" x14ac:dyDescent="0.2">
      <c r="A613" s="373">
        <v>1000000</v>
      </c>
      <c r="B613" s="390">
        <f t="shared" si="259"/>
        <v>1000</v>
      </c>
      <c r="C613" s="363">
        <f t="shared" si="240"/>
        <v>1313.9433242087061</v>
      </c>
      <c r="D613" s="364">
        <f t="shared" si="241"/>
        <v>1.5700352588872382</v>
      </c>
      <c r="E613" s="364">
        <f t="shared" si="242"/>
        <v>37.335515159185526</v>
      </c>
      <c r="F613" s="365">
        <f t="shared" si="243"/>
        <v>1.5440089743382059</v>
      </c>
      <c r="G613" s="364">
        <f t="shared" si="244"/>
        <v>9.991331544406318</v>
      </c>
      <c r="H613" s="365">
        <f t="shared" si="245"/>
        <v>-1.4705417084082317</v>
      </c>
      <c r="I613" s="363">
        <f t="shared" si="246"/>
        <v>3393746.2380352444</v>
      </c>
      <c r="J613" s="366">
        <f t="shared" si="247"/>
        <v>1.5707960321352699</v>
      </c>
      <c r="K613" s="374">
        <f t="shared" si="263"/>
        <v>826.17664029467653</v>
      </c>
      <c r="L613" s="375">
        <f t="shared" si="264"/>
        <v>1.5695859315895571</v>
      </c>
      <c r="M613" s="363">
        <f t="shared" si="248"/>
        <v>25.883709060350434</v>
      </c>
      <c r="N613" s="366">
        <f t="shared" si="249"/>
        <v>1.5321523699491182</v>
      </c>
      <c r="O613" s="367">
        <f t="shared" si="250"/>
        <v>30.415035656784262</v>
      </c>
      <c r="P613" s="368">
        <f t="shared" si="251"/>
        <v>2.7592099814825031</v>
      </c>
      <c r="Q613" s="369">
        <f t="shared" si="252"/>
        <v>-54.540751997107265</v>
      </c>
      <c r="R613" s="370">
        <f t="shared" si="253"/>
        <v>-331.69331488225481</v>
      </c>
      <c r="S613" s="372">
        <f t="shared" si="254"/>
        <v>-151.69331488225481</v>
      </c>
      <c r="U613" s="345">
        <f t="shared" si="260"/>
        <v>1000000</v>
      </c>
      <c r="V613" s="345">
        <f t="shared" si="261"/>
        <v>1000000000000</v>
      </c>
      <c r="X613" s="371">
        <f t="shared" si="255"/>
        <v>-12.435984942477106</v>
      </c>
      <c r="Y613" s="372">
        <f t="shared" si="256"/>
        <v>-87.855198123496223</v>
      </c>
      <c r="AA613" s="371">
        <f t="shared" si="257"/>
        <v>3.9158328586494591</v>
      </c>
      <c r="AB613" s="372">
        <f t="shared" si="258"/>
        <v>-243.83811675875864</v>
      </c>
      <c r="AD613">
        <f t="shared" si="262"/>
        <v>0</v>
      </c>
      <c r="AE613">
        <f t="shared" si="265"/>
        <v>0</v>
      </c>
    </row>
    <row r="614" spans="1:31" x14ac:dyDescent="0.2">
      <c r="A614" s="376"/>
      <c r="B614" s="376"/>
      <c r="C614" s="377"/>
      <c r="D614" s="377"/>
      <c r="E614" s="377"/>
      <c r="F614" s="377"/>
      <c r="G614" s="364"/>
      <c r="H614" s="365"/>
      <c r="I614" s="377"/>
      <c r="J614" s="377"/>
      <c r="K614" s="377"/>
      <c r="L614" s="377"/>
      <c r="M614" s="377"/>
      <c r="N614" s="377"/>
      <c r="O614" s="377"/>
      <c r="P614" s="378"/>
      <c r="Q614" s="465"/>
      <c r="R614" s="370"/>
      <c r="S614" s="379"/>
      <c r="AA614" s="371"/>
      <c r="AB614" s="372"/>
    </row>
    <row r="615" spans="1:31" x14ac:dyDescent="0.2">
      <c r="A615" s="376"/>
      <c r="B615" s="376"/>
      <c r="C615" s="377"/>
      <c r="D615" s="377"/>
      <c r="E615" s="377"/>
      <c r="F615" s="377"/>
      <c r="G615" s="364"/>
      <c r="H615" s="365"/>
      <c r="I615" s="377"/>
      <c r="J615" s="377"/>
      <c r="K615" s="377"/>
      <c r="L615" s="377"/>
      <c r="M615" s="377"/>
      <c r="N615" s="377"/>
      <c r="O615" s="377"/>
      <c r="P615" s="378"/>
      <c r="Q615" s="379"/>
      <c r="R615" s="370"/>
      <c r="S615" s="379"/>
      <c r="AA615" s="371"/>
      <c r="AB615" s="372"/>
    </row>
    <row r="616" spans="1:31" x14ac:dyDescent="0.2">
      <c r="A616" s="345" t="s">
        <v>507</v>
      </c>
      <c r="G616" s="364"/>
      <c r="H616" s="365"/>
      <c r="Q616" s="369"/>
      <c r="R616" s="370"/>
      <c r="S616" s="379"/>
      <c r="AA616" s="371"/>
      <c r="AB616" s="372"/>
    </row>
    <row r="617" spans="1:31" x14ac:dyDescent="0.2">
      <c r="A617" s="380">
        <f>Q4*1000</f>
        <v>3981.1</v>
      </c>
      <c r="B617" s="380"/>
      <c r="C617" s="381">
        <f t="shared" ref="C617:C626" si="266">SQRT(1+(A617/pole1)^2)</f>
        <v>5.3256656867815915</v>
      </c>
      <c r="D617" s="374">
        <f t="shared" ref="D617:D626" si="267">ATAN(A617/pole1)</f>
        <v>1.3819051054159774</v>
      </c>
      <c r="E617" s="374">
        <f t="shared" ref="E617:E626" si="268">SQRT(1+(A617/Zero1)^2)</f>
        <v>1.0109782074876352</v>
      </c>
      <c r="F617" s="375">
        <f t="shared" ref="F617:F626" si="269">ATAN(A617/Zero1)</f>
        <v>0.14750393389495486</v>
      </c>
      <c r="G617" s="364">
        <f>IF(VIN_nom&gt;Vout, 1, SQRT(1+(A617/z_RHP)^2))</f>
        <v>1.0007828535703536</v>
      </c>
      <c r="H617" s="365">
        <f>IF(VIN_nom&gt;Vout, 0, -ATAN(A617/z_RHP))</f>
        <v>-3.9556116969959705E-2</v>
      </c>
      <c r="I617" s="381">
        <f t="shared" ref="I617:I626" si="270">SQRT(1+(A617/Pole2)^2)</f>
        <v>13510.843185248837</v>
      </c>
      <c r="J617" s="382">
        <f t="shared" ref="J617:J626" si="271">ATAN(A617/Pole2)</f>
        <v>1.5707223121692213</v>
      </c>
      <c r="K617" s="374">
        <f t="shared" ref="K617:K626" si="272">SQRT(1+(A617/Zero2)^2)</f>
        <v>3.437747688362891</v>
      </c>
      <c r="L617" s="375">
        <f t="shared" ref="L617:L626" si="273">ATAN(A617/Zero2)</f>
        <v>1.2756413476346526</v>
      </c>
      <c r="M617" s="381">
        <f t="shared" ref="M617:M626" si="274">SQRT(1+(A617/pole4)^2)</f>
        <v>1.0052872990136392</v>
      </c>
      <c r="N617" s="382">
        <f t="shared" ref="N617:N626" si="275">ATAN(A617/pole4)</f>
        <v>0.10260708908436872</v>
      </c>
      <c r="O617" s="381">
        <f t="shared" ref="O617:O626" si="276">SQRT((1-(A617^2/(pole3^2)))^2+(A617/(Q*pole3))^2)</f>
        <v>1.000557517646161</v>
      </c>
      <c r="P617" s="456">
        <f t="shared" ref="P617:P626" si="277">ATAN((A617/(Q*pole3))/(1-A617^2/pole3^2))</f>
        <v>4.5170998503991394E-2</v>
      </c>
      <c r="Q617" s="369">
        <f>20*LOG10(((E617*K617*G617)/(C617*I617*O617*M617))*Adc)</f>
        <v>0.22563695578232054</v>
      </c>
      <c r="R617" s="370">
        <f>((F617+L617+H617)-(D617+J617+P617+N617))*radconv</f>
        <v>-98.366330628671392</v>
      </c>
      <c r="S617" s="372">
        <f t="shared" ref="S617:S626" si="278">IF(R617&gt;0,R617,R617+180)</f>
        <v>81.633669371328608</v>
      </c>
      <c r="T617" s="345" t="s">
        <v>508</v>
      </c>
      <c r="X617" s="371">
        <f t="shared" ref="X617:X626" si="279">20*LOG10((K617/(I617*M617))*AEA)</f>
        <v>16.162701327270014</v>
      </c>
      <c r="Y617" s="372">
        <f t="shared" ref="Y617:Y626" si="280">(L617-(J617+N617))*radconv</f>
        <v>-22.785847061174117</v>
      </c>
      <c r="AA617" s="371">
        <f>20*LOG10((E617*G617/(C617*O617))*Acs*Am)</f>
        <v>30.083535541791932</v>
      </c>
      <c r="AB617" s="372">
        <f>(F617+H617-(D617+P617))*radconv</f>
        <v>-75.580483567497282</v>
      </c>
    </row>
    <row r="618" spans="1:31" x14ac:dyDescent="0.2">
      <c r="A618" s="380">
        <f>A617</f>
        <v>3981.1</v>
      </c>
      <c r="B618" s="380"/>
      <c r="C618" s="381"/>
      <c r="D618" s="374"/>
      <c r="E618" s="374"/>
      <c r="F618" s="375"/>
      <c r="G618" s="364"/>
      <c r="H618" s="365"/>
      <c r="I618" s="381"/>
      <c r="J618" s="382"/>
      <c r="K618" s="374"/>
      <c r="L618" s="375"/>
      <c r="M618" s="363"/>
      <c r="N618" s="366"/>
      <c r="O618" s="381"/>
      <c r="P618" s="368"/>
      <c r="Q618" s="369"/>
      <c r="R618" s="370">
        <v>-90</v>
      </c>
      <c r="S618" s="372"/>
      <c r="X618" s="371"/>
      <c r="Y618" s="372"/>
      <c r="AA618" s="371"/>
      <c r="AB618" s="372"/>
    </row>
    <row r="619" spans="1:31" x14ac:dyDescent="0.2">
      <c r="A619" s="345">
        <f>A618</f>
        <v>3981.1</v>
      </c>
      <c r="B619" s="380"/>
      <c r="C619" s="381"/>
      <c r="D619" s="374"/>
      <c r="E619" s="374"/>
      <c r="F619" s="375"/>
      <c r="G619" s="364"/>
      <c r="H619" s="365"/>
      <c r="I619" s="381"/>
      <c r="J619" s="382"/>
      <c r="K619" s="374"/>
      <c r="L619" s="375"/>
      <c r="M619" s="363"/>
      <c r="N619" s="366"/>
      <c r="O619" s="381"/>
      <c r="P619" s="368"/>
      <c r="Q619" s="369"/>
      <c r="R619" s="370">
        <f>R617</f>
        <v>-98.366330628671392</v>
      </c>
      <c r="S619" s="372"/>
      <c r="X619" s="371"/>
      <c r="Y619" s="372"/>
      <c r="AA619" s="371"/>
      <c r="AB619" s="372"/>
    </row>
    <row r="620" spans="1:31" x14ac:dyDescent="0.2">
      <c r="A620" s="380">
        <v>1000000</v>
      </c>
      <c r="B620" s="380"/>
      <c r="C620" s="381"/>
      <c r="D620" s="374"/>
      <c r="E620" s="374"/>
      <c r="F620" s="375"/>
      <c r="G620" s="364"/>
      <c r="H620" s="365"/>
      <c r="I620" s="381"/>
      <c r="J620" s="382"/>
      <c r="K620" s="374"/>
      <c r="L620" s="375"/>
      <c r="M620" s="363"/>
      <c r="N620" s="366"/>
      <c r="O620" s="381"/>
      <c r="P620" s="368"/>
      <c r="Q620" s="369"/>
      <c r="R620" s="370">
        <f>R617</f>
        <v>-98.366330628671392</v>
      </c>
      <c r="S620" s="372"/>
      <c r="X620" s="371"/>
      <c r="Y620" s="372"/>
      <c r="AA620" s="371"/>
      <c r="AB620" s="372"/>
    </row>
    <row r="621" spans="1:31" x14ac:dyDescent="0.2">
      <c r="A621" s="380"/>
      <c r="B621" s="380"/>
      <c r="C621" s="381"/>
      <c r="D621" s="374"/>
      <c r="E621" s="374"/>
      <c r="F621" s="375"/>
      <c r="G621" s="364"/>
      <c r="H621" s="365"/>
      <c r="I621" s="381"/>
      <c r="J621" s="382"/>
      <c r="K621" s="374"/>
      <c r="L621" s="375"/>
      <c r="M621" s="363"/>
      <c r="N621" s="366"/>
      <c r="O621" s="381"/>
      <c r="P621" s="368"/>
      <c r="Q621" s="369"/>
      <c r="R621" s="370"/>
      <c r="S621" s="372"/>
      <c r="X621" s="371"/>
      <c r="Y621" s="372"/>
      <c r="AA621" s="371"/>
      <c r="AB621" s="372"/>
    </row>
    <row r="622" spans="1:31" x14ac:dyDescent="0.2">
      <c r="A622" s="466">
        <f>pole1</f>
        <v>761.06805460157761</v>
      </c>
      <c r="B622" s="380"/>
      <c r="C622" s="381">
        <f t="shared" si="266"/>
        <v>1.4142135623730951</v>
      </c>
      <c r="D622" s="374">
        <f t="shared" si="267"/>
        <v>0.78539816339744828</v>
      </c>
      <c r="E622" s="374">
        <f t="shared" si="268"/>
        <v>1.0004033314081917</v>
      </c>
      <c r="F622" s="375">
        <f t="shared" si="269"/>
        <v>2.8397038272056419E-2</v>
      </c>
      <c r="G622" s="364">
        <f t="shared" ref="G622:G628" si="281">IF(VIN_nom&gt;Vout, 1, SQRT(1+(A622/z_RHP)^2))</f>
        <v>1.0000286210192497</v>
      </c>
      <c r="H622" s="365">
        <f t="shared" ref="H622:H628" si="282">IF(VIN_nom&gt;Vout, 0, -ATAN(A622/z_RHP))</f>
        <v>-7.565756621887694E-3</v>
      </c>
      <c r="I622" s="381">
        <f t="shared" si="270"/>
        <v>2582.8720407757555</v>
      </c>
      <c r="J622" s="382">
        <f t="shared" si="271"/>
        <v>1.5704091608768038</v>
      </c>
      <c r="K622" s="374">
        <f t="shared" si="272"/>
        <v>1.181253357384169</v>
      </c>
      <c r="L622" s="375">
        <f t="shared" si="273"/>
        <v>0.56131016881397866</v>
      </c>
      <c r="M622" s="363">
        <f t="shared" si="274"/>
        <v>1.0001937221266262</v>
      </c>
      <c r="N622" s="366">
        <f t="shared" si="275"/>
        <v>1.9682015051476709E-2</v>
      </c>
      <c r="O622" s="381">
        <f t="shared" si="276"/>
        <v>1.0000203767817664</v>
      </c>
      <c r="P622" s="368">
        <f t="shared" si="277"/>
        <v>8.6371608267787111E-3</v>
      </c>
      <c r="Q622" s="369">
        <f t="shared" ref="Q622:Q628" si="283">20*LOG10(((E622*K622*G622)/(C622*I622*O622*M622))*Adc)</f>
        <v>16.786691203081283</v>
      </c>
      <c r="R622" s="370">
        <f t="shared" ref="R622:R628" si="284">((F622+L622+H622)-(D622+J622+P622+N622))*radconv</f>
        <v>-103.24613821079092</v>
      </c>
      <c r="S622" s="372">
        <f t="shared" si="278"/>
        <v>76.753861789209083</v>
      </c>
      <c r="T622" s="345" t="s">
        <v>482</v>
      </c>
      <c r="X622" s="371">
        <f t="shared" si="279"/>
        <v>21.299795141391801</v>
      </c>
      <c r="Y622" s="372">
        <f t="shared" si="280"/>
        <v>-58.944809818222083</v>
      </c>
      <c r="AA622" s="371">
        <f t="shared" ref="AA622:AA628" si="285">20*LOG10((E622*G622/(C622*O622))*Acs*Am)</f>
        <v>41.507495974969103</v>
      </c>
      <c r="AB622" s="372">
        <f t="shared" ref="AB622:AB628" si="286">(F622+H622-(D622+P622))*radconv</f>
        <v>-44.301328392568806</v>
      </c>
    </row>
    <row r="623" spans="1:31" x14ac:dyDescent="0.2">
      <c r="A623" s="466">
        <f>Zero1</f>
        <v>26793.761493898379</v>
      </c>
      <c r="B623" s="380"/>
      <c r="C623" s="381">
        <f t="shared" si="266"/>
        <v>35.219673322755305</v>
      </c>
      <c r="D623" s="374">
        <f t="shared" si="267"/>
        <v>1.5423992885228401</v>
      </c>
      <c r="E623" s="374">
        <f t="shared" si="268"/>
        <v>1.4142135623730951</v>
      </c>
      <c r="F623" s="375">
        <f t="shared" si="269"/>
        <v>0.78539816339744828</v>
      </c>
      <c r="G623" s="364">
        <f t="shared" si="281"/>
        <v>1.0348662962544188</v>
      </c>
      <c r="H623" s="365">
        <f t="shared" si="282"/>
        <v>-0.26031711718895495</v>
      </c>
      <c r="I623" s="381">
        <f t="shared" si="270"/>
        <v>90931.227278225939</v>
      </c>
      <c r="J623" s="382">
        <f t="shared" si="271"/>
        <v>1.570785329472745</v>
      </c>
      <c r="K623" s="374">
        <f t="shared" si="272"/>
        <v>22.158939393421388</v>
      </c>
      <c r="L623" s="375">
        <f t="shared" si="273"/>
        <v>1.5256524810471197</v>
      </c>
      <c r="M623" s="363">
        <f t="shared" si="274"/>
        <v>1.2166572063525789</v>
      </c>
      <c r="N623" s="366">
        <f t="shared" si="275"/>
        <v>0.60601531841743039</v>
      </c>
      <c r="O623" s="381">
        <f t="shared" si="276"/>
        <v>1.0251590881687351</v>
      </c>
      <c r="P623" s="368">
        <f t="shared" si="277"/>
        <v>0.30114637623645357</v>
      </c>
      <c r="Q623" s="369">
        <f t="shared" si="283"/>
        <v>-15.219897133178314</v>
      </c>
      <c r="R623" s="370">
        <f t="shared" si="284"/>
        <v>-112.85050000702481</v>
      </c>
      <c r="S623" s="372">
        <f t="shared" si="278"/>
        <v>67.149499992975194</v>
      </c>
      <c r="T623" s="345" t="s">
        <v>477</v>
      </c>
      <c r="X623" s="371">
        <f t="shared" si="279"/>
        <v>14.130028015050026</v>
      </c>
      <c r="Y623" s="372">
        <f t="shared" si="280"/>
        <v>-37.308041840418106</v>
      </c>
      <c r="AA623" s="371">
        <f t="shared" si="285"/>
        <v>16.670674765051281</v>
      </c>
      <c r="AB623" s="372">
        <f t="shared" si="286"/>
        <v>-75.542458166606679</v>
      </c>
    </row>
    <row r="624" spans="1:31" x14ac:dyDescent="0.2">
      <c r="A624" s="466">
        <f>Pole2</f>
        <v>0.29465962681375302</v>
      </c>
      <c r="B624" s="380"/>
      <c r="C624" s="381">
        <f t="shared" si="266"/>
        <v>1.0000000749487288</v>
      </c>
      <c r="D624" s="374">
        <f t="shared" si="267"/>
        <v>3.8716591809269895E-4</v>
      </c>
      <c r="E624" s="374">
        <f t="shared" si="268"/>
        <v>1.0000000000604705</v>
      </c>
      <c r="F624" s="375">
        <f t="shared" si="269"/>
        <v>1.0997322151612632E-5</v>
      </c>
      <c r="G624" s="364">
        <f t="shared" si="281"/>
        <v>1.0000000000042903</v>
      </c>
      <c r="H624" s="365">
        <f t="shared" si="282"/>
        <v>-2.9292591460658965E-6</v>
      </c>
      <c r="I624" s="381">
        <f t="shared" si="270"/>
        <v>1.4142135623730951</v>
      </c>
      <c r="J624" s="382">
        <f t="shared" si="271"/>
        <v>0.78539816339744828</v>
      </c>
      <c r="K624" s="374">
        <f t="shared" si="272"/>
        <v>1.0000000296316922</v>
      </c>
      <c r="L624" s="375">
        <f t="shared" si="273"/>
        <v>2.4344071737510787E-4</v>
      </c>
      <c r="M624" s="363">
        <f t="shared" si="274"/>
        <v>1.0000000000290412</v>
      </c>
      <c r="N624" s="366">
        <f t="shared" si="275"/>
        <v>7.6211899365505137E-6</v>
      </c>
      <c r="O624" s="381">
        <f t="shared" si="276"/>
        <v>1.0000000000030544</v>
      </c>
      <c r="P624" s="368">
        <f t="shared" si="277"/>
        <v>3.3440410303059221E-6</v>
      </c>
      <c r="Q624" s="369">
        <f t="shared" si="283"/>
        <v>83.579995808175411</v>
      </c>
      <c r="R624" s="370">
        <f t="shared" si="284"/>
        <v>-45.008400894337115</v>
      </c>
      <c r="S624" s="372">
        <f t="shared" si="278"/>
        <v>134.99159910566289</v>
      </c>
      <c r="T624" s="345" t="s">
        <v>485</v>
      </c>
      <c r="W624" s="345">
        <f>Pole2</f>
        <v>0.29465962681375302</v>
      </c>
      <c r="X624" s="371">
        <f t="shared" si="279"/>
        <v>85.086374632884301</v>
      </c>
      <c r="Y624" s="372">
        <f t="shared" si="280"/>
        <v>-44.986488587755552</v>
      </c>
      <c r="AA624" s="371">
        <f t="shared" si="285"/>
        <v>44.514221088570729</v>
      </c>
      <c r="AB624" s="372">
        <f t="shared" si="286"/>
        <v>-2.1912306581549471E-2</v>
      </c>
    </row>
    <row r="625" spans="1:28" x14ac:dyDescent="0.2">
      <c r="A625" s="466">
        <f>Zero2</f>
        <v>1210.3957964389413</v>
      </c>
      <c r="B625" s="380"/>
      <c r="C625" s="381">
        <f t="shared" si="266"/>
        <v>1.8786547269490672</v>
      </c>
      <c r="D625" s="374">
        <f t="shared" si="267"/>
        <v>1.009486157980918</v>
      </c>
      <c r="E625" s="374">
        <f t="shared" si="268"/>
        <v>1.0010198493948061</v>
      </c>
      <c r="F625" s="375">
        <f t="shared" si="269"/>
        <v>4.5143845747777016E-2</v>
      </c>
      <c r="G625" s="364">
        <f t="shared" si="281"/>
        <v>1.0000723908071385</v>
      </c>
      <c r="H625" s="365">
        <f t="shared" si="282"/>
        <v>-1.2032160270208179E-2</v>
      </c>
      <c r="I625" s="381">
        <f t="shared" si="270"/>
        <v>4107.7763024185115</v>
      </c>
      <c r="J625" s="382">
        <f t="shared" si="271"/>
        <v>1.5705528860775215</v>
      </c>
      <c r="K625" s="374">
        <f t="shared" si="272"/>
        <v>1.4142135623730951</v>
      </c>
      <c r="L625" s="375">
        <f t="shared" si="273"/>
        <v>0.78539816339744828</v>
      </c>
      <c r="M625" s="363">
        <f t="shared" si="274"/>
        <v>1.0004899172693538</v>
      </c>
      <c r="N625" s="366">
        <f t="shared" si="275"/>
        <v>3.1295921049285649E-2</v>
      </c>
      <c r="O625" s="381">
        <f t="shared" si="276"/>
        <v>1.0000515396331213</v>
      </c>
      <c r="P625" s="368">
        <f t="shared" si="277"/>
        <v>1.373629612018502E-2</v>
      </c>
      <c r="Q625" s="369">
        <f t="shared" si="283"/>
        <v>11.856301579851252</v>
      </c>
      <c r="R625" s="370">
        <f t="shared" si="284"/>
        <v>-103.5083444772895</v>
      </c>
      <c r="S625" s="372">
        <f t="shared" si="278"/>
        <v>76.491655522710502</v>
      </c>
      <c r="T625" s="345" t="s">
        <v>480</v>
      </c>
      <c r="W625" s="345">
        <f>Zero2</f>
        <v>1210.3957964389413</v>
      </c>
      <c r="X625" s="371">
        <f t="shared" si="279"/>
        <v>18.83058426072359</v>
      </c>
      <c r="Y625" s="372">
        <f t="shared" si="280"/>
        <v>-46.779176119884468</v>
      </c>
      <c r="AA625" s="371">
        <f t="shared" si="285"/>
        <v>39.046317232407283</v>
      </c>
      <c r="AB625" s="372">
        <f t="shared" si="286"/>
        <v>-56.729168357405001</v>
      </c>
    </row>
    <row r="626" spans="1:28" x14ac:dyDescent="0.2">
      <c r="A626" s="466">
        <f>pole3</f>
        <v>185000</v>
      </c>
      <c r="B626" s="380"/>
      <c r="C626" s="381">
        <f t="shared" si="266"/>
        <v>243.08150151181104</v>
      </c>
      <c r="D626" s="374">
        <f t="shared" si="267"/>
        <v>1.5666824686262397</v>
      </c>
      <c r="E626" s="374">
        <f t="shared" si="268"/>
        <v>6.9766320807826512</v>
      </c>
      <c r="F626" s="375">
        <f t="shared" si="269"/>
        <v>1.4269652887323314</v>
      </c>
      <c r="G626" s="364">
        <f t="shared" si="281"/>
        <v>2.0934048853208647</v>
      </c>
      <c r="H626" s="365">
        <f t="shared" si="282"/>
        <v>-1.0727721243370232</v>
      </c>
      <c r="I626" s="381">
        <f t="shared" si="270"/>
        <v>627843.05403728946</v>
      </c>
      <c r="J626" s="382">
        <f t="shared" si="271"/>
        <v>1.5707947340401571</v>
      </c>
      <c r="K626" s="374">
        <f t="shared" si="272"/>
        <v>152.84583779792735</v>
      </c>
      <c r="L626" s="375">
        <f t="shared" si="273"/>
        <v>1.5642537401685099</v>
      </c>
      <c r="M626" s="363">
        <f t="shared" si="274"/>
        <v>4.8882895637760324</v>
      </c>
      <c r="N626" s="366">
        <f t="shared" si="275"/>
        <v>1.3647713856523955</v>
      </c>
      <c r="O626" s="381">
        <f t="shared" si="276"/>
        <v>2.0995329332931103</v>
      </c>
      <c r="P626" s="368" t="e">
        <f t="shared" si="277"/>
        <v>#DIV/0!</v>
      </c>
      <c r="Q626" s="369">
        <f t="shared" si="283"/>
        <v>-30.332302817673447</v>
      </c>
      <c r="R626" s="370" t="e">
        <f t="shared" si="284"/>
        <v>#DIV/0!</v>
      </c>
      <c r="S626" s="372" t="e">
        <f t="shared" si="278"/>
        <v>#DIV/0!</v>
      </c>
      <c r="T626" s="345" t="s">
        <v>478</v>
      </c>
      <c r="X626" s="371">
        <f t="shared" si="279"/>
        <v>2.0415863105606236</v>
      </c>
      <c r="Y626" s="372">
        <f t="shared" si="280"/>
        <v>-78.570411830549588</v>
      </c>
      <c r="AA626" s="371">
        <f t="shared" si="285"/>
        <v>13.646710785045553</v>
      </c>
      <c r="AB626" s="372" t="e">
        <f t="shared" si="286"/>
        <v>#DIV/0!</v>
      </c>
    </row>
    <row r="627" spans="1:28" ht="13.5" thickBot="1" x14ac:dyDescent="0.25">
      <c r="A627" s="441">
        <f>Fp2_u</f>
        <v>38663.204730653437</v>
      </c>
      <c r="C627" s="381">
        <f>SQRT(1+(A627/pole1)^2)</f>
        <v>50.811086360917251</v>
      </c>
      <c r="D627" s="374">
        <f>ATAN(A627/pole1)</f>
        <v>1.5511143117434198</v>
      </c>
      <c r="E627" s="374">
        <f>SQRT(1+(A627/Zero1)^2)</f>
        <v>1.7556275802091765</v>
      </c>
      <c r="F627" s="375">
        <f>ATAN(A627/Zero1)</f>
        <v>0.96478100837746616</v>
      </c>
      <c r="G627" s="364">
        <f t="shared" si="281"/>
        <v>1.0713218233833601</v>
      </c>
      <c r="H627" s="365">
        <f t="shared" si="282"/>
        <v>-0.36694889196901276</v>
      </c>
      <c r="I627" s="381">
        <f>SQRT(1+(A627/Pole2)^2)</f>
        <v>131213.10560884647</v>
      </c>
      <c r="J627" s="382">
        <f>ATAN(A627/Pole2)</f>
        <v>1.5707887056049601</v>
      </c>
      <c r="K627" s="374">
        <f>SQRT(1+(A627/Zero2)^2)</f>
        <v>31.95826242634417</v>
      </c>
      <c r="L627" s="375">
        <f>ATAN(A627/Zero2)</f>
        <v>1.539500405745611</v>
      </c>
      <c r="M627" s="363">
        <f>SQRT(1+(A627/pole4)^2)</f>
        <v>1.4142135623730951</v>
      </c>
      <c r="N627" s="366">
        <f>ATAN(A627/pole4)</f>
        <v>0.78539816339744828</v>
      </c>
      <c r="O627" s="381">
        <f>SQRT((1-(A627^2/(pole3^2)))^2+(A627/(Q*pole3))^2)</f>
        <v>1.0521803263705609</v>
      </c>
      <c r="P627" s="368">
        <f>ATAN((A627/(Q*pole3))/(1-A627^2/pole3^2))</f>
        <v>0.43016599605932615</v>
      </c>
      <c r="Q627" s="369">
        <f t="shared" si="283"/>
        <v>-17.761811136775929</v>
      </c>
      <c r="R627" s="370">
        <f t="shared" si="284"/>
        <v>-126.05843021602315</v>
      </c>
      <c r="S627" s="372">
        <f>IF(R627&gt;0,R627,R627+180)</f>
        <v>53.941569783976846</v>
      </c>
      <c r="T627" s="345" t="s">
        <v>490</v>
      </c>
      <c r="X627" s="383"/>
      <c r="Y627" s="384"/>
      <c r="AA627" s="371">
        <f t="shared" si="285"/>
        <v>15.440295521364877</v>
      </c>
      <c r="AB627" s="372">
        <f t="shared" si="286"/>
        <v>-79.2657426324742</v>
      </c>
    </row>
    <row r="628" spans="1:28" x14ac:dyDescent="0.2">
      <c r="A628" s="441">
        <f>z_RHP</f>
        <v>100591.86030319271</v>
      </c>
      <c r="C628" s="381">
        <f>SQRT(1+(A628/pole1)^2)</f>
        <v>132.17574793285021</v>
      </c>
      <c r="D628" s="374">
        <f>ATAN(A628/pole1)</f>
        <v>1.5632305701730089</v>
      </c>
      <c r="E628" s="374">
        <f>SQRT(1+(A628/Zero1)^2)</f>
        <v>3.8852001399285792</v>
      </c>
      <c r="F628" s="375">
        <f>ATAN(A628/Zero1)</f>
        <v>1.3104792096059417</v>
      </c>
      <c r="G628" s="364">
        <f t="shared" si="281"/>
        <v>1.4142135623730951</v>
      </c>
      <c r="H628" s="365">
        <f t="shared" si="282"/>
        <v>-0.78539816339744828</v>
      </c>
      <c r="I628" s="381">
        <f>SQRT(1+(A628/Pole2)^2)</f>
        <v>341383.24748237693</v>
      </c>
      <c r="J628" s="382">
        <f>ATAN(A628/Pole2)</f>
        <v>1.5707933975357506</v>
      </c>
      <c r="K628" s="374">
        <f>SQRT(1+(A628/Zero2)^2)</f>
        <v>83.112600461039648</v>
      </c>
      <c r="L628" s="375">
        <f>ATAN(A628/Zero2)</f>
        <v>1.5587641665246885</v>
      </c>
      <c r="M628" s="363">
        <f>SQRT(1+(A628/pole4)^2)</f>
        <v>2.7873078796310975</v>
      </c>
      <c r="N628" s="366">
        <f>ATAN(A628/pole4)</f>
        <v>1.2038474348258839</v>
      </c>
      <c r="O628" s="381">
        <f>SQRT((1-(A628^2/(pole3^2)))^2+(A628/(Q*pole3))^2)</f>
        <v>1.3414001554582966</v>
      </c>
      <c r="P628" s="368">
        <f>ATAN((A628/(Q*pole3))/(1-A628^2/pole3^2))</f>
        <v>1.0179831401291968</v>
      </c>
      <c r="Q628" s="369">
        <f t="shared" si="283"/>
        <v>-24.760544090271196</v>
      </c>
      <c r="R628" s="370">
        <f t="shared" si="284"/>
        <v>-187.47232534667356</v>
      </c>
      <c r="S628" s="372">
        <f>IF(R628&gt;0,R628,R628+180)</f>
        <v>-7.4723253466735571</v>
      </c>
      <c r="T628" s="345" t="s">
        <v>612</v>
      </c>
      <c r="X628" s="379"/>
      <c r="Y628" s="379"/>
      <c r="AA628" s="371">
        <f t="shared" si="285"/>
        <v>14.338587031187595</v>
      </c>
      <c r="AB628" s="372">
        <f t="shared" si="286"/>
        <v>-117.80772390617484</v>
      </c>
    </row>
    <row r="629" spans="1:28" x14ac:dyDescent="0.2">
      <c r="A629" s="441">
        <f>Fp2_u</f>
        <v>38663.204730653437</v>
      </c>
      <c r="Q629" s="369">
        <v>-25</v>
      </c>
    </row>
    <row r="631" spans="1:28" x14ac:dyDescent="0.2">
      <c r="D631" s="345" t="s">
        <v>509</v>
      </c>
      <c r="E631" s="345" t="s">
        <v>510</v>
      </c>
    </row>
    <row r="632" spans="1:28" x14ac:dyDescent="0.2">
      <c r="A632" s="345" t="s">
        <v>482</v>
      </c>
      <c r="B632" s="345" t="s">
        <v>609</v>
      </c>
      <c r="C632" s="385">
        <f>pole1</f>
        <v>761.06805460157761</v>
      </c>
      <c r="D632" s="385">
        <f>Q622</f>
        <v>16.786691203081283</v>
      </c>
      <c r="E632" s="385">
        <f>AA622</f>
        <v>41.507495974969103</v>
      </c>
    </row>
    <row r="633" spans="1:28" x14ac:dyDescent="0.2">
      <c r="A633" s="345" t="s">
        <v>477</v>
      </c>
      <c r="B633" s="345" t="s">
        <v>621</v>
      </c>
      <c r="C633" s="385">
        <f>Zero1</f>
        <v>26793.761493898379</v>
      </c>
      <c r="D633" s="385">
        <f>Q623</f>
        <v>-15.219897133178314</v>
      </c>
      <c r="E633" s="385">
        <f>AA623</f>
        <v>16.670674765051281</v>
      </c>
    </row>
    <row r="634" spans="1:28" x14ac:dyDescent="0.2">
      <c r="A634" s="345" t="s">
        <v>485</v>
      </c>
      <c r="B634" s="345" t="s">
        <v>622</v>
      </c>
      <c r="C634" s="385">
        <f>Pole2</f>
        <v>0.29465962681375302</v>
      </c>
      <c r="D634" s="385">
        <f>Q624</f>
        <v>83.579995808175411</v>
      </c>
      <c r="E634" s="385">
        <f>AA624</f>
        <v>44.514221088570729</v>
      </c>
    </row>
    <row r="635" spans="1:28" x14ac:dyDescent="0.2">
      <c r="A635" s="345" t="s">
        <v>480</v>
      </c>
      <c r="B635" s="345" t="s">
        <v>623</v>
      </c>
      <c r="C635" s="385">
        <f>Zero2</f>
        <v>1210.3957964389413</v>
      </c>
      <c r="D635" s="385">
        <f>Q625</f>
        <v>11.856301579851252</v>
      </c>
      <c r="E635" s="385">
        <f>AA625</f>
        <v>39.046317232407283</v>
      </c>
    </row>
    <row r="636" spans="1:28" x14ac:dyDescent="0.2">
      <c r="A636" s="345" t="s">
        <v>478</v>
      </c>
      <c r="B636" s="345" t="s">
        <v>620</v>
      </c>
      <c r="C636" s="345">
        <f>pole3</f>
        <v>185000</v>
      </c>
      <c r="D636" s="385">
        <f>Q626</f>
        <v>-30.332302817673447</v>
      </c>
      <c r="E636" s="385">
        <f>AA626</f>
        <v>13.646710785045553</v>
      </c>
    </row>
    <row r="637" spans="1:28" x14ac:dyDescent="0.2">
      <c r="A637" s="345" t="s">
        <v>608</v>
      </c>
      <c r="B637" s="345" t="s">
        <v>624</v>
      </c>
      <c r="C637" s="441">
        <f>z_RHP</f>
        <v>100591.86030319271</v>
      </c>
      <c r="D637" s="385">
        <f>Q628</f>
        <v>-24.760544090271196</v>
      </c>
      <c r="E637" s="385">
        <f>AA628</f>
        <v>14.338587031187595</v>
      </c>
    </row>
    <row r="639" spans="1:28" x14ac:dyDescent="0.2">
      <c r="A639" s="385">
        <f>Q4*1000</f>
        <v>3981.1</v>
      </c>
    </row>
    <row r="640" spans="1:28" x14ac:dyDescent="0.2">
      <c r="A640" s="385">
        <f>Q4*1000</f>
        <v>3981.1</v>
      </c>
    </row>
    <row r="687" spans="30:31" x14ac:dyDescent="0.2">
      <c r="AD687" t="s">
        <v>48</v>
      </c>
      <c r="AE687" s="4">
        <f>SUM(AE689:AE1306)</f>
        <v>0</v>
      </c>
    </row>
  </sheetData>
  <mergeCells count="20">
    <mergeCell ref="X10:Y10"/>
    <mergeCell ref="AA10:AB10"/>
    <mergeCell ref="C11:D11"/>
    <mergeCell ref="E11:F11"/>
    <mergeCell ref="I11:J11"/>
    <mergeCell ref="K11:L11"/>
    <mergeCell ref="M11:N11"/>
    <mergeCell ref="O11:P11"/>
    <mergeCell ref="B10:B11"/>
    <mergeCell ref="A2:D2"/>
    <mergeCell ref="J2:L2"/>
    <mergeCell ref="M2:O2"/>
    <mergeCell ref="A10:A12"/>
    <mergeCell ref="O10:P10"/>
    <mergeCell ref="P2:R2"/>
    <mergeCell ref="G11:H11"/>
    <mergeCell ref="E2:G2"/>
    <mergeCell ref="C10:H10"/>
    <mergeCell ref="I10:N10"/>
    <mergeCell ref="Q10:S10"/>
  </mergeCells>
  <phoneticPr fontId="98" type="noConversion"/>
  <pageMargins left="0.75" right="0.75" top="1" bottom="1" header="0.5" footer="0.5"/>
  <pageSetup scale="48" orientation="portrait" horizontalDpi="300" verticalDpi="300" r:id="rId1"/>
  <headerFooter alignWithMargins="0"/>
  <colBreaks count="1" manualBreakCount="1">
    <brk id="19" max="1048575" man="1"/>
  </colBreaks>
  <ignoredErrors>
    <ignoredError sqref="F13 A62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2:P159"/>
  <sheetViews>
    <sheetView workbookViewId="0">
      <selection activeCell="N19" sqref="N19"/>
    </sheetView>
  </sheetViews>
  <sheetFormatPr defaultRowHeight="12.75" x14ac:dyDescent="0.2"/>
  <cols>
    <col min="1" max="1" width="17.28515625" customWidth="1"/>
    <col min="2" max="2" width="12" bestFit="1" customWidth="1"/>
    <col min="3" max="4" width="12.42578125" bestFit="1" customWidth="1"/>
    <col min="7" max="8" width="12.42578125" bestFit="1" customWidth="1"/>
    <col min="13" max="13" width="12.140625" customWidth="1"/>
    <col min="14" max="14" width="12.42578125" bestFit="1" customWidth="1"/>
    <col min="15" max="15" width="15.42578125" customWidth="1"/>
  </cols>
  <sheetData>
    <row r="2" spans="1:16" x14ac:dyDescent="0.2">
      <c r="A2" t="s">
        <v>193</v>
      </c>
      <c r="B2" t="s">
        <v>183</v>
      </c>
      <c r="C2" t="s">
        <v>33</v>
      </c>
      <c r="D2" t="s">
        <v>34</v>
      </c>
      <c r="E2" t="s">
        <v>27</v>
      </c>
      <c r="F2" t="s">
        <v>61</v>
      </c>
      <c r="G2" s="118" t="s">
        <v>438</v>
      </c>
      <c r="H2" s="118" t="s">
        <v>464</v>
      </c>
      <c r="I2" t="s">
        <v>191</v>
      </c>
      <c r="J2" t="s">
        <v>204</v>
      </c>
    </row>
    <row r="3" spans="1:16" x14ac:dyDescent="0.2">
      <c r="A3" t="s">
        <v>196</v>
      </c>
      <c r="B3">
        <f>Css</f>
        <v>2.1875000000000002E-7</v>
      </c>
      <c r="C3">
        <f>Cc1ea</f>
        <v>2.8346326293472507E-8</v>
      </c>
      <c r="D3">
        <f>Cc2ea</f>
        <v>8.493348314285888E-10</v>
      </c>
      <c r="E3">
        <f>Cout</f>
        <v>2.2000000000000001E-4</v>
      </c>
      <c r="F3">
        <f>Cin</f>
        <v>1.2E-4</v>
      </c>
      <c r="G3">
        <f>Csideal*10^-12</f>
        <v>1.2533333333333331E-10</v>
      </c>
      <c r="H3">
        <f>N19</f>
        <v>4.6296296296296295E-8</v>
      </c>
      <c r="I3">
        <f>Csb</f>
        <v>900</v>
      </c>
      <c r="J3">
        <f>Csby</f>
        <v>4.6296296296296295E-8</v>
      </c>
      <c r="M3" t="s">
        <v>198</v>
      </c>
      <c r="N3" t="s">
        <v>199</v>
      </c>
      <c r="O3" s="2" t="s">
        <v>195</v>
      </c>
    </row>
    <row r="4" spans="1:16" x14ac:dyDescent="0.2">
      <c r="A4" s="7" t="s">
        <v>195</v>
      </c>
      <c r="B4" s="7">
        <f>SUM(B6:B158)/1000000000000</f>
        <v>2.2000000000000001E-7</v>
      </c>
      <c r="C4" s="7">
        <f>SUM(C6:C158)/1000000000000000</f>
        <v>2.7E-11</v>
      </c>
      <c r="D4" s="7">
        <f>SUM(D6:D158)/1000000000000</f>
        <v>8.1999999999999996E-10</v>
      </c>
      <c r="E4" s="7">
        <f>SUM(E6:E158)/1000000000000</f>
        <v>2.2000000000000001E-4</v>
      </c>
      <c r="F4" s="7">
        <f>SUM(F6:F158)/1000000000000</f>
        <v>1.2E-4</v>
      </c>
      <c r="G4" s="7">
        <f>SUM(G6:G158)/1000000000000</f>
        <v>1.2E-10</v>
      </c>
      <c r="H4" s="7">
        <f t="shared" ref="H4:J4" si="0">IF(H3="OPEN","OPEN",SUM(H6:H158)/1000000000000)</f>
        <v>4.6999999999999997E-8</v>
      </c>
      <c r="I4" s="7">
        <f t="shared" si="0"/>
        <v>0</v>
      </c>
      <c r="J4" s="7">
        <f t="shared" si="0"/>
        <v>4.6999999999999997E-8</v>
      </c>
      <c r="M4" s="118" t="s">
        <v>359</v>
      </c>
      <c r="N4">
        <f>Rfadj</f>
        <v>21661.230195712953</v>
      </c>
      <c r="O4" s="2">
        <f t="shared" ref="O4:O9" si="1">IF(N4&gt;(INT(0.5+100*POWER(10,IF(96*(LOG(N4)-INT(LOG(N4)))-ROUND(96*(LOG(N4)-INT(LOG(N4))),0)&lt;0,ROUND(96*(LOG(N4)-INT(LOG(N4))),0)-1,ROUND(96*(LOG(N4)-INT(LOG(N4))),0))/96))*POWER(10,INT(LOG(N4))-2)+INT(0.5+100*POWER(10,(IF(96*(LOG(N4)-INT(LOG(N4)))-ROUND(96*(LOG(N4)-INT(LOG(N4))),0)&lt;0,ROUND(96*(LOG(N4)-INT(LOG(N4))),0)-1,ROUND(96*(LOG(N4)-INT(LOG(N4))),0))+1)/96))*POWER(10,INT(LOG(N4))-2))/2,INT(0.5+100*POWER(10,(IF(96*(LOG(N4)-INT(LOG(N4)))-ROUND(96*(LOG(N4)-INT(LOG(N4))),0)&lt;0,ROUND(96*(LOG(N4)-INT(LOG(N4))),0)-1,ROUND(96*(LOG(N4)-INT(LOG(N4))),0))+1)/96))*POWER(10,INT(LOG(N4))-2),INT(0.5+100*POWER(10,IF(96*(LOG(N4)-INT(LOG(N4)))-ROUND(96*(LOG(N4)-INT(LOG(N4))),0)&lt;0,ROUND(96*(LOG(N4)-INT(LOG(N4))),0)-1,ROUND(96*(LOG(N4)-INT(LOG(N4))),0))/96))*POWER(10,INT(LOG(N4))-2))</f>
        <v>21500</v>
      </c>
      <c r="P4" s="45" t="s">
        <v>347</v>
      </c>
    </row>
    <row r="5" spans="1:16" x14ac:dyDescent="0.2">
      <c r="A5" t="s">
        <v>194</v>
      </c>
      <c r="O5" s="2"/>
      <c r="P5" s="45"/>
    </row>
    <row r="6" spans="1:16" x14ac:dyDescent="0.2">
      <c r="A6">
        <v>0.47</v>
      </c>
      <c r="B6">
        <f t="shared" ref="B6:J6" si="2">IF(IF((B$3*10^12-$A7)*(B$3*10^12-$A6)*-1&lt;0,0,1)*IF(ABS(B$3*10^12-$A7)&gt;(B$3*10^12-$A6),$A6,$A7)=B7,0,IF((B$3*10^12-$A7)*(B$3*10^12-$A6)*-1&lt;0,0,1)*IF(ABS(B$3*10^12-$A7)&gt;(B$3*10^12-$A6),$A6,$A7))</f>
        <v>0</v>
      </c>
      <c r="C6">
        <f t="shared" si="2"/>
        <v>0</v>
      </c>
      <c r="D6">
        <f t="shared" si="2"/>
        <v>0</v>
      </c>
      <c r="E6">
        <f t="shared" si="2"/>
        <v>0</v>
      </c>
      <c r="F6">
        <f t="shared" si="2"/>
        <v>0</v>
      </c>
      <c r="G6">
        <f t="shared" si="2"/>
        <v>0</v>
      </c>
      <c r="H6">
        <f t="shared" si="2"/>
        <v>0</v>
      </c>
      <c r="I6">
        <f t="shared" si="2"/>
        <v>0</v>
      </c>
      <c r="J6">
        <f t="shared" si="2"/>
        <v>0</v>
      </c>
      <c r="M6" s="118" t="s">
        <v>454</v>
      </c>
      <c r="N6" s="53">
        <f>Rshunt</f>
        <v>4.166666666666667</v>
      </c>
      <c r="O6" s="2">
        <f t="shared" si="1"/>
        <v>4.12</v>
      </c>
      <c r="P6" s="45" t="s">
        <v>347</v>
      </c>
    </row>
    <row r="7" spans="1:16" x14ac:dyDescent="0.2">
      <c r="A7">
        <v>0.56000000000000005</v>
      </c>
      <c r="B7">
        <f t="shared" ref="B7:B70" si="3">IF(IF((B$3*10^12-$A8)*(B$3*10^12-$A7)*-1&lt;0,0,1)*IF(ABS(B$3*10^12-$A8)&gt;(B$3*10^12-$A7),$A7,$A8)=B8,0,IF((B$3*10^12-$A8)*(B$3*10^12-$A7)*-1&lt;0,0,1)*IF(ABS(B$3*10^12-$A8)&gt;(B$3*10^12-$A7),$A7,$A8))</f>
        <v>0</v>
      </c>
      <c r="C7">
        <f t="shared" ref="C7:C38" si="4">IF(IF((C$3*10^12-$A8)*(C$3*10^12-$A7)*-1&lt;0,0,1)*IF(ABS(C$3*10^12-$A8)&gt;(C$3*10^12-$A7),$A7,$A8)=C8,0,IF((C$3*10^12-$A8)*(C$3*10^12-$A7)*-1&lt;0,0,1)*IF(ABS(C$3*10^12-$A8)&gt;(C$3*10^12-$A7),$A7,$A8))</f>
        <v>0</v>
      </c>
      <c r="D7">
        <f t="shared" ref="D7:D69" si="5">IF(IF((D$3*10^12-$A8)*(D$3*10^12-$A7)*-1&lt;0,0,1)*IF(ABS(D$3*10^12-$A8)&gt;(D$3*10^12-$A7),$A7,$A8)=D8,0,IF((D$3*10^12-$A8)*(D$3*10^12-$A7)*-1&lt;0,0,1)*IF(ABS(D$3*10^12-$A8)&gt;(D$3*10^12-$A7),$A7,$A8))</f>
        <v>0</v>
      </c>
      <c r="E7">
        <f t="shared" ref="E7:E69" si="6">IF(IF((E$3*10^12-$A8)*(E$3*10^12-$A7)*-1&lt;0,0,1)*IF(ABS(E$3*10^12-$A8)&gt;(E$3*10^12-$A7),$A7,$A8)=E8,0,IF((E$3*10^12-$A8)*(E$3*10^12-$A7)*-1&lt;0,0,1)*IF(ABS(E$3*10^12-$A8)&gt;(E$3*10^12-$A7),$A7,$A8))</f>
        <v>0</v>
      </c>
      <c r="F7">
        <f t="shared" ref="F7:F69" si="7">IF(IF((F$3*10^12-$A8)*(F$3*10^12-$A7)*-1&lt;0,0,1)*IF(ABS(F$3*10^12-$A8)&gt;(F$3*10^12-$A7),$A7,$A8)=F8,0,IF((F$3*10^12-$A8)*(F$3*10^12-$A7)*-1&lt;0,0,1)*IF(ABS(F$3*10^12-$A8)&gt;(F$3*10^12-$A7),$A7,$A8))</f>
        <v>0</v>
      </c>
      <c r="G7">
        <f t="shared" ref="G7:J69" si="8">IF(IF((G$3*10^12-$A8)*(G$3*10^12-$A7)*-1&lt;0,0,1)*IF(ABS(G$3*10^12-$A8)&gt;(G$3*10^12-$A7),$A7,$A8)=G8,0,IF((G$3*10^12-$A8)*(G$3*10^12-$A7)*-1&lt;0,0,1)*IF(ABS(G$3*10^12-$A8)&gt;(G$3*10^12-$A7),$A7,$A8))</f>
        <v>0</v>
      </c>
      <c r="H7">
        <f t="shared" si="8"/>
        <v>0</v>
      </c>
      <c r="I7">
        <f t="shared" si="8"/>
        <v>0</v>
      </c>
      <c r="J7">
        <f t="shared" si="8"/>
        <v>0</v>
      </c>
      <c r="M7" t="s">
        <v>215</v>
      </c>
      <c r="N7">
        <f>Rcea1</f>
        <v>4918.227321604405</v>
      </c>
      <c r="O7" s="2">
        <f t="shared" si="1"/>
        <v>4870</v>
      </c>
      <c r="P7" s="45" t="s">
        <v>347</v>
      </c>
    </row>
    <row r="8" spans="1:16" x14ac:dyDescent="0.2">
      <c r="A8">
        <v>0.68</v>
      </c>
      <c r="B8">
        <f t="shared" si="3"/>
        <v>0</v>
      </c>
      <c r="C8">
        <f t="shared" si="4"/>
        <v>0</v>
      </c>
      <c r="D8">
        <f t="shared" si="5"/>
        <v>0</v>
      </c>
      <c r="E8">
        <f t="shared" si="6"/>
        <v>0</v>
      </c>
      <c r="F8">
        <f t="shared" si="7"/>
        <v>0</v>
      </c>
      <c r="G8">
        <f t="shared" si="8"/>
        <v>0</v>
      </c>
      <c r="H8">
        <f t="shared" si="8"/>
        <v>0</v>
      </c>
      <c r="I8">
        <f t="shared" si="8"/>
        <v>0</v>
      </c>
      <c r="J8">
        <f t="shared" si="8"/>
        <v>0</v>
      </c>
      <c r="O8" s="2"/>
      <c r="P8" s="45"/>
    </row>
    <row r="9" spans="1:16" x14ac:dyDescent="0.2">
      <c r="A9">
        <v>0.82</v>
      </c>
      <c r="B9">
        <f t="shared" si="3"/>
        <v>0</v>
      </c>
      <c r="C9">
        <f t="shared" si="4"/>
        <v>0</v>
      </c>
      <c r="D9">
        <f t="shared" si="5"/>
        <v>0</v>
      </c>
      <c r="E9">
        <f t="shared" si="6"/>
        <v>0</v>
      </c>
      <c r="F9">
        <f t="shared" si="7"/>
        <v>0</v>
      </c>
      <c r="G9">
        <f t="shared" si="8"/>
        <v>0</v>
      </c>
      <c r="H9">
        <f t="shared" si="8"/>
        <v>0</v>
      </c>
      <c r="I9">
        <f t="shared" si="8"/>
        <v>0</v>
      </c>
      <c r="J9">
        <f t="shared" si="8"/>
        <v>0</v>
      </c>
      <c r="M9" t="s">
        <v>31</v>
      </c>
      <c r="N9">
        <f>Rfb1_</f>
        <v>280000</v>
      </c>
      <c r="O9" s="2">
        <f t="shared" si="1"/>
        <v>280000</v>
      </c>
      <c r="P9" s="45" t="s">
        <v>347</v>
      </c>
    </row>
    <row r="10" spans="1:16" x14ac:dyDescent="0.2">
      <c r="A10">
        <v>1</v>
      </c>
      <c r="B10">
        <f t="shared" si="3"/>
        <v>0</v>
      </c>
      <c r="C10">
        <f t="shared" si="4"/>
        <v>0</v>
      </c>
      <c r="D10">
        <f t="shared" si="5"/>
        <v>0</v>
      </c>
      <c r="E10">
        <f t="shared" si="6"/>
        <v>0</v>
      </c>
      <c r="F10">
        <f t="shared" si="7"/>
        <v>0</v>
      </c>
      <c r="G10">
        <f t="shared" si="8"/>
        <v>0</v>
      </c>
      <c r="H10">
        <f t="shared" si="8"/>
        <v>0</v>
      </c>
      <c r="I10">
        <f t="shared" si="8"/>
        <v>0</v>
      </c>
      <c r="J10">
        <f t="shared" si="8"/>
        <v>0</v>
      </c>
      <c r="M10" t="s">
        <v>43</v>
      </c>
      <c r="N10">
        <f>Rfb2_</f>
        <v>20000</v>
      </c>
      <c r="O10" s="2">
        <f>IF(N10="OPEN","OPEN",IF(N10&gt;(INT(0.5+100*POWER(10,IF(96*(LOG(N10)-INT(LOG(N10)))-ROUND(96*(LOG(N10)-INT(LOG(N10))),0)&lt;0,ROUND(96*(LOG(N10)-INT(LOG(N10))),0)-1,ROUND(96*(LOG(N10)-INT(LOG(N10))),0))/96))*POWER(10,INT(LOG(N10))-2)+INT(0.5+100*POWER(10,(IF(96*(LOG(N10)-INT(LOG(N10)))-ROUND(96*(LOG(N10)-INT(LOG(N10))),0)&lt;0,ROUND(96*(LOG(N10)-INT(LOG(N10))),0)-1,ROUND(96*(LOG(N10)-INT(LOG(N10))),0))+1)/96))*POWER(10,INT(LOG(N10))-2))/2,INT(0.5+100*POWER(10,(IF(96*(LOG(N10)-INT(LOG(N10)))-ROUND(96*(LOG(N10)-INT(LOG(N10))),0)&lt;0,ROUND(96*(LOG(N10)-INT(LOG(N10))),0)-1,ROUND(96*(LOG(N10)-INT(LOG(N10))),0))+1)/96))*POWER(10,INT(LOG(N10))-2),INT(0.5+100*POWER(10,IF(96*(LOG(N10)-INT(LOG(N10)))-ROUND(96*(LOG(N10)-INT(LOG(N10))),0)&lt;0,ROUND(96*(LOG(N10)-INT(LOG(N10))),0)-1,ROUND(96*(LOG(N10)-INT(LOG(N10))),0))/96))*POWER(10,INT(LOG(N10))-2)))</f>
        <v>20000</v>
      </c>
      <c r="P10" s="45" t="s">
        <v>347</v>
      </c>
    </row>
    <row r="11" spans="1:16" x14ac:dyDescent="0.2">
      <c r="A11">
        <v>1.2</v>
      </c>
      <c r="B11">
        <f t="shared" si="3"/>
        <v>0</v>
      </c>
      <c r="C11">
        <f t="shared" si="4"/>
        <v>0</v>
      </c>
      <c r="D11">
        <f t="shared" si="5"/>
        <v>0</v>
      </c>
      <c r="E11">
        <f t="shared" si="6"/>
        <v>0</v>
      </c>
      <c r="F11">
        <f t="shared" si="7"/>
        <v>0</v>
      </c>
      <c r="G11">
        <f t="shared" si="8"/>
        <v>0</v>
      </c>
      <c r="H11">
        <f t="shared" si="8"/>
        <v>0</v>
      </c>
      <c r="I11">
        <f t="shared" si="8"/>
        <v>0</v>
      </c>
      <c r="J11">
        <f t="shared" si="8"/>
        <v>0</v>
      </c>
      <c r="O11" s="2"/>
    </row>
    <row r="12" spans="1:16" x14ac:dyDescent="0.2">
      <c r="A12">
        <v>1.5</v>
      </c>
      <c r="B12">
        <f t="shared" si="3"/>
        <v>0</v>
      </c>
      <c r="C12">
        <f t="shared" si="4"/>
        <v>0</v>
      </c>
      <c r="D12">
        <f t="shared" si="5"/>
        <v>0</v>
      </c>
      <c r="E12">
        <f t="shared" si="6"/>
        <v>0</v>
      </c>
      <c r="F12">
        <f t="shared" si="7"/>
        <v>0</v>
      </c>
      <c r="G12">
        <f t="shared" si="8"/>
        <v>0</v>
      </c>
      <c r="H12">
        <f t="shared" si="8"/>
        <v>0</v>
      </c>
      <c r="I12">
        <f t="shared" si="8"/>
        <v>0</v>
      </c>
      <c r="J12">
        <f t="shared" si="8"/>
        <v>0</v>
      </c>
      <c r="O12" s="2"/>
    </row>
    <row r="13" spans="1:16" x14ac:dyDescent="0.2">
      <c r="A13">
        <v>1.8</v>
      </c>
      <c r="B13">
        <f t="shared" si="3"/>
        <v>0</v>
      </c>
      <c r="C13">
        <f t="shared" si="4"/>
        <v>0</v>
      </c>
      <c r="D13">
        <f t="shared" si="5"/>
        <v>0</v>
      </c>
      <c r="E13">
        <f t="shared" si="6"/>
        <v>0</v>
      </c>
      <c r="F13">
        <f t="shared" si="7"/>
        <v>0</v>
      </c>
      <c r="G13">
        <f t="shared" si="8"/>
        <v>0</v>
      </c>
      <c r="H13">
        <f t="shared" si="8"/>
        <v>0</v>
      </c>
      <c r="I13">
        <f t="shared" si="8"/>
        <v>0</v>
      </c>
      <c r="J13">
        <f t="shared" si="8"/>
        <v>0</v>
      </c>
      <c r="M13" s="118" t="s">
        <v>200</v>
      </c>
      <c r="N13">
        <f>Rs_ideal*1000</f>
        <v>5.2422424187445706</v>
      </c>
      <c r="O13" s="2">
        <f>IF(N13=0,0,IF(N13&gt;(INT(0.5+100*POWER(10,IF(96*(LOG(N13)-INT(LOG(N13)))-ROUND(96*(LOG(N13)-INT(LOG(N13))),0)&lt;0,ROUND(96*(LOG(N13)-INT(LOG(N13))),0)-1,ROUND(96*(LOG(N13)-INT(LOG(N13))),0))/96))*POWER(10,INT(LOG(N13))-2)+INT(0.5+100*POWER(10,(IF(96*(LOG(N13)-INT(LOG(N13)))-ROUND(96*(LOG(N13)-INT(LOG(N13))),0)&lt;0,ROUND(96*(LOG(N13)-INT(LOG(N13))),0)-1,ROUND(96*(LOG(N13)-INT(LOG(N13))),0))+1)/96))*POWER(10,INT(LOG(N13))-2))/2,INT(0.5+100*POWER(10,(IF(96*(LOG(N13)-INT(LOG(N13)))-ROUND(96*(LOG(N13)-INT(LOG(N13))),0)&lt;0,ROUND(96*(LOG(N13)-INT(LOG(N13))),0)-1,ROUND(96*(LOG(N13)-INT(LOG(N13))),0))+1)/96))*POWER(10,INT(LOG(N13))-2),INT(0.5+100*POWER(10,IF(96*(LOG(N13)-INT(LOG(N13)))-ROUND(96*(LOG(N13)-INT(LOG(N13))),0)&lt;0,ROUND(96*(LOG(N13)-INT(LOG(N13))),0)-1,ROUND(96*(LOG(N13)-INT(LOG(N13))),0))/96))*POWER(10,INT(LOG(N13))-2)))</f>
        <v>5.23</v>
      </c>
      <c r="P13" s="45" t="s">
        <v>437</v>
      </c>
    </row>
    <row r="14" spans="1:16" x14ac:dyDescent="0.2">
      <c r="A14">
        <v>2.2000000000000002</v>
      </c>
      <c r="B14">
        <f t="shared" ref="B14:J14" si="9">IF(IF((B$3*10^12-$A15)*(B$3*10^12-$A14)*-1&lt;0,0,1)*IF(ABS(B$3*10^12-$A15)&gt;(B$3*10^12-$A14),$A14,$A15)=B15,0,IF((B$3*10^12-$A15)*(B$3*10^12-$A14)*-1&lt;0,0,1)*IF(ABS(B$3*10^12-$A15)&gt;(B$3*10^12-$A14),$A14,$A15))</f>
        <v>0</v>
      </c>
      <c r="C14">
        <f t="shared" si="9"/>
        <v>0</v>
      </c>
      <c r="D14">
        <f t="shared" si="9"/>
        <v>0</v>
      </c>
      <c r="E14">
        <f t="shared" si="9"/>
        <v>0</v>
      </c>
      <c r="F14">
        <f t="shared" si="9"/>
        <v>0</v>
      </c>
      <c r="G14">
        <f t="shared" si="9"/>
        <v>0</v>
      </c>
      <c r="H14">
        <f t="shared" si="9"/>
        <v>0</v>
      </c>
      <c r="I14">
        <f t="shared" si="9"/>
        <v>0</v>
      </c>
      <c r="J14">
        <f t="shared" si="9"/>
        <v>0</v>
      </c>
      <c r="M14" s="118" t="s">
        <v>436</v>
      </c>
      <c r="N14">
        <f>Cslope_ideal</f>
        <v>125.33333333333333</v>
      </c>
      <c r="O14">
        <f>G4*1000000000000</f>
        <v>120</v>
      </c>
      <c r="P14" s="118" t="s">
        <v>32</v>
      </c>
    </row>
    <row r="15" spans="1:16" x14ac:dyDescent="0.2">
      <c r="A15">
        <v>2.7</v>
      </c>
      <c r="B15">
        <f t="shared" si="3"/>
        <v>0</v>
      </c>
      <c r="C15">
        <f t="shared" si="4"/>
        <v>0</v>
      </c>
      <c r="D15">
        <f t="shared" si="5"/>
        <v>0</v>
      </c>
      <c r="E15">
        <f t="shared" si="6"/>
        <v>0</v>
      </c>
      <c r="F15">
        <f t="shared" si="7"/>
        <v>0</v>
      </c>
      <c r="G15">
        <f t="shared" si="8"/>
        <v>0</v>
      </c>
      <c r="H15">
        <f t="shared" si="8"/>
        <v>0</v>
      </c>
      <c r="I15">
        <f t="shared" si="8"/>
        <v>0</v>
      </c>
      <c r="J15">
        <f t="shared" si="8"/>
        <v>0</v>
      </c>
    </row>
    <row r="16" spans="1:16" x14ac:dyDescent="0.2">
      <c r="A16">
        <v>3.3</v>
      </c>
      <c r="B16">
        <f t="shared" si="3"/>
        <v>0</v>
      </c>
      <c r="C16">
        <f t="shared" si="4"/>
        <v>0</v>
      </c>
      <c r="D16">
        <f t="shared" si="5"/>
        <v>0</v>
      </c>
      <c r="E16">
        <f t="shared" si="6"/>
        <v>0</v>
      </c>
      <c r="F16">
        <f t="shared" si="7"/>
        <v>0</v>
      </c>
      <c r="G16">
        <f t="shared" si="8"/>
        <v>0</v>
      </c>
      <c r="H16">
        <f t="shared" si="8"/>
        <v>0</v>
      </c>
      <c r="I16">
        <f t="shared" si="8"/>
        <v>0</v>
      </c>
      <c r="J16">
        <f t="shared" si="8"/>
        <v>0</v>
      </c>
      <c r="M16" s="118" t="s">
        <v>340</v>
      </c>
      <c r="N16">
        <f>Ruvlo1</f>
        <v>249</v>
      </c>
      <c r="O16" s="2">
        <f>IF(N16="OPEN","OPEN",IF(N16&gt;(INT(0.5+100*POWER(10,IF(96*(LOG(N16)-INT(LOG(N16)))-ROUND(96*(LOG(N16)-INT(LOG(N16))),0)&lt;0,ROUND(96*(LOG(N16)-INT(LOG(N16))),0)-1,ROUND(96*(LOG(N16)-INT(LOG(N16))),0))/96))*POWER(10,INT(LOG(N16))-2)+INT(0.5+100*POWER(10,(IF(96*(LOG(N16)-INT(LOG(N16)))-ROUND(96*(LOG(N16)-INT(LOG(N16))),0)&lt;0,ROUND(96*(LOG(N16)-INT(LOG(N16))),0)-1,ROUND(96*(LOG(N16)-INT(LOG(N16))),0))+1)/96))*POWER(10,INT(LOG(N16))-2))/2,INT(0.5+100*POWER(10,(IF(96*(LOG(N16)-INT(LOG(N16)))-ROUND(96*(LOG(N16)-INT(LOG(N16))),0)&lt;0,ROUND(96*(LOG(N16)-INT(LOG(N16))),0)-1,ROUND(96*(LOG(N16)-INT(LOG(N16))),0))+1)/96))*POWER(10,INT(LOG(N16))-2),INT(0.5+100*POWER(10,IF(96*(LOG(N16)-INT(LOG(N16)))-ROUND(96*(LOG(N16)-INT(LOG(N16))),0)&lt;0,ROUND(96*(LOG(N16)-INT(LOG(N16))),0)-1,ROUND(96*(LOG(N16)-INT(LOG(N16))),0))/96))*POWER(10,INT(LOG(N16))-2)))</f>
        <v>249</v>
      </c>
      <c r="P16" s="45" t="s">
        <v>309</v>
      </c>
    </row>
    <row r="17" spans="1:16" x14ac:dyDescent="0.2">
      <c r="A17">
        <v>3.9</v>
      </c>
      <c r="B17">
        <f t="shared" si="3"/>
        <v>0</v>
      </c>
      <c r="C17">
        <f t="shared" si="4"/>
        <v>0</v>
      </c>
      <c r="D17">
        <f t="shared" si="5"/>
        <v>0</v>
      </c>
      <c r="E17">
        <f t="shared" si="6"/>
        <v>0</v>
      </c>
      <c r="F17">
        <f t="shared" si="7"/>
        <v>0</v>
      </c>
      <c r="G17">
        <f t="shared" si="8"/>
        <v>0</v>
      </c>
      <c r="H17">
        <f t="shared" si="8"/>
        <v>0</v>
      </c>
      <c r="I17">
        <f t="shared" si="8"/>
        <v>0</v>
      </c>
      <c r="J17">
        <f t="shared" si="8"/>
        <v>0</v>
      </c>
      <c r="M17" s="118" t="s">
        <v>341</v>
      </c>
      <c r="N17">
        <f>Ruvlo2</f>
        <v>36.807987301741164</v>
      </c>
      <c r="O17" s="2">
        <f>IF(N17="OPEN","OPEN",IF(N17&gt;(INT(0.5+100*POWER(10,IF(96*(LOG(N17)-INT(LOG(N17)))-ROUND(96*(LOG(N17)-INT(LOG(N17))),0)&lt;0,ROUND(96*(LOG(N17)-INT(LOG(N17))),0)-1,ROUND(96*(LOG(N17)-INT(LOG(N17))),0))/96))*POWER(10,INT(LOG(N17))-2)+INT(0.5+100*POWER(10,(IF(96*(LOG(N17)-INT(LOG(N17)))-ROUND(96*(LOG(N17)-INT(LOG(N17))),0)&lt;0,ROUND(96*(LOG(N17)-INT(LOG(N17))),0)-1,ROUND(96*(LOG(N17)-INT(LOG(N17))),0))+1)/96))*POWER(10,INT(LOG(N17))-2))/2,INT(0.5+100*POWER(10,(IF(96*(LOG(N17)-INT(LOG(N17)))-ROUND(96*(LOG(N17)-INT(LOG(N17))),0)&lt;0,ROUND(96*(LOG(N17)-INT(LOG(N17))),0)-1,ROUND(96*(LOG(N17)-INT(LOG(N17))),0))+1)/96))*POWER(10,INT(LOG(N17))-2),INT(0.5+100*POWER(10,IF(96*(LOG(N17)-INT(LOG(N17)))-ROUND(96*(LOG(N17)-INT(LOG(N17))),0)&lt;0,ROUND(96*(LOG(N17)-INT(LOG(N17))),0)-1,ROUND(96*(LOG(N17)-INT(LOG(N17))),0))/96))*POWER(10,INT(LOG(N17))-2)))</f>
        <v>36.5</v>
      </c>
      <c r="P17" s="45" t="s">
        <v>309</v>
      </c>
    </row>
    <row r="18" spans="1:16" x14ac:dyDescent="0.2">
      <c r="A18">
        <v>4.7</v>
      </c>
      <c r="B18">
        <f t="shared" si="3"/>
        <v>0</v>
      </c>
      <c r="C18">
        <f t="shared" si="4"/>
        <v>0</v>
      </c>
      <c r="D18">
        <f t="shared" si="5"/>
        <v>0</v>
      </c>
      <c r="E18">
        <f t="shared" si="6"/>
        <v>0</v>
      </c>
      <c r="F18">
        <f t="shared" si="7"/>
        <v>0</v>
      </c>
      <c r="G18">
        <f t="shared" si="8"/>
        <v>0</v>
      </c>
      <c r="H18">
        <f t="shared" si="8"/>
        <v>0</v>
      </c>
      <c r="I18">
        <f t="shared" si="8"/>
        <v>0</v>
      </c>
      <c r="J18">
        <f t="shared" si="8"/>
        <v>0</v>
      </c>
      <c r="O18" s="2"/>
    </row>
    <row r="19" spans="1:16" x14ac:dyDescent="0.2">
      <c r="A19">
        <v>5.6</v>
      </c>
      <c r="B19">
        <f t="shared" si="3"/>
        <v>0</v>
      </c>
      <c r="C19">
        <f t="shared" si="4"/>
        <v>0</v>
      </c>
      <c r="D19">
        <f t="shared" si="5"/>
        <v>0</v>
      </c>
      <c r="E19">
        <f t="shared" si="6"/>
        <v>0</v>
      </c>
      <c r="F19">
        <f t="shared" si="7"/>
        <v>0</v>
      </c>
      <c r="G19">
        <f t="shared" si="8"/>
        <v>0</v>
      </c>
      <c r="H19">
        <f t="shared" si="8"/>
        <v>0</v>
      </c>
      <c r="I19">
        <f t="shared" si="8"/>
        <v>0</v>
      </c>
      <c r="J19">
        <f t="shared" si="8"/>
        <v>0</v>
      </c>
      <c r="M19" s="118" t="s">
        <v>464</v>
      </c>
      <c r="N19">
        <f>Csby</f>
        <v>4.6296296296296295E-8</v>
      </c>
      <c r="O19" s="2">
        <f>H4</f>
        <v>4.6999999999999997E-8</v>
      </c>
    </row>
    <row r="20" spans="1:16" x14ac:dyDescent="0.2">
      <c r="A20">
        <v>6.8</v>
      </c>
      <c r="B20">
        <f t="shared" si="3"/>
        <v>0</v>
      </c>
      <c r="C20">
        <f t="shared" si="4"/>
        <v>0</v>
      </c>
      <c r="D20">
        <f t="shared" si="5"/>
        <v>0</v>
      </c>
      <c r="E20">
        <f t="shared" si="6"/>
        <v>0</v>
      </c>
      <c r="F20">
        <f t="shared" si="7"/>
        <v>0</v>
      </c>
      <c r="G20">
        <f t="shared" si="8"/>
        <v>0</v>
      </c>
      <c r="H20">
        <f t="shared" si="8"/>
        <v>0</v>
      </c>
      <c r="I20">
        <f t="shared" si="8"/>
        <v>0</v>
      </c>
      <c r="J20">
        <f t="shared" si="8"/>
        <v>0</v>
      </c>
      <c r="O20" s="2"/>
    </row>
    <row r="21" spans="1:16" x14ac:dyDescent="0.2">
      <c r="A21">
        <v>8.1999999999999993</v>
      </c>
      <c r="B21">
        <f t="shared" si="3"/>
        <v>0</v>
      </c>
      <c r="C21">
        <f t="shared" si="4"/>
        <v>0</v>
      </c>
      <c r="D21">
        <f t="shared" si="5"/>
        <v>0</v>
      </c>
      <c r="E21">
        <f t="shared" si="6"/>
        <v>0</v>
      </c>
      <c r="F21">
        <f t="shared" si="7"/>
        <v>0</v>
      </c>
      <c r="G21">
        <f t="shared" si="8"/>
        <v>0</v>
      </c>
      <c r="H21">
        <f t="shared" si="8"/>
        <v>0</v>
      </c>
      <c r="I21">
        <f t="shared" si="8"/>
        <v>0</v>
      </c>
      <c r="J21">
        <f t="shared" si="8"/>
        <v>0</v>
      </c>
      <c r="M21" s="118" t="s">
        <v>454</v>
      </c>
      <c r="N21" s="335">
        <f>Rshunt</f>
        <v>4.166666666666667</v>
      </c>
      <c r="O21" s="2">
        <f>IF(N21=0,0,IF(N21&gt;(INT(0.5+100*POWER(10,IF(96*(LOG(N21)-INT(LOG(N21)))-ROUND(96*(LOG(N21)-INT(LOG(N21))),0)&lt;0,ROUND(96*(LOG(N21)-INT(LOG(N21))),0)-1,ROUND(96*(LOG(N21)-INT(LOG(N21))),0))/96))*POWER(10,INT(LOG(N21))-2)+INT(0.5+100*POWER(10,(IF(96*(LOG(N21)-INT(LOG(N21)))-ROUND(96*(LOG(N21)-INT(LOG(N21))),0)&lt;0,ROUND(96*(LOG(N21)-INT(LOG(N21))),0)-1,ROUND(96*(LOG(N21)-INT(LOG(N21))),0))+1)/96))*POWER(10,INT(LOG(N21))-2))/2,INT(0.5+100*POWER(10,(IF(96*(LOG(N21)-INT(LOG(N21)))-ROUND(96*(LOG(N21)-INT(LOG(N21))),0)&lt;0,ROUND(96*(LOG(N21)-INT(LOG(N21))),0)-1,ROUND(96*(LOG(N21)-INT(LOG(N21))),0))+1)/96))*POWER(10,INT(LOG(N21))-2),INT(0.5+100*POWER(10,IF(96*(LOG(N21)-INT(LOG(N21)))-ROUND(96*(LOG(N21)-INT(LOG(N21))),0)&lt;0,ROUND(96*(LOG(N21)-INT(LOG(N21))),0)-1,ROUND(96*(LOG(N21)-INT(LOG(N21))),0))/96))*POWER(10,INT(LOG(N21))-2)))</f>
        <v>4.12</v>
      </c>
      <c r="P21" s="45" t="s">
        <v>437</v>
      </c>
    </row>
    <row r="22" spans="1:16" x14ac:dyDescent="0.2">
      <c r="A22">
        <v>10</v>
      </c>
      <c r="B22">
        <f t="shared" si="3"/>
        <v>0</v>
      </c>
      <c r="C22">
        <f t="shared" si="4"/>
        <v>0</v>
      </c>
      <c r="D22">
        <f t="shared" si="5"/>
        <v>0</v>
      </c>
      <c r="E22">
        <f t="shared" si="6"/>
        <v>0</v>
      </c>
      <c r="F22">
        <f t="shared" si="7"/>
        <v>0</v>
      </c>
      <c r="G22">
        <f t="shared" si="8"/>
        <v>0</v>
      </c>
      <c r="H22">
        <f t="shared" si="8"/>
        <v>0</v>
      </c>
      <c r="I22">
        <f t="shared" si="8"/>
        <v>0</v>
      </c>
      <c r="J22">
        <f t="shared" si="8"/>
        <v>0</v>
      </c>
    </row>
    <row r="23" spans="1:16" x14ac:dyDescent="0.2">
      <c r="A23">
        <v>12</v>
      </c>
      <c r="B23">
        <f t="shared" si="3"/>
        <v>0</v>
      </c>
      <c r="C23">
        <f t="shared" si="4"/>
        <v>0</v>
      </c>
      <c r="D23">
        <f t="shared" si="5"/>
        <v>0</v>
      </c>
      <c r="E23">
        <f t="shared" si="6"/>
        <v>0</v>
      </c>
      <c r="F23">
        <f t="shared" si="7"/>
        <v>0</v>
      </c>
      <c r="G23">
        <f t="shared" si="8"/>
        <v>0</v>
      </c>
      <c r="H23">
        <f t="shared" si="8"/>
        <v>0</v>
      </c>
      <c r="I23">
        <f t="shared" si="8"/>
        <v>0</v>
      </c>
      <c r="J23">
        <f t="shared" si="8"/>
        <v>0</v>
      </c>
      <c r="O23" s="2"/>
    </row>
    <row r="24" spans="1:16" x14ac:dyDescent="0.2">
      <c r="A24">
        <v>15</v>
      </c>
      <c r="B24">
        <f t="shared" si="3"/>
        <v>0</v>
      </c>
      <c r="C24">
        <f t="shared" si="4"/>
        <v>0</v>
      </c>
      <c r="D24">
        <f t="shared" si="5"/>
        <v>0</v>
      </c>
      <c r="E24">
        <f t="shared" si="6"/>
        <v>0</v>
      </c>
      <c r="F24">
        <f t="shared" si="7"/>
        <v>0</v>
      </c>
      <c r="G24">
        <f t="shared" si="8"/>
        <v>0</v>
      </c>
      <c r="H24">
        <f t="shared" si="8"/>
        <v>0</v>
      </c>
      <c r="I24">
        <f t="shared" si="8"/>
        <v>0</v>
      </c>
      <c r="J24">
        <f t="shared" si="8"/>
        <v>0</v>
      </c>
      <c r="M24" s="118"/>
      <c r="O24" s="2"/>
      <c r="P24" s="45"/>
    </row>
    <row r="25" spans="1:16" x14ac:dyDescent="0.2">
      <c r="A25">
        <v>18</v>
      </c>
      <c r="B25">
        <f t="shared" si="3"/>
        <v>0</v>
      </c>
      <c r="C25">
        <f t="shared" si="4"/>
        <v>0</v>
      </c>
      <c r="D25">
        <f t="shared" si="5"/>
        <v>0</v>
      </c>
      <c r="E25">
        <f t="shared" si="6"/>
        <v>0</v>
      </c>
      <c r="F25">
        <f t="shared" si="7"/>
        <v>0</v>
      </c>
      <c r="G25">
        <f t="shared" si="8"/>
        <v>0</v>
      </c>
      <c r="H25">
        <f t="shared" si="8"/>
        <v>0</v>
      </c>
      <c r="I25">
        <f t="shared" si="8"/>
        <v>0</v>
      </c>
      <c r="J25">
        <f t="shared" si="8"/>
        <v>0</v>
      </c>
    </row>
    <row r="26" spans="1:16" x14ac:dyDescent="0.2">
      <c r="A26">
        <v>22</v>
      </c>
      <c r="B26">
        <f t="shared" si="3"/>
        <v>0</v>
      </c>
      <c r="C26">
        <f t="shared" si="4"/>
        <v>0</v>
      </c>
      <c r="D26">
        <f t="shared" si="5"/>
        <v>0</v>
      </c>
      <c r="E26">
        <f t="shared" si="6"/>
        <v>0</v>
      </c>
      <c r="F26">
        <f t="shared" si="7"/>
        <v>0</v>
      </c>
      <c r="G26">
        <f t="shared" si="8"/>
        <v>0</v>
      </c>
      <c r="H26">
        <f t="shared" si="8"/>
        <v>0</v>
      </c>
      <c r="I26">
        <f t="shared" si="8"/>
        <v>0</v>
      </c>
      <c r="J26">
        <f t="shared" si="8"/>
        <v>0</v>
      </c>
    </row>
    <row r="27" spans="1:16" x14ac:dyDescent="0.2">
      <c r="A27">
        <v>27</v>
      </c>
      <c r="B27">
        <f t="shared" si="3"/>
        <v>0</v>
      </c>
      <c r="C27">
        <f t="shared" si="4"/>
        <v>0</v>
      </c>
      <c r="D27">
        <f t="shared" si="5"/>
        <v>0</v>
      </c>
      <c r="E27">
        <f t="shared" si="6"/>
        <v>0</v>
      </c>
      <c r="F27">
        <f t="shared" si="7"/>
        <v>0</v>
      </c>
      <c r="G27">
        <f t="shared" si="8"/>
        <v>0</v>
      </c>
      <c r="H27">
        <f t="shared" si="8"/>
        <v>0</v>
      </c>
      <c r="I27">
        <f t="shared" si="8"/>
        <v>0</v>
      </c>
      <c r="J27">
        <f t="shared" si="8"/>
        <v>0</v>
      </c>
      <c r="M27" s="3" t="s">
        <v>205</v>
      </c>
      <c r="N27" t="str">
        <f>O7/1000&amp;" kΩ"</f>
        <v>4.87 kΩ</v>
      </c>
      <c r="O27">
        <f>O7/1000</f>
        <v>4.87</v>
      </c>
      <c r="P27" s="45" t="s">
        <v>309</v>
      </c>
    </row>
    <row r="28" spans="1:16" x14ac:dyDescent="0.2">
      <c r="A28">
        <v>33</v>
      </c>
      <c r="B28">
        <f t="shared" si="3"/>
        <v>0</v>
      </c>
      <c r="C28">
        <f t="shared" si="4"/>
        <v>0</v>
      </c>
      <c r="D28">
        <f t="shared" si="5"/>
        <v>0</v>
      </c>
      <c r="E28">
        <f t="shared" si="6"/>
        <v>0</v>
      </c>
      <c r="F28">
        <f t="shared" si="7"/>
        <v>0</v>
      </c>
      <c r="G28">
        <f t="shared" si="8"/>
        <v>0</v>
      </c>
      <c r="H28">
        <f t="shared" si="8"/>
        <v>0</v>
      </c>
      <c r="I28">
        <f t="shared" si="8"/>
        <v>0</v>
      </c>
      <c r="J28">
        <f t="shared" si="8"/>
        <v>0</v>
      </c>
      <c r="M28" s="3" t="s">
        <v>202</v>
      </c>
      <c r="N28" t="str">
        <f>C4*1000000000&amp;" nF"</f>
        <v>0.027 nF</v>
      </c>
      <c r="O28">
        <f>C4*1000000000000</f>
        <v>27</v>
      </c>
      <c r="P28" s="118" t="s">
        <v>172</v>
      </c>
    </row>
    <row r="29" spans="1:16" x14ac:dyDescent="0.2">
      <c r="A29">
        <v>39</v>
      </c>
      <c r="B29">
        <f t="shared" si="3"/>
        <v>0</v>
      </c>
      <c r="C29">
        <f t="shared" si="4"/>
        <v>0</v>
      </c>
      <c r="D29">
        <f t="shared" si="5"/>
        <v>0</v>
      </c>
      <c r="E29">
        <f t="shared" si="6"/>
        <v>0</v>
      </c>
      <c r="F29">
        <f t="shared" si="7"/>
        <v>0</v>
      </c>
      <c r="G29">
        <f t="shared" si="8"/>
        <v>0</v>
      </c>
      <c r="H29">
        <f t="shared" si="8"/>
        <v>0</v>
      </c>
      <c r="I29">
        <f t="shared" si="8"/>
        <v>0</v>
      </c>
      <c r="J29">
        <f t="shared" si="8"/>
        <v>0</v>
      </c>
      <c r="M29" s="3" t="s">
        <v>203</v>
      </c>
      <c r="N29" t="str">
        <f>D4*1000000000000&amp;" pF"</f>
        <v>820 pF</v>
      </c>
      <c r="O29">
        <f>D4*1000000000000</f>
        <v>820</v>
      </c>
      <c r="P29" s="118" t="s">
        <v>32</v>
      </c>
    </row>
    <row r="30" spans="1:16" x14ac:dyDescent="0.2">
      <c r="A30">
        <v>47</v>
      </c>
      <c r="B30">
        <f t="shared" si="3"/>
        <v>0</v>
      </c>
      <c r="C30">
        <f t="shared" si="4"/>
        <v>0</v>
      </c>
      <c r="D30">
        <f t="shared" si="5"/>
        <v>0</v>
      </c>
      <c r="E30">
        <f t="shared" si="6"/>
        <v>0</v>
      </c>
      <c r="F30">
        <f t="shared" si="7"/>
        <v>0</v>
      </c>
      <c r="G30">
        <f t="shared" si="8"/>
        <v>0</v>
      </c>
      <c r="H30">
        <f t="shared" si="8"/>
        <v>0</v>
      </c>
      <c r="I30">
        <f t="shared" si="8"/>
        <v>0</v>
      </c>
      <c r="J30">
        <f t="shared" si="8"/>
        <v>0</v>
      </c>
      <c r="M30" s="3"/>
      <c r="P30" s="45"/>
    </row>
    <row r="31" spans="1:16" x14ac:dyDescent="0.2">
      <c r="A31">
        <v>56</v>
      </c>
      <c r="B31">
        <f t="shared" si="3"/>
        <v>0</v>
      </c>
      <c r="C31">
        <f t="shared" si="4"/>
        <v>0</v>
      </c>
      <c r="D31">
        <f t="shared" si="5"/>
        <v>0</v>
      </c>
      <c r="E31">
        <f t="shared" si="6"/>
        <v>0</v>
      </c>
      <c r="F31">
        <f t="shared" si="7"/>
        <v>0</v>
      </c>
      <c r="G31">
        <f t="shared" si="8"/>
        <v>0</v>
      </c>
      <c r="H31">
        <f t="shared" si="8"/>
        <v>0</v>
      </c>
      <c r="I31">
        <f t="shared" si="8"/>
        <v>0</v>
      </c>
      <c r="J31">
        <f t="shared" si="8"/>
        <v>0</v>
      </c>
      <c r="M31" s="3"/>
      <c r="P31" s="118"/>
    </row>
    <row r="32" spans="1:16" x14ac:dyDescent="0.2">
      <c r="A32">
        <v>68</v>
      </c>
      <c r="B32">
        <f t="shared" si="3"/>
        <v>0</v>
      </c>
      <c r="C32">
        <f t="shared" si="4"/>
        <v>0</v>
      </c>
      <c r="D32">
        <f t="shared" si="5"/>
        <v>0</v>
      </c>
      <c r="E32">
        <f t="shared" si="6"/>
        <v>0</v>
      </c>
      <c r="F32">
        <f t="shared" si="7"/>
        <v>0</v>
      </c>
      <c r="G32">
        <f t="shared" si="8"/>
        <v>0</v>
      </c>
      <c r="H32">
        <f t="shared" si="8"/>
        <v>0</v>
      </c>
      <c r="I32">
        <f t="shared" si="8"/>
        <v>0</v>
      </c>
      <c r="J32">
        <f t="shared" si="8"/>
        <v>0</v>
      </c>
    </row>
    <row r="33" spans="1:13" x14ac:dyDescent="0.2">
      <c r="A33">
        <v>82</v>
      </c>
      <c r="B33">
        <f t="shared" si="3"/>
        <v>0</v>
      </c>
      <c r="C33">
        <f t="shared" si="4"/>
        <v>0</v>
      </c>
      <c r="D33">
        <f t="shared" si="5"/>
        <v>0</v>
      </c>
      <c r="E33">
        <f t="shared" si="6"/>
        <v>0</v>
      </c>
      <c r="F33">
        <f t="shared" si="7"/>
        <v>0</v>
      </c>
      <c r="G33">
        <f t="shared" si="8"/>
        <v>0</v>
      </c>
      <c r="H33">
        <f t="shared" si="8"/>
        <v>0</v>
      </c>
      <c r="I33">
        <f t="shared" si="8"/>
        <v>0</v>
      </c>
      <c r="J33">
        <f t="shared" si="8"/>
        <v>0</v>
      </c>
    </row>
    <row r="34" spans="1:13" x14ac:dyDescent="0.2">
      <c r="A34">
        <f>A22*10</f>
        <v>100</v>
      </c>
      <c r="B34">
        <f t="shared" si="3"/>
        <v>0</v>
      </c>
      <c r="C34">
        <f t="shared" si="4"/>
        <v>0</v>
      </c>
      <c r="D34">
        <f t="shared" si="5"/>
        <v>0</v>
      </c>
      <c r="E34">
        <f t="shared" si="6"/>
        <v>0</v>
      </c>
      <c r="F34">
        <f t="shared" si="7"/>
        <v>0</v>
      </c>
      <c r="G34">
        <f t="shared" si="8"/>
        <v>0</v>
      </c>
      <c r="H34">
        <f t="shared" si="8"/>
        <v>0</v>
      </c>
      <c r="I34">
        <f t="shared" si="8"/>
        <v>0</v>
      </c>
      <c r="J34">
        <f t="shared" si="8"/>
        <v>0</v>
      </c>
      <c r="M34" s="118"/>
    </row>
    <row r="35" spans="1:13" x14ac:dyDescent="0.2">
      <c r="A35">
        <f t="shared" ref="A35:A98" si="10">A23*10</f>
        <v>120</v>
      </c>
      <c r="B35">
        <f t="shared" si="3"/>
        <v>0</v>
      </c>
      <c r="C35">
        <f t="shared" si="4"/>
        <v>0</v>
      </c>
      <c r="D35">
        <f t="shared" si="5"/>
        <v>0</v>
      </c>
      <c r="E35">
        <f t="shared" si="6"/>
        <v>0</v>
      </c>
      <c r="F35">
        <f t="shared" si="7"/>
        <v>0</v>
      </c>
      <c r="G35">
        <f t="shared" si="8"/>
        <v>120</v>
      </c>
      <c r="H35">
        <f t="shared" si="8"/>
        <v>0</v>
      </c>
      <c r="I35">
        <f t="shared" si="8"/>
        <v>0</v>
      </c>
      <c r="J35">
        <f t="shared" si="8"/>
        <v>0</v>
      </c>
      <c r="M35" s="118"/>
    </row>
    <row r="36" spans="1:13" x14ac:dyDescent="0.2">
      <c r="A36">
        <f t="shared" si="10"/>
        <v>150</v>
      </c>
      <c r="B36">
        <f t="shared" si="3"/>
        <v>0</v>
      </c>
      <c r="C36">
        <f t="shared" si="4"/>
        <v>0</v>
      </c>
      <c r="D36">
        <f t="shared" si="5"/>
        <v>0</v>
      </c>
      <c r="E36">
        <f t="shared" si="6"/>
        <v>0</v>
      </c>
      <c r="F36">
        <f t="shared" si="7"/>
        <v>0</v>
      </c>
      <c r="G36">
        <f t="shared" si="8"/>
        <v>0</v>
      </c>
      <c r="H36">
        <f t="shared" si="8"/>
        <v>0</v>
      </c>
      <c r="I36">
        <f t="shared" si="8"/>
        <v>0</v>
      </c>
      <c r="J36">
        <f t="shared" si="8"/>
        <v>0</v>
      </c>
    </row>
    <row r="37" spans="1:13" x14ac:dyDescent="0.2">
      <c r="A37">
        <f t="shared" si="10"/>
        <v>180</v>
      </c>
      <c r="B37">
        <f t="shared" si="3"/>
        <v>0</v>
      </c>
      <c r="C37">
        <f t="shared" si="4"/>
        <v>0</v>
      </c>
      <c r="D37">
        <f t="shared" si="5"/>
        <v>0</v>
      </c>
      <c r="E37">
        <f t="shared" si="6"/>
        <v>0</v>
      </c>
      <c r="F37">
        <f t="shared" si="7"/>
        <v>0</v>
      </c>
      <c r="G37">
        <f t="shared" si="8"/>
        <v>0</v>
      </c>
      <c r="H37">
        <f t="shared" si="8"/>
        <v>0</v>
      </c>
      <c r="I37">
        <f t="shared" si="8"/>
        <v>0</v>
      </c>
      <c r="J37">
        <f t="shared" si="8"/>
        <v>0</v>
      </c>
    </row>
    <row r="38" spans="1:13" x14ac:dyDescent="0.2">
      <c r="A38">
        <f t="shared" si="10"/>
        <v>220</v>
      </c>
      <c r="B38">
        <f t="shared" si="3"/>
        <v>0</v>
      </c>
      <c r="C38">
        <f t="shared" si="4"/>
        <v>0</v>
      </c>
      <c r="D38">
        <f t="shared" si="5"/>
        <v>0</v>
      </c>
      <c r="E38">
        <f t="shared" si="6"/>
        <v>0</v>
      </c>
      <c r="F38">
        <f t="shared" si="7"/>
        <v>0</v>
      </c>
      <c r="G38">
        <f t="shared" si="8"/>
        <v>0</v>
      </c>
      <c r="H38">
        <f t="shared" si="8"/>
        <v>0</v>
      </c>
      <c r="I38">
        <f t="shared" si="8"/>
        <v>0</v>
      </c>
      <c r="J38">
        <f t="shared" si="8"/>
        <v>0</v>
      </c>
    </row>
    <row r="39" spans="1:13" x14ac:dyDescent="0.2">
      <c r="A39">
        <f t="shared" si="10"/>
        <v>270</v>
      </c>
      <c r="B39">
        <f t="shared" si="3"/>
        <v>0</v>
      </c>
      <c r="C39">
        <f t="shared" ref="C39:C70" si="11">IF(IF((C$3*10^12-$A40)*(C$3*10^12-$A39)*-1&lt;0,0,1)*IF(ABS(C$3*10^12-$A40)&gt;(C$3*10^12-$A39),$A39,$A40)=C40,0,IF((C$3*10^12-$A40)*(C$3*10^12-$A39)*-1&lt;0,0,1)*IF(ABS(C$3*10^12-$A40)&gt;(C$3*10^12-$A39),$A39,$A40))</f>
        <v>0</v>
      </c>
      <c r="D39">
        <f t="shared" si="5"/>
        <v>0</v>
      </c>
      <c r="E39">
        <f t="shared" si="6"/>
        <v>0</v>
      </c>
      <c r="F39">
        <f t="shared" si="7"/>
        <v>0</v>
      </c>
      <c r="G39">
        <f t="shared" si="8"/>
        <v>0</v>
      </c>
      <c r="H39">
        <f t="shared" si="8"/>
        <v>0</v>
      </c>
      <c r="I39">
        <f t="shared" si="8"/>
        <v>0</v>
      </c>
      <c r="J39">
        <f t="shared" si="8"/>
        <v>0</v>
      </c>
    </row>
    <row r="40" spans="1:13" x14ac:dyDescent="0.2">
      <c r="A40">
        <f t="shared" si="10"/>
        <v>330</v>
      </c>
      <c r="B40">
        <f t="shared" si="3"/>
        <v>0</v>
      </c>
      <c r="C40">
        <f t="shared" si="11"/>
        <v>0</v>
      </c>
      <c r="D40">
        <f t="shared" si="5"/>
        <v>0</v>
      </c>
      <c r="E40">
        <f t="shared" si="6"/>
        <v>0</v>
      </c>
      <c r="F40">
        <f t="shared" si="7"/>
        <v>0</v>
      </c>
      <c r="G40">
        <f t="shared" si="8"/>
        <v>0</v>
      </c>
      <c r="H40">
        <f t="shared" si="8"/>
        <v>0</v>
      </c>
      <c r="I40">
        <f t="shared" si="8"/>
        <v>0</v>
      </c>
      <c r="J40">
        <f t="shared" si="8"/>
        <v>0</v>
      </c>
    </row>
    <row r="41" spans="1:13" x14ac:dyDescent="0.2">
      <c r="A41">
        <f t="shared" si="10"/>
        <v>390</v>
      </c>
      <c r="B41">
        <f t="shared" si="3"/>
        <v>0</v>
      </c>
      <c r="C41">
        <f t="shared" si="11"/>
        <v>0</v>
      </c>
      <c r="D41">
        <f t="shared" si="5"/>
        <v>0</v>
      </c>
      <c r="E41">
        <f t="shared" si="6"/>
        <v>0</v>
      </c>
      <c r="F41">
        <f t="shared" si="7"/>
        <v>0</v>
      </c>
      <c r="G41">
        <f t="shared" si="8"/>
        <v>0</v>
      </c>
      <c r="H41">
        <f t="shared" si="8"/>
        <v>0</v>
      </c>
      <c r="I41">
        <f t="shared" si="8"/>
        <v>0</v>
      </c>
      <c r="J41">
        <f t="shared" si="8"/>
        <v>0</v>
      </c>
    </row>
    <row r="42" spans="1:13" x14ac:dyDescent="0.2">
      <c r="A42">
        <f t="shared" si="10"/>
        <v>470</v>
      </c>
      <c r="B42">
        <f t="shared" si="3"/>
        <v>0</v>
      </c>
      <c r="C42">
        <f t="shared" si="11"/>
        <v>0</v>
      </c>
      <c r="D42">
        <f t="shared" si="5"/>
        <v>0</v>
      </c>
      <c r="E42">
        <f t="shared" si="6"/>
        <v>0</v>
      </c>
      <c r="F42">
        <f t="shared" si="7"/>
        <v>0</v>
      </c>
      <c r="G42">
        <f t="shared" si="8"/>
        <v>0</v>
      </c>
      <c r="H42">
        <f t="shared" si="8"/>
        <v>0</v>
      </c>
      <c r="I42">
        <f t="shared" si="8"/>
        <v>0</v>
      </c>
      <c r="J42">
        <f t="shared" si="8"/>
        <v>0</v>
      </c>
    </row>
    <row r="43" spans="1:13" x14ac:dyDescent="0.2">
      <c r="A43">
        <f t="shared" si="10"/>
        <v>560</v>
      </c>
      <c r="B43">
        <f t="shared" si="3"/>
        <v>0</v>
      </c>
      <c r="C43">
        <f t="shared" si="11"/>
        <v>0</v>
      </c>
      <c r="D43">
        <f t="shared" si="5"/>
        <v>0</v>
      </c>
      <c r="E43">
        <f t="shared" si="6"/>
        <v>0</v>
      </c>
      <c r="F43">
        <f t="shared" si="7"/>
        <v>0</v>
      </c>
      <c r="G43">
        <f t="shared" si="8"/>
        <v>0</v>
      </c>
      <c r="H43">
        <f t="shared" si="8"/>
        <v>0</v>
      </c>
      <c r="I43">
        <f t="shared" si="8"/>
        <v>0</v>
      </c>
      <c r="J43">
        <f t="shared" si="8"/>
        <v>0</v>
      </c>
    </row>
    <row r="44" spans="1:13" x14ac:dyDescent="0.2">
      <c r="A44">
        <f t="shared" si="10"/>
        <v>680</v>
      </c>
      <c r="B44">
        <f t="shared" si="3"/>
        <v>0</v>
      </c>
      <c r="C44">
        <f t="shared" si="11"/>
        <v>0</v>
      </c>
      <c r="D44">
        <f t="shared" si="5"/>
        <v>0</v>
      </c>
      <c r="E44">
        <f t="shared" si="6"/>
        <v>0</v>
      </c>
      <c r="F44">
        <f t="shared" si="7"/>
        <v>0</v>
      </c>
      <c r="G44">
        <f t="shared" si="8"/>
        <v>0</v>
      </c>
      <c r="H44">
        <f t="shared" si="8"/>
        <v>0</v>
      </c>
      <c r="I44">
        <f t="shared" si="8"/>
        <v>0</v>
      </c>
      <c r="J44">
        <f t="shared" si="8"/>
        <v>0</v>
      </c>
    </row>
    <row r="45" spans="1:13" x14ac:dyDescent="0.2">
      <c r="A45">
        <f>A33*10</f>
        <v>820</v>
      </c>
      <c r="B45">
        <f t="shared" si="3"/>
        <v>0</v>
      </c>
      <c r="C45">
        <f t="shared" si="11"/>
        <v>0</v>
      </c>
      <c r="D45">
        <f t="shared" si="5"/>
        <v>820</v>
      </c>
      <c r="E45">
        <f t="shared" si="6"/>
        <v>0</v>
      </c>
      <c r="F45">
        <f t="shared" si="7"/>
        <v>0</v>
      </c>
      <c r="G45">
        <f t="shared" si="8"/>
        <v>0</v>
      </c>
      <c r="H45">
        <f t="shared" si="8"/>
        <v>0</v>
      </c>
      <c r="I45">
        <f t="shared" si="8"/>
        <v>0</v>
      </c>
      <c r="J45">
        <f t="shared" si="8"/>
        <v>0</v>
      </c>
    </row>
    <row r="46" spans="1:13" x14ac:dyDescent="0.2">
      <c r="A46">
        <f t="shared" si="10"/>
        <v>1000</v>
      </c>
      <c r="B46">
        <f t="shared" si="3"/>
        <v>0</v>
      </c>
      <c r="C46">
        <f t="shared" si="11"/>
        <v>0</v>
      </c>
      <c r="D46">
        <f t="shared" si="5"/>
        <v>0</v>
      </c>
      <c r="E46">
        <f t="shared" si="6"/>
        <v>0</v>
      </c>
      <c r="F46">
        <f t="shared" si="7"/>
        <v>0</v>
      </c>
      <c r="G46">
        <f t="shared" si="8"/>
        <v>0</v>
      </c>
      <c r="H46">
        <f t="shared" si="8"/>
        <v>0</v>
      </c>
      <c r="I46">
        <f t="shared" si="8"/>
        <v>0</v>
      </c>
      <c r="J46">
        <f t="shared" si="8"/>
        <v>0</v>
      </c>
    </row>
    <row r="47" spans="1:13" x14ac:dyDescent="0.2">
      <c r="A47">
        <f t="shared" si="10"/>
        <v>1200</v>
      </c>
      <c r="B47">
        <f t="shared" si="3"/>
        <v>0</v>
      </c>
      <c r="C47">
        <f t="shared" si="11"/>
        <v>0</v>
      </c>
      <c r="D47">
        <f t="shared" si="5"/>
        <v>0</v>
      </c>
      <c r="E47">
        <f t="shared" si="6"/>
        <v>0</v>
      </c>
      <c r="F47">
        <f t="shared" si="7"/>
        <v>0</v>
      </c>
      <c r="G47">
        <f t="shared" si="8"/>
        <v>0</v>
      </c>
      <c r="H47">
        <f t="shared" si="8"/>
        <v>0</v>
      </c>
      <c r="I47">
        <f t="shared" si="8"/>
        <v>0</v>
      </c>
      <c r="J47">
        <f t="shared" si="8"/>
        <v>0</v>
      </c>
    </row>
    <row r="48" spans="1:13" x14ac:dyDescent="0.2">
      <c r="A48">
        <f t="shared" si="10"/>
        <v>1500</v>
      </c>
      <c r="B48">
        <f t="shared" si="3"/>
        <v>0</v>
      </c>
      <c r="C48">
        <f t="shared" si="11"/>
        <v>0</v>
      </c>
      <c r="D48">
        <f t="shared" si="5"/>
        <v>0</v>
      </c>
      <c r="E48">
        <f t="shared" si="6"/>
        <v>0</v>
      </c>
      <c r="F48">
        <f t="shared" si="7"/>
        <v>0</v>
      </c>
      <c r="G48">
        <f t="shared" si="8"/>
        <v>0</v>
      </c>
      <c r="H48">
        <f t="shared" si="8"/>
        <v>0</v>
      </c>
      <c r="I48">
        <f t="shared" si="8"/>
        <v>0</v>
      </c>
      <c r="J48">
        <f t="shared" si="8"/>
        <v>0</v>
      </c>
    </row>
    <row r="49" spans="1:10" x14ac:dyDescent="0.2">
      <c r="A49">
        <f t="shared" si="10"/>
        <v>1800</v>
      </c>
      <c r="B49">
        <f t="shared" si="3"/>
        <v>0</v>
      </c>
      <c r="C49">
        <f t="shared" si="11"/>
        <v>0</v>
      </c>
      <c r="D49">
        <f t="shared" si="5"/>
        <v>0</v>
      </c>
      <c r="E49">
        <f t="shared" si="6"/>
        <v>0</v>
      </c>
      <c r="F49">
        <f t="shared" si="7"/>
        <v>0</v>
      </c>
      <c r="G49">
        <f t="shared" si="8"/>
        <v>0</v>
      </c>
      <c r="H49">
        <f t="shared" si="8"/>
        <v>0</v>
      </c>
      <c r="I49">
        <f t="shared" si="8"/>
        <v>0</v>
      </c>
      <c r="J49">
        <f t="shared" si="8"/>
        <v>0</v>
      </c>
    </row>
    <row r="50" spans="1:10" x14ac:dyDescent="0.2">
      <c r="A50">
        <f t="shared" si="10"/>
        <v>2200</v>
      </c>
      <c r="B50">
        <f t="shared" si="3"/>
        <v>0</v>
      </c>
      <c r="C50">
        <f t="shared" si="11"/>
        <v>0</v>
      </c>
      <c r="D50">
        <f t="shared" si="5"/>
        <v>0</v>
      </c>
      <c r="E50">
        <f t="shared" si="6"/>
        <v>0</v>
      </c>
      <c r="F50">
        <f t="shared" si="7"/>
        <v>0</v>
      </c>
      <c r="G50">
        <f t="shared" si="8"/>
        <v>0</v>
      </c>
      <c r="H50">
        <f t="shared" si="8"/>
        <v>0</v>
      </c>
      <c r="I50">
        <f t="shared" si="8"/>
        <v>0</v>
      </c>
      <c r="J50">
        <f t="shared" si="8"/>
        <v>0</v>
      </c>
    </row>
    <row r="51" spans="1:10" x14ac:dyDescent="0.2">
      <c r="A51">
        <f t="shared" si="10"/>
        <v>2700</v>
      </c>
      <c r="B51">
        <f t="shared" si="3"/>
        <v>0</v>
      </c>
      <c r="C51">
        <f t="shared" si="11"/>
        <v>0</v>
      </c>
      <c r="D51">
        <f t="shared" si="5"/>
        <v>0</v>
      </c>
      <c r="E51">
        <f t="shared" si="6"/>
        <v>0</v>
      </c>
      <c r="F51">
        <f t="shared" si="7"/>
        <v>0</v>
      </c>
      <c r="G51">
        <f t="shared" si="8"/>
        <v>0</v>
      </c>
      <c r="H51">
        <f t="shared" si="8"/>
        <v>0</v>
      </c>
      <c r="I51">
        <f t="shared" si="8"/>
        <v>0</v>
      </c>
      <c r="J51">
        <f t="shared" si="8"/>
        <v>0</v>
      </c>
    </row>
    <row r="52" spans="1:10" x14ac:dyDescent="0.2">
      <c r="A52">
        <f t="shared" si="10"/>
        <v>3300</v>
      </c>
      <c r="B52">
        <f t="shared" si="3"/>
        <v>0</v>
      </c>
      <c r="C52">
        <f t="shared" si="11"/>
        <v>0</v>
      </c>
      <c r="D52">
        <f t="shared" si="5"/>
        <v>0</v>
      </c>
      <c r="E52">
        <f t="shared" si="6"/>
        <v>0</v>
      </c>
      <c r="F52">
        <f t="shared" si="7"/>
        <v>0</v>
      </c>
      <c r="G52">
        <f t="shared" si="8"/>
        <v>0</v>
      </c>
      <c r="H52">
        <f t="shared" si="8"/>
        <v>0</v>
      </c>
      <c r="I52">
        <f t="shared" si="8"/>
        <v>0</v>
      </c>
      <c r="J52">
        <f t="shared" si="8"/>
        <v>0</v>
      </c>
    </row>
    <row r="53" spans="1:10" x14ac:dyDescent="0.2">
      <c r="A53">
        <f t="shared" si="10"/>
        <v>3900</v>
      </c>
      <c r="B53">
        <f t="shared" si="3"/>
        <v>0</v>
      </c>
      <c r="C53">
        <f t="shared" si="11"/>
        <v>0</v>
      </c>
      <c r="D53">
        <f t="shared" si="5"/>
        <v>0</v>
      </c>
      <c r="E53">
        <f t="shared" si="6"/>
        <v>0</v>
      </c>
      <c r="F53">
        <f t="shared" si="7"/>
        <v>0</v>
      </c>
      <c r="G53">
        <f t="shared" si="8"/>
        <v>0</v>
      </c>
      <c r="H53">
        <f t="shared" si="8"/>
        <v>0</v>
      </c>
      <c r="I53">
        <f t="shared" si="8"/>
        <v>0</v>
      </c>
      <c r="J53">
        <f t="shared" si="8"/>
        <v>0</v>
      </c>
    </row>
    <row r="54" spans="1:10" x14ac:dyDescent="0.2">
      <c r="A54">
        <f t="shared" si="10"/>
        <v>4700</v>
      </c>
      <c r="B54">
        <f t="shared" si="3"/>
        <v>0</v>
      </c>
      <c r="C54">
        <f t="shared" si="11"/>
        <v>0</v>
      </c>
      <c r="D54">
        <f t="shared" si="5"/>
        <v>0</v>
      </c>
      <c r="E54">
        <f t="shared" si="6"/>
        <v>0</v>
      </c>
      <c r="F54">
        <f t="shared" si="7"/>
        <v>0</v>
      </c>
      <c r="G54">
        <f t="shared" si="8"/>
        <v>0</v>
      </c>
      <c r="H54">
        <f t="shared" si="8"/>
        <v>0</v>
      </c>
      <c r="I54">
        <f t="shared" si="8"/>
        <v>0</v>
      </c>
      <c r="J54">
        <f t="shared" si="8"/>
        <v>0</v>
      </c>
    </row>
    <row r="55" spans="1:10" x14ac:dyDescent="0.2">
      <c r="A55">
        <f t="shared" si="10"/>
        <v>5600</v>
      </c>
      <c r="B55">
        <f t="shared" si="3"/>
        <v>0</v>
      </c>
      <c r="C55">
        <f t="shared" si="11"/>
        <v>0</v>
      </c>
      <c r="D55">
        <f t="shared" si="5"/>
        <v>0</v>
      </c>
      <c r="E55">
        <f t="shared" si="6"/>
        <v>0</v>
      </c>
      <c r="F55">
        <f t="shared" si="7"/>
        <v>0</v>
      </c>
      <c r="G55">
        <f t="shared" si="8"/>
        <v>0</v>
      </c>
      <c r="H55">
        <f t="shared" si="8"/>
        <v>0</v>
      </c>
      <c r="I55">
        <f t="shared" si="8"/>
        <v>0</v>
      </c>
      <c r="J55">
        <f t="shared" si="8"/>
        <v>0</v>
      </c>
    </row>
    <row r="56" spans="1:10" x14ac:dyDescent="0.2">
      <c r="A56">
        <f t="shared" si="10"/>
        <v>6800</v>
      </c>
      <c r="B56">
        <f t="shared" si="3"/>
        <v>0</v>
      </c>
      <c r="C56">
        <f t="shared" si="11"/>
        <v>0</v>
      </c>
      <c r="D56">
        <f t="shared" si="5"/>
        <v>0</v>
      </c>
      <c r="E56">
        <f t="shared" si="6"/>
        <v>0</v>
      </c>
      <c r="F56">
        <f t="shared" si="7"/>
        <v>0</v>
      </c>
      <c r="G56">
        <f t="shared" si="8"/>
        <v>0</v>
      </c>
      <c r="H56">
        <f t="shared" si="8"/>
        <v>0</v>
      </c>
      <c r="I56">
        <f t="shared" si="8"/>
        <v>0</v>
      </c>
      <c r="J56">
        <f t="shared" si="8"/>
        <v>0</v>
      </c>
    </row>
    <row r="57" spans="1:10" x14ac:dyDescent="0.2">
      <c r="A57">
        <f t="shared" si="10"/>
        <v>8200</v>
      </c>
      <c r="B57">
        <f t="shared" si="3"/>
        <v>0</v>
      </c>
      <c r="C57">
        <f t="shared" si="11"/>
        <v>0</v>
      </c>
      <c r="D57">
        <f t="shared" si="5"/>
        <v>0</v>
      </c>
      <c r="E57">
        <f t="shared" si="6"/>
        <v>0</v>
      </c>
      <c r="F57">
        <f t="shared" si="7"/>
        <v>0</v>
      </c>
      <c r="G57">
        <f t="shared" si="8"/>
        <v>0</v>
      </c>
      <c r="H57">
        <f t="shared" si="8"/>
        <v>0</v>
      </c>
      <c r="I57">
        <f t="shared" si="8"/>
        <v>0</v>
      </c>
      <c r="J57">
        <f t="shared" si="8"/>
        <v>0</v>
      </c>
    </row>
    <row r="58" spans="1:10" x14ac:dyDescent="0.2">
      <c r="A58">
        <f t="shared" si="10"/>
        <v>10000</v>
      </c>
      <c r="B58">
        <f t="shared" si="3"/>
        <v>0</v>
      </c>
      <c r="C58">
        <f t="shared" si="11"/>
        <v>0</v>
      </c>
      <c r="D58">
        <f t="shared" si="5"/>
        <v>0</v>
      </c>
      <c r="E58">
        <f t="shared" si="6"/>
        <v>0</v>
      </c>
      <c r="F58">
        <f t="shared" si="7"/>
        <v>0</v>
      </c>
      <c r="G58">
        <f t="shared" si="8"/>
        <v>0</v>
      </c>
      <c r="H58">
        <f t="shared" si="8"/>
        <v>0</v>
      </c>
      <c r="I58">
        <f t="shared" si="8"/>
        <v>0</v>
      </c>
      <c r="J58">
        <f t="shared" si="8"/>
        <v>0</v>
      </c>
    </row>
    <row r="59" spans="1:10" x14ac:dyDescent="0.2">
      <c r="A59">
        <f t="shared" si="10"/>
        <v>12000</v>
      </c>
      <c r="B59">
        <f t="shared" si="3"/>
        <v>0</v>
      </c>
      <c r="C59">
        <f t="shared" si="11"/>
        <v>0</v>
      </c>
      <c r="D59">
        <f t="shared" si="5"/>
        <v>0</v>
      </c>
      <c r="E59">
        <f t="shared" si="6"/>
        <v>0</v>
      </c>
      <c r="F59">
        <f t="shared" si="7"/>
        <v>0</v>
      </c>
      <c r="G59">
        <f t="shared" si="8"/>
        <v>0</v>
      </c>
      <c r="H59">
        <f t="shared" si="8"/>
        <v>0</v>
      </c>
      <c r="I59">
        <f t="shared" si="8"/>
        <v>0</v>
      </c>
      <c r="J59">
        <f t="shared" si="8"/>
        <v>0</v>
      </c>
    </row>
    <row r="60" spans="1:10" x14ac:dyDescent="0.2">
      <c r="A60">
        <f t="shared" si="10"/>
        <v>15000</v>
      </c>
      <c r="B60">
        <f t="shared" si="3"/>
        <v>0</v>
      </c>
      <c r="C60">
        <f t="shared" si="11"/>
        <v>0</v>
      </c>
      <c r="D60">
        <f t="shared" si="5"/>
        <v>0</v>
      </c>
      <c r="E60">
        <f t="shared" si="6"/>
        <v>0</v>
      </c>
      <c r="F60">
        <f t="shared" si="7"/>
        <v>0</v>
      </c>
      <c r="G60">
        <f t="shared" si="8"/>
        <v>0</v>
      </c>
      <c r="H60">
        <f t="shared" si="8"/>
        <v>0</v>
      </c>
      <c r="I60">
        <f t="shared" si="8"/>
        <v>0</v>
      </c>
      <c r="J60">
        <f t="shared" si="8"/>
        <v>0</v>
      </c>
    </row>
    <row r="61" spans="1:10" x14ac:dyDescent="0.2">
      <c r="A61">
        <f t="shared" si="10"/>
        <v>18000</v>
      </c>
      <c r="B61">
        <f t="shared" si="3"/>
        <v>0</v>
      </c>
      <c r="C61">
        <f t="shared" si="11"/>
        <v>0</v>
      </c>
      <c r="D61">
        <f t="shared" si="5"/>
        <v>0</v>
      </c>
      <c r="E61">
        <f t="shared" si="6"/>
        <v>0</v>
      </c>
      <c r="F61">
        <f t="shared" si="7"/>
        <v>0</v>
      </c>
      <c r="G61">
        <f t="shared" si="8"/>
        <v>0</v>
      </c>
      <c r="H61">
        <f t="shared" si="8"/>
        <v>0</v>
      </c>
      <c r="I61">
        <f t="shared" si="8"/>
        <v>0</v>
      </c>
      <c r="J61">
        <f t="shared" si="8"/>
        <v>0</v>
      </c>
    </row>
    <row r="62" spans="1:10" x14ac:dyDescent="0.2">
      <c r="A62">
        <f t="shared" si="10"/>
        <v>22000</v>
      </c>
      <c r="B62">
        <f t="shared" si="3"/>
        <v>0</v>
      </c>
      <c r="C62">
        <f t="shared" si="11"/>
        <v>0</v>
      </c>
      <c r="D62">
        <f t="shared" si="5"/>
        <v>0</v>
      </c>
      <c r="E62">
        <f t="shared" si="6"/>
        <v>0</v>
      </c>
      <c r="F62">
        <f t="shared" si="7"/>
        <v>0</v>
      </c>
      <c r="G62">
        <f t="shared" si="8"/>
        <v>0</v>
      </c>
      <c r="H62">
        <f t="shared" si="8"/>
        <v>0</v>
      </c>
      <c r="I62">
        <f t="shared" si="8"/>
        <v>0</v>
      </c>
      <c r="J62">
        <f t="shared" si="8"/>
        <v>0</v>
      </c>
    </row>
    <row r="63" spans="1:10" x14ac:dyDescent="0.2">
      <c r="A63">
        <f t="shared" si="10"/>
        <v>27000</v>
      </c>
      <c r="B63">
        <f t="shared" si="3"/>
        <v>0</v>
      </c>
      <c r="C63">
        <f t="shared" si="11"/>
        <v>27000</v>
      </c>
      <c r="D63">
        <f t="shared" si="5"/>
        <v>0</v>
      </c>
      <c r="E63">
        <f t="shared" si="6"/>
        <v>0</v>
      </c>
      <c r="F63">
        <f t="shared" si="7"/>
        <v>0</v>
      </c>
      <c r="G63">
        <f t="shared" si="8"/>
        <v>0</v>
      </c>
      <c r="H63">
        <f t="shared" si="8"/>
        <v>0</v>
      </c>
      <c r="I63">
        <f t="shared" si="8"/>
        <v>0</v>
      </c>
      <c r="J63">
        <f t="shared" si="8"/>
        <v>0</v>
      </c>
    </row>
    <row r="64" spans="1:10" x14ac:dyDescent="0.2">
      <c r="A64">
        <f t="shared" si="10"/>
        <v>33000</v>
      </c>
      <c r="B64">
        <f t="shared" si="3"/>
        <v>0</v>
      </c>
      <c r="C64">
        <f t="shared" si="11"/>
        <v>0</v>
      </c>
      <c r="D64">
        <f t="shared" si="5"/>
        <v>0</v>
      </c>
      <c r="E64">
        <f t="shared" si="6"/>
        <v>0</v>
      </c>
      <c r="F64">
        <f t="shared" si="7"/>
        <v>0</v>
      </c>
      <c r="G64">
        <f t="shared" si="8"/>
        <v>0</v>
      </c>
      <c r="H64">
        <f t="shared" si="8"/>
        <v>0</v>
      </c>
      <c r="I64">
        <f t="shared" si="8"/>
        <v>0</v>
      </c>
      <c r="J64">
        <f t="shared" si="8"/>
        <v>0</v>
      </c>
    </row>
    <row r="65" spans="1:10" x14ac:dyDescent="0.2">
      <c r="A65">
        <f t="shared" si="10"/>
        <v>39000</v>
      </c>
      <c r="B65">
        <f t="shared" si="3"/>
        <v>0</v>
      </c>
      <c r="C65">
        <f t="shared" si="11"/>
        <v>0</v>
      </c>
      <c r="D65">
        <f t="shared" si="5"/>
        <v>0</v>
      </c>
      <c r="E65">
        <f t="shared" si="6"/>
        <v>0</v>
      </c>
      <c r="F65">
        <f t="shared" si="7"/>
        <v>0</v>
      </c>
      <c r="G65">
        <f t="shared" si="8"/>
        <v>0</v>
      </c>
      <c r="H65">
        <f t="shared" si="8"/>
        <v>47000</v>
      </c>
      <c r="I65">
        <f t="shared" si="8"/>
        <v>0</v>
      </c>
      <c r="J65">
        <f t="shared" si="8"/>
        <v>47000</v>
      </c>
    </row>
    <row r="66" spans="1:10" x14ac:dyDescent="0.2">
      <c r="A66">
        <f t="shared" si="10"/>
        <v>47000</v>
      </c>
      <c r="B66">
        <f t="shared" si="3"/>
        <v>0</v>
      </c>
      <c r="C66">
        <f t="shared" si="11"/>
        <v>0</v>
      </c>
      <c r="D66">
        <f t="shared" si="5"/>
        <v>0</v>
      </c>
      <c r="E66">
        <f t="shared" si="6"/>
        <v>0</v>
      </c>
      <c r="F66">
        <f t="shared" si="7"/>
        <v>0</v>
      </c>
      <c r="G66">
        <f t="shared" si="8"/>
        <v>0</v>
      </c>
      <c r="H66">
        <f t="shared" si="8"/>
        <v>0</v>
      </c>
      <c r="I66">
        <f t="shared" si="8"/>
        <v>0</v>
      </c>
      <c r="J66">
        <f t="shared" si="8"/>
        <v>0</v>
      </c>
    </row>
    <row r="67" spans="1:10" x14ac:dyDescent="0.2">
      <c r="A67">
        <f t="shared" si="10"/>
        <v>56000</v>
      </c>
      <c r="B67">
        <f t="shared" si="3"/>
        <v>0</v>
      </c>
      <c r="C67">
        <f t="shared" si="11"/>
        <v>0</v>
      </c>
      <c r="D67">
        <f t="shared" si="5"/>
        <v>0</v>
      </c>
      <c r="E67">
        <f t="shared" si="6"/>
        <v>0</v>
      </c>
      <c r="F67">
        <f t="shared" si="7"/>
        <v>0</v>
      </c>
      <c r="G67">
        <f t="shared" si="8"/>
        <v>0</v>
      </c>
      <c r="H67">
        <f t="shared" si="8"/>
        <v>0</v>
      </c>
      <c r="I67">
        <f t="shared" si="8"/>
        <v>0</v>
      </c>
      <c r="J67">
        <f t="shared" si="8"/>
        <v>0</v>
      </c>
    </row>
    <row r="68" spans="1:10" x14ac:dyDescent="0.2">
      <c r="A68">
        <f t="shared" si="10"/>
        <v>68000</v>
      </c>
      <c r="B68">
        <f t="shared" si="3"/>
        <v>0</v>
      </c>
      <c r="C68">
        <f t="shared" si="11"/>
        <v>0</v>
      </c>
      <c r="D68">
        <f t="shared" si="5"/>
        <v>0</v>
      </c>
      <c r="E68">
        <f t="shared" si="6"/>
        <v>0</v>
      </c>
      <c r="F68">
        <f t="shared" si="7"/>
        <v>0</v>
      </c>
      <c r="G68">
        <f t="shared" si="8"/>
        <v>0</v>
      </c>
      <c r="H68">
        <f t="shared" si="8"/>
        <v>0</v>
      </c>
      <c r="I68">
        <f t="shared" si="8"/>
        <v>0</v>
      </c>
      <c r="J68">
        <f t="shared" si="8"/>
        <v>0</v>
      </c>
    </row>
    <row r="69" spans="1:10" x14ac:dyDescent="0.2">
      <c r="A69">
        <f t="shared" si="10"/>
        <v>82000</v>
      </c>
      <c r="B69">
        <f t="shared" si="3"/>
        <v>0</v>
      </c>
      <c r="C69">
        <f t="shared" si="11"/>
        <v>0</v>
      </c>
      <c r="D69">
        <f t="shared" si="5"/>
        <v>0</v>
      </c>
      <c r="E69">
        <f t="shared" si="6"/>
        <v>0</v>
      </c>
      <c r="F69">
        <f t="shared" si="7"/>
        <v>0</v>
      </c>
      <c r="G69">
        <f t="shared" si="8"/>
        <v>0</v>
      </c>
      <c r="H69">
        <f t="shared" si="8"/>
        <v>0</v>
      </c>
      <c r="I69">
        <f t="shared" si="8"/>
        <v>0</v>
      </c>
      <c r="J69">
        <f t="shared" ref="J69:J132" si="12">IF(IF((J$3*10^12-$A70)*(J$3*10^12-$A69)*-1&lt;0,0,1)*IF(ABS(J$3*10^12-$A70)&gt;(J$3*10^12-$A69),$A69,$A70)=J70,0,IF((J$3*10^12-$A70)*(J$3*10^12-$A69)*-1&lt;0,0,1)*IF(ABS(J$3*10^12-$A70)&gt;(J$3*10^12-$A69),$A69,$A70))</f>
        <v>0</v>
      </c>
    </row>
    <row r="70" spans="1:10" x14ac:dyDescent="0.2">
      <c r="A70">
        <f t="shared" si="10"/>
        <v>100000</v>
      </c>
      <c r="B70">
        <f t="shared" si="3"/>
        <v>0</v>
      </c>
      <c r="C70">
        <f t="shared" si="11"/>
        <v>0</v>
      </c>
      <c r="D70">
        <f t="shared" ref="D70:I70" si="13">IF(IF((D$3*10^12-$A71)*(D$3*10^12-$A70)*-1&lt;0,0,1)*IF(ABS(D$3*10^12-$A71)&gt;(D$3*10^12-$A70),$A70,$A71)=D71,0,IF((D$3*10^12-$A71)*(D$3*10^12-$A70)*-1&lt;0,0,1)*IF(ABS(D$3*10^12-$A71)&gt;(D$3*10^12-$A70),$A70,$A71))</f>
        <v>0</v>
      </c>
      <c r="E70">
        <f t="shared" si="13"/>
        <v>0</v>
      </c>
      <c r="F70">
        <f t="shared" si="13"/>
        <v>0</v>
      </c>
      <c r="G70">
        <f t="shared" si="13"/>
        <v>0</v>
      </c>
      <c r="H70">
        <f t="shared" si="13"/>
        <v>0</v>
      </c>
      <c r="I70">
        <f t="shared" si="13"/>
        <v>0</v>
      </c>
      <c r="J70">
        <f t="shared" si="12"/>
        <v>0</v>
      </c>
    </row>
    <row r="71" spans="1:10" x14ac:dyDescent="0.2">
      <c r="A71">
        <f t="shared" si="10"/>
        <v>120000</v>
      </c>
      <c r="B71">
        <f t="shared" ref="B71:B134" si="14">IF(IF((B$3*10^12-$A72)*(B$3*10^12-$A71)*-1&lt;0,0,1)*IF(ABS(B$3*10^12-$A72)&gt;(B$3*10^12-$A71),$A71,$A72)=B72,0,IF((B$3*10^12-$A72)*(B$3*10^12-$A71)*-1&lt;0,0,1)*IF(ABS(B$3*10^12-$A72)&gt;(B$3*10^12-$A71),$A71,$A72))</f>
        <v>0</v>
      </c>
      <c r="C71">
        <f t="shared" ref="C71:E134" si="15">IF(IF((C$3*10^12-$A72)*(C$3*10^12-$A71)*-1&lt;0,0,1)*IF(ABS(C$3*10^12-$A72)&gt;(C$3*10^12-$A71),$A71,$A72)=C72,0,IF((C$3*10^12-$A72)*(C$3*10^12-$A71)*-1&lt;0,0,1)*IF(ABS(C$3*10^12-$A72)&gt;(C$3*10^12-$A71),$A71,$A72))</f>
        <v>0</v>
      </c>
      <c r="D71">
        <f t="shared" si="15"/>
        <v>0</v>
      </c>
      <c r="E71">
        <f t="shared" si="15"/>
        <v>0</v>
      </c>
      <c r="F71">
        <f t="shared" ref="F71:F102" si="16">IF(IF((F$3*10^12-$A72)*(F$3*10^12-$A71)*-1&lt;0,0,1)*IF(ABS(F$3*10^12-$A72)&gt;(F$3*10^12-$A71),$A71,$A72)=F72,0,IF((F$3*10^12-$A72)*(F$3*10^12-$A71)*-1&lt;0,0,1)*IF(ABS(F$3*10^12-$A72)&gt;(F$3*10^12-$A71),$A71,$A72))</f>
        <v>0</v>
      </c>
      <c r="G71">
        <f t="shared" ref="G71:G102" si="17">IF(IF((G$3*10^12-$A72)*(G$3*10^12-$A71)*-1&lt;0,0,1)*IF(ABS(G$3*10^12-$A72)&gt;(G$3*10^12-$A71),$A71,$A72)=G72,0,IF((G$3*10^12-$A72)*(G$3*10^12-$A71)*-1&lt;0,0,1)*IF(ABS(G$3*10^12-$A72)&gt;(G$3*10^12-$A71),$A71,$A72))</f>
        <v>0</v>
      </c>
      <c r="H71">
        <f t="shared" ref="H71:H102" si="18">IF(IF((H$3*10^12-$A72)*(H$3*10^12-$A71)*-1&lt;0,0,1)*IF(ABS(H$3*10^12-$A72)&gt;(H$3*10^12-$A71),$A71,$A72)=H72,0,IF((H$3*10^12-$A72)*(H$3*10^12-$A71)*-1&lt;0,0,1)*IF(ABS(H$3*10^12-$A72)&gt;(H$3*10^12-$A71),$A71,$A72))</f>
        <v>0</v>
      </c>
      <c r="I71">
        <f t="shared" ref="I71:I102" si="19">IF(IF((I$3*10^12-$A72)*(I$3*10^12-$A71)*-1&lt;0,0,1)*IF(ABS(I$3*10^12-$A72)&gt;(I$3*10^12-$A71),$A71,$A72)=I72,0,IF((I$3*10^12-$A72)*(I$3*10^12-$A71)*-1&lt;0,0,1)*IF(ABS(I$3*10^12-$A72)&gt;(I$3*10^12-$A71),$A71,$A72))</f>
        <v>0</v>
      </c>
      <c r="J71">
        <f t="shared" si="12"/>
        <v>0</v>
      </c>
    </row>
    <row r="72" spans="1:10" x14ac:dyDescent="0.2">
      <c r="A72">
        <f t="shared" si="10"/>
        <v>150000</v>
      </c>
      <c r="B72">
        <f t="shared" si="14"/>
        <v>0</v>
      </c>
      <c r="C72">
        <f t="shared" si="15"/>
        <v>0</v>
      </c>
      <c r="D72">
        <f t="shared" si="15"/>
        <v>0</v>
      </c>
      <c r="E72">
        <f t="shared" si="15"/>
        <v>0</v>
      </c>
      <c r="F72">
        <f t="shared" si="16"/>
        <v>0</v>
      </c>
      <c r="G72">
        <f t="shared" si="17"/>
        <v>0</v>
      </c>
      <c r="H72">
        <f t="shared" si="18"/>
        <v>0</v>
      </c>
      <c r="I72">
        <f t="shared" si="19"/>
        <v>0</v>
      </c>
      <c r="J72">
        <f t="shared" si="12"/>
        <v>0</v>
      </c>
    </row>
    <row r="73" spans="1:10" x14ac:dyDescent="0.2">
      <c r="A73">
        <f t="shared" si="10"/>
        <v>180000</v>
      </c>
      <c r="B73">
        <f t="shared" si="14"/>
        <v>220000</v>
      </c>
      <c r="C73">
        <f t="shared" si="15"/>
        <v>0</v>
      </c>
      <c r="D73">
        <f t="shared" si="15"/>
        <v>0</v>
      </c>
      <c r="E73">
        <f t="shared" si="15"/>
        <v>0</v>
      </c>
      <c r="F73">
        <f t="shared" si="16"/>
        <v>0</v>
      </c>
      <c r="G73">
        <f t="shared" si="17"/>
        <v>0</v>
      </c>
      <c r="H73">
        <f t="shared" si="18"/>
        <v>0</v>
      </c>
      <c r="I73">
        <f t="shared" si="19"/>
        <v>0</v>
      </c>
      <c r="J73">
        <f t="shared" si="12"/>
        <v>0</v>
      </c>
    </row>
    <row r="74" spans="1:10" x14ac:dyDescent="0.2">
      <c r="A74">
        <f t="shared" si="10"/>
        <v>220000</v>
      </c>
      <c r="B74">
        <f t="shared" si="14"/>
        <v>0</v>
      </c>
      <c r="C74">
        <f t="shared" si="15"/>
        <v>0</v>
      </c>
      <c r="D74">
        <f t="shared" si="15"/>
        <v>0</v>
      </c>
      <c r="E74">
        <f t="shared" si="15"/>
        <v>0</v>
      </c>
      <c r="F74">
        <f t="shared" si="16"/>
        <v>0</v>
      </c>
      <c r="G74">
        <f t="shared" si="17"/>
        <v>0</v>
      </c>
      <c r="H74">
        <f t="shared" si="18"/>
        <v>0</v>
      </c>
      <c r="I74">
        <f t="shared" si="19"/>
        <v>0</v>
      </c>
      <c r="J74">
        <f t="shared" si="12"/>
        <v>0</v>
      </c>
    </row>
    <row r="75" spans="1:10" x14ac:dyDescent="0.2">
      <c r="A75">
        <f t="shared" si="10"/>
        <v>270000</v>
      </c>
      <c r="B75">
        <f t="shared" si="14"/>
        <v>0</v>
      </c>
      <c r="C75">
        <f t="shared" si="15"/>
        <v>0</v>
      </c>
      <c r="D75">
        <f t="shared" si="15"/>
        <v>0</v>
      </c>
      <c r="E75">
        <f t="shared" si="15"/>
        <v>0</v>
      </c>
      <c r="F75">
        <f t="shared" si="16"/>
        <v>0</v>
      </c>
      <c r="G75">
        <f t="shared" si="17"/>
        <v>0</v>
      </c>
      <c r="H75">
        <f t="shared" si="18"/>
        <v>0</v>
      </c>
      <c r="I75">
        <f t="shared" si="19"/>
        <v>0</v>
      </c>
      <c r="J75">
        <f t="shared" si="12"/>
        <v>0</v>
      </c>
    </row>
    <row r="76" spans="1:10" x14ac:dyDescent="0.2">
      <c r="A76">
        <f t="shared" si="10"/>
        <v>330000</v>
      </c>
      <c r="B76">
        <f t="shared" si="14"/>
        <v>0</v>
      </c>
      <c r="C76">
        <f t="shared" si="15"/>
        <v>0</v>
      </c>
      <c r="D76">
        <f t="shared" si="15"/>
        <v>0</v>
      </c>
      <c r="E76">
        <f t="shared" si="15"/>
        <v>0</v>
      </c>
      <c r="F76">
        <f t="shared" si="16"/>
        <v>0</v>
      </c>
      <c r="G76">
        <f t="shared" si="17"/>
        <v>0</v>
      </c>
      <c r="H76">
        <f t="shared" si="18"/>
        <v>0</v>
      </c>
      <c r="I76">
        <f t="shared" si="19"/>
        <v>0</v>
      </c>
      <c r="J76">
        <f t="shared" si="12"/>
        <v>0</v>
      </c>
    </row>
    <row r="77" spans="1:10" x14ac:dyDescent="0.2">
      <c r="A77">
        <f t="shared" si="10"/>
        <v>390000</v>
      </c>
      <c r="B77">
        <f t="shared" si="14"/>
        <v>0</v>
      </c>
      <c r="C77">
        <f t="shared" si="15"/>
        <v>0</v>
      </c>
      <c r="D77">
        <f t="shared" si="15"/>
        <v>0</v>
      </c>
      <c r="E77">
        <f t="shared" si="15"/>
        <v>0</v>
      </c>
      <c r="F77">
        <f t="shared" si="16"/>
        <v>0</v>
      </c>
      <c r="G77">
        <f t="shared" si="17"/>
        <v>0</v>
      </c>
      <c r="H77">
        <f t="shared" si="18"/>
        <v>0</v>
      </c>
      <c r="I77">
        <f t="shared" si="19"/>
        <v>0</v>
      </c>
      <c r="J77">
        <f t="shared" si="12"/>
        <v>0</v>
      </c>
    </row>
    <row r="78" spans="1:10" x14ac:dyDescent="0.2">
      <c r="A78">
        <f t="shared" si="10"/>
        <v>470000</v>
      </c>
      <c r="B78">
        <f t="shared" si="14"/>
        <v>0</v>
      </c>
      <c r="C78">
        <f t="shared" si="15"/>
        <v>0</v>
      </c>
      <c r="D78">
        <f t="shared" si="15"/>
        <v>0</v>
      </c>
      <c r="E78">
        <f t="shared" si="15"/>
        <v>0</v>
      </c>
      <c r="F78">
        <f t="shared" si="16"/>
        <v>0</v>
      </c>
      <c r="G78">
        <f t="shared" si="17"/>
        <v>0</v>
      </c>
      <c r="H78">
        <f t="shared" si="18"/>
        <v>0</v>
      </c>
      <c r="I78">
        <f t="shared" si="19"/>
        <v>0</v>
      </c>
      <c r="J78">
        <f t="shared" si="12"/>
        <v>0</v>
      </c>
    </row>
    <row r="79" spans="1:10" x14ac:dyDescent="0.2">
      <c r="A79">
        <f t="shared" si="10"/>
        <v>560000</v>
      </c>
      <c r="B79">
        <f t="shared" si="14"/>
        <v>0</v>
      </c>
      <c r="C79">
        <f t="shared" si="15"/>
        <v>0</v>
      </c>
      <c r="D79">
        <f t="shared" si="15"/>
        <v>0</v>
      </c>
      <c r="E79">
        <f t="shared" si="15"/>
        <v>0</v>
      </c>
      <c r="F79">
        <f t="shared" si="16"/>
        <v>0</v>
      </c>
      <c r="G79">
        <f t="shared" si="17"/>
        <v>0</v>
      </c>
      <c r="H79">
        <f t="shared" si="18"/>
        <v>0</v>
      </c>
      <c r="I79">
        <f t="shared" si="19"/>
        <v>0</v>
      </c>
      <c r="J79">
        <f t="shared" si="12"/>
        <v>0</v>
      </c>
    </row>
    <row r="80" spans="1:10" x14ac:dyDescent="0.2">
      <c r="A80">
        <f t="shared" si="10"/>
        <v>680000</v>
      </c>
      <c r="B80">
        <f t="shared" si="14"/>
        <v>0</v>
      </c>
      <c r="C80">
        <f t="shared" si="15"/>
        <v>0</v>
      </c>
      <c r="D80">
        <f t="shared" si="15"/>
        <v>0</v>
      </c>
      <c r="E80">
        <f t="shared" si="15"/>
        <v>0</v>
      </c>
      <c r="F80">
        <f t="shared" si="16"/>
        <v>0</v>
      </c>
      <c r="G80">
        <f t="shared" si="17"/>
        <v>0</v>
      </c>
      <c r="H80">
        <f t="shared" si="18"/>
        <v>0</v>
      </c>
      <c r="I80">
        <f t="shared" si="19"/>
        <v>0</v>
      </c>
      <c r="J80">
        <f t="shared" si="12"/>
        <v>0</v>
      </c>
    </row>
    <row r="81" spans="1:10" x14ac:dyDescent="0.2">
      <c r="A81">
        <f t="shared" si="10"/>
        <v>820000</v>
      </c>
      <c r="B81">
        <f t="shared" si="14"/>
        <v>0</v>
      </c>
      <c r="C81">
        <f t="shared" si="15"/>
        <v>0</v>
      </c>
      <c r="D81">
        <f t="shared" si="15"/>
        <v>0</v>
      </c>
      <c r="E81">
        <f t="shared" si="15"/>
        <v>0</v>
      </c>
      <c r="F81">
        <f t="shared" si="16"/>
        <v>0</v>
      </c>
      <c r="G81">
        <f t="shared" si="17"/>
        <v>0</v>
      </c>
      <c r="H81">
        <f t="shared" si="18"/>
        <v>0</v>
      </c>
      <c r="I81">
        <f t="shared" si="19"/>
        <v>0</v>
      </c>
      <c r="J81">
        <f t="shared" si="12"/>
        <v>0</v>
      </c>
    </row>
    <row r="82" spans="1:10" x14ac:dyDescent="0.2">
      <c r="A82">
        <f t="shared" si="10"/>
        <v>1000000</v>
      </c>
      <c r="B82">
        <f t="shared" si="14"/>
        <v>0</v>
      </c>
      <c r="C82">
        <f t="shared" si="15"/>
        <v>0</v>
      </c>
      <c r="D82">
        <f t="shared" si="15"/>
        <v>0</v>
      </c>
      <c r="E82">
        <f t="shared" si="15"/>
        <v>0</v>
      </c>
      <c r="F82">
        <f t="shared" si="16"/>
        <v>0</v>
      </c>
      <c r="G82">
        <f t="shared" si="17"/>
        <v>0</v>
      </c>
      <c r="H82">
        <f t="shared" si="18"/>
        <v>0</v>
      </c>
      <c r="I82">
        <f t="shared" si="19"/>
        <v>0</v>
      </c>
      <c r="J82">
        <f t="shared" si="12"/>
        <v>0</v>
      </c>
    </row>
    <row r="83" spans="1:10" x14ac:dyDescent="0.2">
      <c r="A83">
        <f t="shared" si="10"/>
        <v>1200000</v>
      </c>
      <c r="B83">
        <f t="shared" si="14"/>
        <v>0</v>
      </c>
      <c r="C83">
        <f t="shared" si="15"/>
        <v>0</v>
      </c>
      <c r="D83">
        <f t="shared" si="15"/>
        <v>0</v>
      </c>
      <c r="E83">
        <f t="shared" si="15"/>
        <v>0</v>
      </c>
      <c r="F83">
        <f t="shared" si="16"/>
        <v>0</v>
      </c>
      <c r="G83">
        <f t="shared" si="17"/>
        <v>0</v>
      </c>
      <c r="H83">
        <f t="shared" si="18"/>
        <v>0</v>
      </c>
      <c r="I83">
        <f t="shared" si="19"/>
        <v>0</v>
      </c>
      <c r="J83">
        <f t="shared" si="12"/>
        <v>0</v>
      </c>
    </row>
    <row r="84" spans="1:10" x14ac:dyDescent="0.2">
      <c r="A84">
        <f t="shared" si="10"/>
        <v>1500000</v>
      </c>
      <c r="B84">
        <f t="shared" si="14"/>
        <v>0</v>
      </c>
      <c r="C84">
        <f t="shared" si="15"/>
        <v>0</v>
      </c>
      <c r="D84">
        <f t="shared" si="15"/>
        <v>0</v>
      </c>
      <c r="E84">
        <f t="shared" si="15"/>
        <v>0</v>
      </c>
      <c r="F84">
        <f t="shared" si="16"/>
        <v>0</v>
      </c>
      <c r="G84">
        <f t="shared" si="17"/>
        <v>0</v>
      </c>
      <c r="H84">
        <f t="shared" si="18"/>
        <v>0</v>
      </c>
      <c r="I84">
        <f t="shared" si="19"/>
        <v>0</v>
      </c>
      <c r="J84">
        <f t="shared" si="12"/>
        <v>0</v>
      </c>
    </row>
    <row r="85" spans="1:10" x14ac:dyDescent="0.2">
      <c r="A85">
        <f t="shared" si="10"/>
        <v>1800000</v>
      </c>
      <c r="B85">
        <f t="shared" si="14"/>
        <v>0</v>
      </c>
      <c r="C85">
        <f t="shared" si="15"/>
        <v>0</v>
      </c>
      <c r="D85">
        <f t="shared" si="15"/>
        <v>0</v>
      </c>
      <c r="E85">
        <f t="shared" si="15"/>
        <v>0</v>
      </c>
      <c r="F85">
        <f t="shared" si="16"/>
        <v>0</v>
      </c>
      <c r="G85">
        <f t="shared" si="17"/>
        <v>0</v>
      </c>
      <c r="H85">
        <f t="shared" si="18"/>
        <v>0</v>
      </c>
      <c r="I85">
        <f t="shared" si="19"/>
        <v>0</v>
      </c>
      <c r="J85">
        <f t="shared" si="12"/>
        <v>0</v>
      </c>
    </row>
    <row r="86" spans="1:10" x14ac:dyDescent="0.2">
      <c r="A86">
        <f t="shared" si="10"/>
        <v>2200000</v>
      </c>
      <c r="B86">
        <f t="shared" si="14"/>
        <v>0</v>
      </c>
      <c r="C86">
        <f t="shared" si="15"/>
        <v>0</v>
      </c>
      <c r="D86">
        <f t="shared" si="15"/>
        <v>0</v>
      </c>
      <c r="E86">
        <f t="shared" si="15"/>
        <v>0</v>
      </c>
      <c r="F86">
        <f t="shared" si="16"/>
        <v>0</v>
      </c>
      <c r="G86">
        <f t="shared" si="17"/>
        <v>0</v>
      </c>
      <c r="H86">
        <f t="shared" si="18"/>
        <v>0</v>
      </c>
      <c r="I86">
        <f t="shared" si="19"/>
        <v>0</v>
      </c>
      <c r="J86">
        <f t="shared" si="12"/>
        <v>0</v>
      </c>
    </row>
    <row r="87" spans="1:10" x14ac:dyDescent="0.2">
      <c r="A87">
        <f t="shared" si="10"/>
        <v>2700000</v>
      </c>
      <c r="B87">
        <f t="shared" si="14"/>
        <v>0</v>
      </c>
      <c r="C87">
        <f t="shared" si="15"/>
        <v>0</v>
      </c>
      <c r="D87">
        <f t="shared" si="15"/>
        <v>0</v>
      </c>
      <c r="E87">
        <f t="shared" si="15"/>
        <v>0</v>
      </c>
      <c r="F87">
        <f t="shared" si="16"/>
        <v>0</v>
      </c>
      <c r="G87">
        <f t="shared" si="17"/>
        <v>0</v>
      </c>
      <c r="H87">
        <f t="shared" si="18"/>
        <v>0</v>
      </c>
      <c r="I87">
        <f t="shared" si="19"/>
        <v>0</v>
      </c>
      <c r="J87">
        <f t="shared" si="12"/>
        <v>0</v>
      </c>
    </row>
    <row r="88" spans="1:10" x14ac:dyDescent="0.2">
      <c r="A88">
        <f t="shared" si="10"/>
        <v>3300000</v>
      </c>
      <c r="B88">
        <f t="shared" si="14"/>
        <v>0</v>
      </c>
      <c r="C88">
        <f t="shared" si="15"/>
        <v>0</v>
      </c>
      <c r="D88">
        <f t="shared" si="15"/>
        <v>0</v>
      </c>
      <c r="E88">
        <f t="shared" si="15"/>
        <v>0</v>
      </c>
      <c r="F88">
        <f t="shared" si="16"/>
        <v>0</v>
      </c>
      <c r="G88">
        <f t="shared" si="17"/>
        <v>0</v>
      </c>
      <c r="H88">
        <f t="shared" si="18"/>
        <v>0</v>
      </c>
      <c r="I88">
        <f t="shared" si="19"/>
        <v>0</v>
      </c>
      <c r="J88">
        <f t="shared" si="12"/>
        <v>0</v>
      </c>
    </row>
    <row r="89" spans="1:10" x14ac:dyDescent="0.2">
      <c r="A89">
        <f t="shared" si="10"/>
        <v>3900000</v>
      </c>
      <c r="B89">
        <f t="shared" si="14"/>
        <v>0</v>
      </c>
      <c r="C89">
        <f t="shared" si="15"/>
        <v>0</v>
      </c>
      <c r="D89">
        <f t="shared" si="15"/>
        <v>0</v>
      </c>
      <c r="E89">
        <f t="shared" si="15"/>
        <v>0</v>
      </c>
      <c r="F89">
        <f t="shared" si="16"/>
        <v>0</v>
      </c>
      <c r="G89">
        <f t="shared" si="17"/>
        <v>0</v>
      </c>
      <c r="H89">
        <f t="shared" si="18"/>
        <v>0</v>
      </c>
      <c r="I89">
        <f t="shared" si="19"/>
        <v>0</v>
      </c>
      <c r="J89">
        <f t="shared" si="12"/>
        <v>0</v>
      </c>
    </row>
    <row r="90" spans="1:10" x14ac:dyDescent="0.2">
      <c r="A90">
        <f t="shared" si="10"/>
        <v>4700000</v>
      </c>
      <c r="B90">
        <f t="shared" si="14"/>
        <v>0</v>
      </c>
      <c r="C90">
        <f t="shared" si="15"/>
        <v>0</v>
      </c>
      <c r="D90">
        <f t="shared" si="15"/>
        <v>0</v>
      </c>
      <c r="E90">
        <f t="shared" si="15"/>
        <v>0</v>
      </c>
      <c r="F90">
        <f t="shared" si="16"/>
        <v>0</v>
      </c>
      <c r="G90">
        <f t="shared" si="17"/>
        <v>0</v>
      </c>
      <c r="H90">
        <f t="shared" si="18"/>
        <v>0</v>
      </c>
      <c r="I90">
        <f t="shared" si="19"/>
        <v>0</v>
      </c>
      <c r="J90">
        <f t="shared" si="12"/>
        <v>0</v>
      </c>
    </row>
    <row r="91" spans="1:10" x14ac:dyDescent="0.2">
      <c r="A91">
        <f t="shared" si="10"/>
        <v>5600000</v>
      </c>
      <c r="B91">
        <f t="shared" si="14"/>
        <v>0</v>
      </c>
      <c r="C91">
        <f t="shared" si="15"/>
        <v>0</v>
      </c>
      <c r="D91">
        <f t="shared" si="15"/>
        <v>0</v>
      </c>
      <c r="E91">
        <f t="shared" si="15"/>
        <v>0</v>
      </c>
      <c r="F91">
        <f t="shared" si="16"/>
        <v>0</v>
      </c>
      <c r="G91">
        <f t="shared" si="17"/>
        <v>0</v>
      </c>
      <c r="H91">
        <f t="shared" si="18"/>
        <v>0</v>
      </c>
      <c r="I91">
        <f t="shared" si="19"/>
        <v>0</v>
      </c>
      <c r="J91">
        <f t="shared" si="12"/>
        <v>0</v>
      </c>
    </row>
    <row r="92" spans="1:10" x14ac:dyDescent="0.2">
      <c r="A92">
        <f t="shared" si="10"/>
        <v>6800000</v>
      </c>
      <c r="B92">
        <f t="shared" si="14"/>
        <v>0</v>
      </c>
      <c r="C92">
        <f t="shared" si="15"/>
        <v>0</v>
      </c>
      <c r="D92">
        <f t="shared" si="15"/>
        <v>0</v>
      </c>
      <c r="E92">
        <f t="shared" si="15"/>
        <v>0</v>
      </c>
      <c r="F92">
        <f t="shared" si="16"/>
        <v>0</v>
      </c>
      <c r="G92">
        <f t="shared" si="17"/>
        <v>0</v>
      </c>
      <c r="H92">
        <f t="shared" si="18"/>
        <v>0</v>
      </c>
      <c r="I92">
        <f t="shared" si="19"/>
        <v>0</v>
      </c>
      <c r="J92">
        <f t="shared" si="12"/>
        <v>0</v>
      </c>
    </row>
    <row r="93" spans="1:10" x14ac:dyDescent="0.2">
      <c r="A93">
        <f t="shared" si="10"/>
        <v>8200000</v>
      </c>
      <c r="B93">
        <f t="shared" si="14"/>
        <v>0</v>
      </c>
      <c r="C93">
        <f t="shared" si="15"/>
        <v>0</v>
      </c>
      <c r="D93">
        <f t="shared" si="15"/>
        <v>0</v>
      </c>
      <c r="E93">
        <f t="shared" si="15"/>
        <v>0</v>
      </c>
      <c r="F93">
        <f t="shared" si="16"/>
        <v>0</v>
      </c>
      <c r="G93">
        <f t="shared" si="17"/>
        <v>0</v>
      </c>
      <c r="H93">
        <f t="shared" si="18"/>
        <v>0</v>
      </c>
      <c r="I93">
        <f t="shared" si="19"/>
        <v>0</v>
      </c>
      <c r="J93">
        <f t="shared" si="12"/>
        <v>0</v>
      </c>
    </row>
    <row r="94" spans="1:10" x14ac:dyDescent="0.2">
      <c r="A94">
        <f t="shared" si="10"/>
        <v>10000000</v>
      </c>
      <c r="B94">
        <f t="shared" si="14"/>
        <v>0</v>
      </c>
      <c r="C94">
        <f t="shared" si="15"/>
        <v>0</v>
      </c>
      <c r="D94">
        <f t="shared" si="15"/>
        <v>0</v>
      </c>
      <c r="E94">
        <f t="shared" si="15"/>
        <v>0</v>
      </c>
      <c r="F94">
        <f t="shared" si="16"/>
        <v>0</v>
      </c>
      <c r="G94">
        <f t="shared" si="17"/>
        <v>0</v>
      </c>
      <c r="H94">
        <f t="shared" si="18"/>
        <v>0</v>
      </c>
      <c r="I94">
        <f t="shared" si="19"/>
        <v>0</v>
      </c>
      <c r="J94">
        <f t="shared" si="12"/>
        <v>0</v>
      </c>
    </row>
    <row r="95" spans="1:10" x14ac:dyDescent="0.2">
      <c r="A95">
        <f t="shared" si="10"/>
        <v>12000000</v>
      </c>
      <c r="B95">
        <f t="shared" si="14"/>
        <v>0</v>
      </c>
      <c r="C95">
        <f t="shared" si="15"/>
        <v>0</v>
      </c>
      <c r="D95">
        <f t="shared" si="15"/>
        <v>0</v>
      </c>
      <c r="E95">
        <f t="shared" si="15"/>
        <v>0</v>
      </c>
      <c r="F95">
        <f t="shared" si="16"/>
        <v>0</v>
      </c>
      <c r="G95">
        <f t="shared" si="17"/>
        <v>0</v>
      </c>
      <c r="H95">
        <f t="shared" si="18"/>
        <v>0</v>
      </c>
      <c r="I95">
        <f t="shared" si="19"/>
        <v>0</v>
      </c>
      <c r="J95">
        <f t="shared" si="12"/>
        <v>0</v>
      </c>
    </row>
    <row r="96" spans="1:10" x14ac:dyDescent="0.2">
      <c r="A96">
        <f t="shared" si="10"/>
        <v>15000000</v>
      </c>
      <c r="B96">
        <f t="shared" si="14"/>
        <v>0</v>
      </c>
      <c r="C96">
        <f t="shared" si="15"/>
        <v>0</v>
      </c>
      <c r="D96">
        <f t="shared" si="15"/>
        <v>0</v>
      </c>
      <c r="E96">
        <f t="shared" si="15"/>
        <v>0</v>
      </c>
      <c r="F96">
        <f t="shared" si="16"/>
        <v>0</v>
      </c>
      <c r="G96">
        <f t="shared" si="17"/>
        <v>0</v>
      </c>
      <c r="H96">
        <f t="shared" si="18"/>
        <v>0</v>
      </c>
      <c r="I96">
        <f t="shared" si="19"/>
        <v>0</v>
      </c>
      <c r="J96">
        <f t="shared" si="12"/>
        <v>0</v>
      </c>
    </row>
    <row r="97" spans="1:10" x14ac:dyDescent="0.2">
      <c r="A97">
        <f t="shared" si="10"/>
        <v>18000000</v>
      </c>
      <c r="B97">
        <f t="shared" si="14"/>
        <v>0</v>
      </c>
      <c r="C97">
        <f t="shared" si="15"/>
        <v>0</v>
      </c>
      <c r="D97">
        <f t="shared" si="15"/>
        <v>0</v>
      </c>
      <c r="E97">
        <f t="shared" si="15"/>
        <v>0</v>
      </c>
      <c r="F97">
        <f t="shared" si="16"/>
        <v>0</v>
      </c>
      <c r="G97">
        <f t="shared" si="17"/>
        <v>0</v>
      </c>
      <c r="H97">
        <f t="shared" si="18"/>
        <v>0</v>
      </c>
      <c r="I97">
        <f t="shared" si="19"/>
        <v>0</v>
      </c>
      <c r="J97">
        <f t="shared" si="12"/>
        <v>0</v>
      </c>
    </row>
    <row r="98" spans="1:10" x14ac:dyDescent="0.2">
      <c r="A98">
        <f t="shared" si="10"/>
        <v>22000000</v>
      </c>
      <c r="B98">
        <f t="shared" si="14"/>
        <v>0</v>
      </c>
      <c r="C98">
        <f t="shared" si="15"/>
        <v>0</v>
      </c>
      <c r="D98">
        <f t="shared" si="15"/>
        <v>0</v>
      </c>
      <c r="E98">
        <f t="shared" si="15"/>
        <v>0</v>
      </c>
      <c r="F98">
        <f t="shared" si="16"/>
        <v>0</v>
      </c>
      <c r="G98">
        <f t="shared" si="17"/>
        <v>0</v>
      </c>
      <c r="H98">
        <f t="shared" si="18"/>
        <v>0</v>
      </c>
      <c r="I98">
        <f t="shared" si="19"/>
        <v>0</v>
      </c>
      <c r="J98">
        <f t="shared" si="12"/>
        <v>0</v>
      </c>
    </row>
    <row r="99" spans="1:10" x14ac:dyDescent="0.2">
      <c r="A99">
        <f t="shared" ref="A99:A159" si="20">A87*10</f>
        <v>27000000</v>
      </c>
      <c r="B99">
        <f t="shared" si="14"/>
        <v>0</v>
      </c>
      <c r="C99">
        <f t="shared" si="15"/>
        <v>0</v>
      </c>
      <c r="D99">
        <f t="shared" si="15"/>
        <v>0</v>
      </c>
      <c r="E99">
        <f t="shared" si="15"/>
        <v>0</v>
      </c>
      <c r="F99">
        <f t="shared" si="16"/>
        <v>0</v>
      </c>
      <c r="G99">
        <f t="shared" si="17"/>
        <v>0</v>
      </c>
      <c r="H99">
        <f t="shared" si="18"/>
        <v>0</v>
      </c>
      <c r="I99">
        <f t="shared" si="19"/>
        <v>0</v>
      </c>
      <c r="J99">
        <f t="shared" si="12"/>
        <v>0</v>
      </c>
    </row>
    <row r="100" spans="1:10" x14ac:dyDescent="0.2">
      <c r="A100">
        <f t="shared" si="20"/>
        <v>33000000</v>
      </c>
      <c r="B100">
        <f t="shared" si="14"/>
        <v>0</v>
      </c>
      <c r="C100">
        <f t="shared" si="15"/>
        <v>0</v>
      </c>
      <c r="D100">
        <f t="shared" si="15"/>
        <v>0</v>
      </c>
      <c r="E100">
        <f t="shared" si="15"/>
        <v>0</v>
      </c>
      <c r="F100">
        <f t="shared" si="16"/>
        <v>0</v>
      </c>
      <c r="G100">
        <f t="shared" si="17"/>
        <v>0</v>
      </c>
      <c r="H100">
        <f t="shared" si="18"/>
        <v>0</v>
      </c>
      <c r="I100">
        <f t="shared" si="19"/>
        <v>0</v>
      </c>
      <c r="J100">
        <f t="shared" si="12"/>
        <v>0</v>
      </c>
    </row>
    <row r="101" spans="1:10" x14ac:dyDescent="0.2">
      <c r="A101">
        <f t="shared" si="20"/>
        <v>39000000</v>
      </c>
      <c r="B101">
        <f t="shared" si="14"/>
        <v>0</v>
      </c>
      <c r="C101">
        <f t="shared" si="15"/>
        <v>0</v>
      </c>
      <c r="D101">
        <f t="shared" si="15"/>
        <v>0</v>
      </c>
      <c r="E101">
        <f t="shared" si="15"/>
        <v>0</v>
      </c>
      <c r="F101">
        <f t="shared" si="16"/>
        <v>0</v>
      </c>
      <c r="G101">
        <f t="shared" si="17"/>
        <v>0</v>
      </c>
      <c r="H101">
        <f t="shared" si="18"/>
        <v>0</v>
      </c>
      <c r="I101">
        <f t="shared" si="19"/>
        <v>0</v>
      </c>
      <c r="J101">
        <f t="shared" si="12"/>
        <v>0</v>
      </c>
    </row>
    <row r="102" spans="1:10" x14ac:dyDescent="0.2">
      <c r="A102">
        <f t="shared" si="20"/>
        <v>47000000</v>
      </c>
      <c r="B102">
        <f t="shared" si="14"/>
        <v>0</v>
      </c>
      <c r="C102">
        <f t="shared" si="15"/>
        <v>0</v>
      </c>
      <c r="D102">
        <f t="shared" si="15"/>
        <v>0</v>
      </c>
      <c r="E102">
        <f t="shared" si="15"/>
        <v>0</v>
      </c>
      <c r="F102">
        <f t="shared" si="16"/>
        <v>0</v>
      </c>
      <c r="G102">
        <f t="shared" si="17"/>
        <v>0</v>
      </c>
      <c r="H102">
        <f t="shared" si="18"/>
        <v>0</v>
      </c>
      <c r="I102">
        <f t="shared" si="19"/>
        <v>0</v>
      </c>
      <c r="J102">
        <f t="shared" si="12"/>
        <v>0</v>
      </c>
    </row>
    <row r="103" spans="1:10" x14ac:dyDescent="0.2">
      <c r="A103">
        <f t="shared" si="20"/>
        <v>56000000</v>
      </c>
      <c r="B103">
        <f t="shared" si="14"/>
        <v>0</v>
      </c>
      <c r="C103">
        <f t="shared" si="15"/>
        <v>0</v>
      </c>
      <c r="D103">
        <f t="shared" si="15"/>
        <v>0</v>
      </c>
      <c r="E103">
        <f t="shared" si="15"/>
        <v>0</v>
      </c>
      <c r="F103">
        <f t="shared" ref="F103:F134" si="21">IF(IF((F$3*10^12-$A104)*(F$3*10^12-$A103)*-1&lt;0,0,1)*IF(ABS(F$3*10^12-$A104)&gt;(F$3*10^12-$A103),$A103,$A104)=F104,0,IF((F$3*10^12-$A104)*(F$3*10^12-$A103)*-1&lt;0,0,1)*IF(ABS(F$3*10^12-$A104)&gt;(F$3*10^12-$A103),$A103,$A104))</f>
        <v>0</v>
      </c>
      <c r="G103">
        <f t="shared" ref="G103:G134" si="22">IF(IF((G$3*10^12-$A104)*(G$3*10^12-$A103)*-1&lt;0,0,1)*IF(ABS(G$3*10^12-$A104)&gt;(G$3*10^12-$A103),$A103,$A104)=G104,0,IF((G$3*10^12-$A104)*(G$3*10^12-$A103)*-1&lt;0,0,1)*IF(ABS(G$3*10^12-$A104)&gt;(G$3*10^12-$A103),$A103,$A104))</f>
        <v>0</v>
      </c>
      <c r="H103">
        <f t="shared" ref="H103:H134" si="23">IF(IF((H$3*10^12-$A104)*(H$3*10^12-$A103)*-1&lt;0,0,1)*IF(ABS(H$3*10^12-$A104)&gt;(H$3*10^12-$A103),$A103,$A104)=H104,0,IF((H$3*10^12-$A104)*(H$3*10^12-$A103)*-1&lt;0,0,1)*IF(ABS(H$3*10^12-$A104)&gt;(H$3*10^12-$A103),$A103,$A104))</f>
        <v>0</v>
      </c>
      <c r="I103">
        <f t="shared" ref="I103:I134" si="24">IF(IF((I$3*10^12-$A104)*(I$3*10^12-$A103)*-1&lt;0,0,1)*IF(ABS(I$3*10^12-$A104)&gt;(I$3*10^12-$A103),$A103,$A104)=I104,0,IF((I$3*10^12-$A104)*(I$3*10^12-$A103)*-1&lt;0,0,1)*IF(ABS(I$3*10^12-$A104)&gt;(I$3*10^12-$A103),$A103,$A104))</f>
        <v>0</v>
      </c>
      <c r="J103">
        <f t="shared" si="12"/>
        <v>0</v>
      </c>
    </row>
    <row r="104" spans="1:10" x14ac:dyDescent="0.2">
      <c r="A104">
        <f t="shared" si="20"/>
        <v>68000000</v>
      </c>
      <c r="B104">
        <f t="shared" si="14"/>
        <v>0</v>
      </c>
      <c r="C104">
        <f t="shared" si="15"/>
        <v>0</v>
      </c>
      <c r="D104">
        <f t="shared" si="15"/>
        <v>0</v>
      </c>
      <c r="E104">
        <f t="shared" si="15"/>
        <v>0</v>
      </c>
      <c r="F104">
        <f t="shared" si="21"/>
        <v>0</v>
      </c>
      <c r="G104">
        <f t="shared" si="22"/>
        <v>0</v>
      </c>
      <c r="H104">
        <f t="shared" si="23"/>
        <v>0</v>
      </c>
      <c r="I104">
        <f t="shared" si="24"/>
        <v>0</v>
      </c>
      <c r="J104">
        <f t="shared" si="12"/>
        <v>0</v>
      </c>
    </row>
    <row r="105" spans="1:10" x14ac:dyDescent="0.2">
      <c r="A105">
        <f t="shared" si="20"/>
        <v>82000000</v>
      </c>
      <c r="B105">
        <f t="shared" si="14"/>
        <v>0</v>
      </c>
      <c r="C105">
        <f t="shared" si="15"/>
        <v>0</v>
      </c>
      <c r="D105">
        <f t="shared" si="15"/>
        <v>0</v>
      </c>
      <c r="E105">
        <f t="shared" si="15"/>
        <v>0</v>
      </c>
      <c r="F105">
        <f t="shared" si="21"/>
        <v>0</v>
      </c>
      <c r="G105">
        <f t="shared" si="22"/>
        <v>0</v>
      </c>
      <c r="H105">
        <f t="shared" si="23"/>
        <v>0</v>
      </c>
      <c r="I105">
        <f t="shared" si="24"/>
        <v>0</v>
      </c>
      <c r="J105">
        <f t="shared" si="12"/>
        <v>0</v>
      </c>
    </row>
    <row r="106" spans="1:10" x14ac:dyDescent="0.2">
      <c r="A106">
        <f t="shared" si="20"/>
        <v>100000000</v>
      </c>
      <c r="B106">
        <f t="shared" si="14"/>
        <v>0</v>
      </c>
      <c r="C106">
        <f t="shared" si="15"/>
        <v>0</v>
      </c>
      <c r="D106">
        <f t="shared" si="15"/>
        <v>0</v>
      </c>
      <c r="E106">
        <f t="shared" si="15"/>
        <v>0</v>
      </c>
      <c r="F106">
        <f t="shared" si="21"/>
        <v>0</v>
      </c>
      <c r="G106">
        <f t="shared" si="22"/>
        <v>0</v>
      </c>
      <c r="H106">
        <f t="shared" si="23"/>
        <v>0</v>
      </c>
      <c r="I106">
        <f t="shared" si="24"/>
        <v>0</v>
      </c>
      <c r="J106">
        <f t="shared" si="12"/>
        <v>0</v>
      </c>
    </row>
    <row r="107" spans="1:10" x14ac:dyDescent="0.2">
      <c r="A107">
        <f t="shared" si="20"/>
        <v>120000000</v>
      </c>
      <c r="B107">
        <f t="shared" si="14"/>
        <v>0</v>
      </c>
      <c r="C107">
        <f t="shared" si="15"/>
        <v>0</v>
      </c>
      <c r="D107">
        <f t="shared" si="15"/>
        <v>0</v>
      </c>
      <c r="E107">
        <f t="shared" si="15"/>
        <v>0</v>
      </c>
      <c r="F107">
        <f t="shared" si="21"/>
        <v>120000000</v>
      </c>
      <c r="G107">
        <f t="shared" si="22"/>
        <v>0</v>
      </c>
      <c r="H107">
        <f t="shared" si="23"/>
        <v>0</v>
      </c>
      <c r="I107">
        <f t="shared" si="24"/>
        <v>0</v>
      </c>
      <c r="J107">
        <f t="shared" si="12"/>
        <v>0</v>
      </c>
    </row>
    <row r="108" spans="1:10" x14ac:dyDescent="0.2">
      <c r="A108">
        <f t="shared" si="20"/>
        <v>150000000</v>
      </c>
      <c r="B108">
        <f t="shared" si="14"/>
        <v>0</v>
      </c>
      <c r="C108">
        <f t="shared" si="15"/>
        <v>0</v>
      </c>
      <c r="D108">
        <f t="shared" si="15"/>
        <v>0</v>
      </c>
      <c r="E108">
        <f t="shared" si="15"/>
        <v>0</v>
      </c>
      <c r="F108">
        <f t="shared" si="21"/>
        <v>0</v>
      </c>
      <c r="G108">
        <f t="shared" si="22"/>
        <v>0</v>
      </c>
      <c r="H108">
        <f t="shared" si="23"/>
        <v>0</v>
      </c>
      <c r="I108">
        <f t="shared" si="24"/>
        <v>0</v>
      </c>
      <c r="J108">
        <f t="shared" si="12"/>
        <v>0</v>
      </c>
    </row>
    <row r="109" spans="1:10" x14ac:dyDescent="0.2">
      <c r="A109">
        <f t="shared" si="20"/>
        <v>180000000</v>
      </c>
      <c r="B109">
        <f t="shared" si="14"/>
        <v>0</v>
      </c>
      <c r="C109">
        <f t="shared" si="15"/>
        <v>0</v>
      </c>
      <c r="D109">
        <f t="shared" si="15"/>
        <v>0</v>
      </c>
      <c r="E109">
        <f t="shared" si="15"/>
        <v>0</v>
      </c>
      <c r="F109">
        <f t="shared" si="21"/>
        <v>0</v>
      </c>
      <c r="G109">
        <f t="shared" si="22"/>
        <v>0</v>
      </c>
      <c r="H109">
        <f t="shared" si="23"/>
        <v>0</v>
      </c>
      <c r="I109">
        <f t="shared" si="24"/>
        <v>0</v>
      </c>
      <c r="J109">
        <f t="shared" si="12"/>
        <v>0</v>
      </c>
    </row>
    <row r="110" spans="1:10" x14ac:dyDescent="0.2">
      <c r="A110">
        <f t="shared" si="20"/>
        <v>220000000</v>
      </c>
      <c r="B110">
        <f t="shared" si="14"/>
        <v>0</v>
      </c>
      <c r="C110">
        <f t="shared" si="15"/>
        <v>0</v>
      </c>
      <c r="D110">
        <f t="shared" si="15"/>
        <v>0</v>
      </c>
      <c r="E110">
        <f t="shared" si="15"/>
        <v>220000000</v>
      </c>
      <c r="F110">
        <f t="shared" si="21"/>
        <v>0</v>
      </c>
      <c r="G110">
        <f t="shared" si="22"/>
        <v>0</v>
      </c>
      <c r="H110">
        <f t="shared" si="23"/>
        <v>0</v>
      </c>
      <c r="I110">
        <f t="shared" si="24"/>
        <v>0</v>
      </c>
      <c r="J110">
        <f t="shared" si="12"/>
        <v>0</v>
      </c>
    </row>
    <row r="111" spans="1:10" x14ac:dyDescent="0.2">
      <c r="A111">
        <f t="shared" si="20"/>
        <v>270000000</v>
      </c>
      <c r="B111">
        <f t="shared" si="14"/>
        <v>0</v>
      </c>
      <c r="C111">
        <f t="shared" si="15"/>
        <v>0</v>
      </c>
      <c r="D111">
        <f t="shared" si="15"/>
        <v>0</v>
      </c>
      <c r="E111">
        <f t="shared" si="15"/>
        <v>0</v>
      </c>
      <c r="F111">
        <f t="shared" si="21"/>
        <v>0</v>
      </c>
      <c r="G111">
        <f t="shared" si="22"/>
        <v>0</v>
      </c>
      <c r="H111">
        <f t="shared" si="23"/>
        <v>0</v>
      </c>
      <c r="I111">
        <f t="shared" si="24"/>
        <v>0</v>
      </c>
      <c r="J111">
        <f t="shared" si="12"/>
        <v>0</v>
      </c>
    </row>
    <row r="112" spans="1:10" x14ac:dyDescent="0.2">
      <c r="A112">
        <f t="shared" si="20"/>
        <v>330000000</v>
      </c>
      <c r="B112">
        <f t="shared" si="14"/>
        <v>0</v>
      </c>
      <c r="C112">
        <f t="shared" si="15"/>
        <v>0</v>
      </c>
      <c r="D112">
        <f t="shared" si="15"/>
        <v>0</v>
      </c>
      <c r="E112">
        <f t="shared" si="15"/>
        <v>0</v>
      </c>
      <c r="F112">
        <f t="shared" si="21"/>
        <v>0</v>
      </c>
      <c r="G112">
        <f t="shared" si="22"/>
        <v>0</v>
      </c>
      <c r="H112">
        <f t="shared" si="23"/>
        <v>0</v>
      </c>
      <c r="I112">
        <f t="shared" si="24"/>
        <v>0</v>
      </c>
      <c r="J112">
        <f t="shared" si="12"/>
        <v>0</v>
      </c>
    </row>
    <row r="113" spans="1:10" x14ac:dyDescent="0.2">
      <c r="A113">
        <f t="shared" si="20"/>
        <v>390000000</v>
      </c>
      <c r="B113">
        <f t="shared" si="14"/>
        <v>0</v>
      </c>
      <c r="C113">
        <f t="shared" si="15"/>
        <v>0</v>
      </c>
      <c r="D113">
        <f t="shared" si="15"/>
        <v>0</v>
      </c>
      <c r="E113">
        <f t="shared" si="15"/>
        <v>0</v>
      </c>
      <c r="F113">
        <f t="shared" si="21"/>
        <v>0</v>
      </c>
      <c r="G113">
        <f t="shared" si="22"/>
        <v>0</v>
      </c>
      <c r="H113">
        <f t="shared" si="23"/>
        <v>0</v>
      </c>
      <c r="I113">
        <f t="shared" si="24"/>
        <v>0</v>
      </c>
      <c r="J113">
        <f t="shared" si="12"/>
        <v>0</v>
      </c>
    </row>
    <row r="114" spans="1:10" x14ac:dyDescent="0.2">
      <c r="A114">
        <f t="shared" si="20"/>
        <v>470000000</v>
      </c>
      <c r="B114">
        <f t="shared" si="14"/>
        <v>0</v>
      </c>
      <c r="C114">
        <f t="shared" si="15"/>
        <v>0</v>
      </c>
      <c r="D114">
        <f t="shared" si="15"/>
        <v>0</v>
      </c>
      <c r="E114">
        <f t="shared" si="15"/>
        <v>0</v>
      </c>
      <c r="F114">
        <f t="shared" si="21"/>
        <v>0</v>
      </c>
      <c r="G114">
        <f t="shared" si="22"/>
        <v>0</v>
      </c>
      <c r="H114">
        <f t="shared" si="23"/>
        <v>0</v>
      </c>
      <c r="I114">
        <f t="shared" si="24"/>
        <v>0</v>
      </c>
      <c r="J114">
        <f t="shared" si="12"/>
        <v>0</v>
      </c>
    </row>
    <row r="115" spans="1:10" x14ac:dyDescent="0.2">
      <c r="A115">
        <f t="shared" si="20"/>
        <v>560000000</v>
      </c>
      <c r="B115">
        <f t="shared" si="14"/>
        <v>0</v>
      </c>
      <c r="C115">
        <f t="shared" si="15"/>
        <v>0</v>
      </c>
      <c r="D115">
        <f t="shared" si="15"/>
        <v>0</v>
      </c>
      <c r="E115">
        <f t="shared" si="15"/>
        <v>0</v>
      </c>
      <c r="F115">
        <f t="shared" si="21"/>
        <v>0</v>
      </c>
      <c r="G115">
        <f t="shared" si="22"/>
        <v>0</v>
      </c>
      <c r="H115">
        <f t="shared" si="23"/>
        <v>0</v>
      </c>
      <c r="I115">
        <f t="shared" si="24"/>
        <v>0</v>
      </c>
      <c r="J115">
        <f t="shared" si="12"/>
        <v>0</v>
      </c>
    </row>
    <row r="116" spans="1:10" x14ac:dyDescent="0.2">
      <c r="A116">
        <f t="shared" si="20"/>
        <v>680000000</v>
      </c>
      <c r="B116">
        <f t="shared" si="14"/>
        <v>0</v>
      </c>
      <c r="C116">
        <f t="shared" si="15"/>
        <v>0</v>
      </c>
      <c r="D116">
        <f t="shared" si="15"/>
        <v>0</v>
      </c>
      <c r="E116">
        <f t="shared" si="15"/>
        <v>0</v>
      </c>
      <c r="F116">
        <f t="shared" si="21"/>
        <v>0</v>
      </c>
      <c r="G116">
        <f t="shared" si="22"/>
        <v>0</v>
      </c>
      <c r="H116">
        <f t="shared" si="23"/>
        <v>0</v>
      </c>
      <c r="I116">
        <f t="shared" si="24"/>
        <v>0</v>
      </c>
      <c r="J116">
        <f t="shared" si="12"/>
        <v>0</v>
      </c>
    </row>
    <row r="117" spans="1:10" x14ac:dyDescent="0.2">
      <c r="A117">
        <f t="shared" si="20"/>
        <v>820000000</v>
      </c>
      <c r="B117">
        <f t="shared" si="14"/>
        <v>0</v>
      </c>
      <c r="C117">
        <f t="shared" si="15"/>
        <v>0</v>
      </c>
      <c r="D117">
        <f t="shared" si="15"/>
        <v>0</v>
      </c>
      <c r="E117">
        <f t="shared" si="15"/>
        <v>0</v>
      </c>
      <c r="F117">
        <f t="shared" si="21"/>
        <v>0</v>
      </c>
      <c r="G117">
        <f t="shared" si="22"/>
        <v>0</v>
      </c>
      <c r="H117">
        <f t="shared" si="23"/>
        <v>0</v>
      </c>
      <c r="I117">
        <f t="shared" si="24"/>
        <v>0</v>
      </c>
      <c r="J117">
        <f t="shared" si="12"/>
        <v>0</v>
      </c>
    </row>
    <row r="118" spans="1:10" x14ac:dyDescent="0.2">
      <c r="A118">
        <f t="shared" si="20"/>
        <v>1000000000</v>
      </c>
      <c r="B118">
        <f t="shared" si="14"/>
        <v>0</v>
      </c>
      <c r="C118">
        <f t="shared" si="15"/>
        <v>0</v>
      </c>
      <c r="D118">
        <f t="shared" si="15"/>
        <v>0</v>
      </c>
      <c r="E118">
        <f t="shared" si="15"/>
        <v>0</v>
      </c>
      <c r="F118">
        <f t="shared" si="21"/>
        <v>0</v>
      </c>
      <c r="G118">
        <f t="shared" si="22"/>
        <v>0</v>
      </c>
      <c r="H118">
        <f t="shared" si="23"/>
        <v>0</v>
      </c>
      <c r="I118">
        <f t="shared" si="24"/>
        <v>0</v>
      </c>
      <c r="J118">
        <f t="shared" si="12"/>
        <v>0</v>
      </c>
    </row>
    <row r="119" spans="1:10" x14ac:dyDescent="0.2">
      <c r="A119">
        <f t="shared" si="20"/>
        <v>1200000000</v>
      </c>
      <c r="B119">
        <f t="shared" si="14"/>
        <v>0</v>
      </c>
      <c r="C119">
        <f t="shared" si="15"/>
        <v>0</v>
      </c>
      <c r="D119">
        <f t="shared" si="15"/>
        <v>0</v>
      </c>
      <c r="E119">
        <f t="shared" si="15"/>
        <v>0</v>
      </c>
      <c r="F119">
        <f t="shared" si="21"/>
        <v>0</v>
      </c>
      <c r="G119">
        <f t="shared" si="22"/>
        <v>0</v>
      </c>
      <c r="H119">
        <f t="shared" si="23"/>
        <v>0</v>
      </c>
      <c r="I119">
        <f t="shared" si="24"/>
        <v>0</v>
      </c>
      <c r="J119">
        <f t="shared" si="12"/>
        <v>0</v>
      </c>
    </row>
    <row r="120" spans="1:10" x14ac:dyDescent="0.2">
      <c r="A120">
        <f t="shared" si="20"/>
        <v>1500000000</v>
      </c>
      <c r="B120">
        <f t="shared" si="14"/>
        <v>0</v>
      </c>
      <c r="C120">
        <f t="shared" si="15"/>
        <v>0</v>
      </c>
      <c r="D120">
        <f t="shared" si="15"/>
        <v>0</v>
      </c>
      <c r="E120">
        <f t="shared" si="15"/>
        <v>0</v>
      </c>
      <c r="F120">
        <f t="shared" si="21"/>
        <v>0</v>
      </c>
      <c r="G120">
        <f t="shared" si="22"/>
        <v>0</v>
      </c>
      <c r="H120">
        <f t="shared" si="23"/>
        <v>0</v>
      </c>
      <c r="I120">
        <f t="shared" si="24"/>
        <v>0</v>
      </c>
      <c r="J120">
        <f t="shared" si="12"/>
        <v>0</v>
      </c>
    </row>
    <row r="121" spans="1:10" x14ac:dyDescent="0.2">
      <c r="A121">
        <f t="shared" si="20"/>
        <v>1800000000</v>
      </c>
      <c r="B121">
        <f t="shared" si="14"/>
        <v>0</v>
      </c>
      <c r="C121">
        <f t="shared" si="15"/>
        <v>0</v>
      </c>
      <c r="D121">
        <f t="shared" si="15"/>
        <v>0</v>
      </c>
      <c r="E121">
        <f t="shared" si="15"/>
        <v>0</v>
      </c>
      <c r="F121">
        <f t="shared" si="21"/>
        <v>0</v>
      </c>
      <c r="G121">
        <f t="shared" si="22"/>
        <v>0</v>
      </c>
      <c r="H121">
        <f t="shared" si="23"/>
        <v>0</v>
      </c>
      <c r="I121">
        <f t="shared" si="24"/>
        <v>0</v>
      </c>
      <c r="J121">
        <f t="shared" si="12"/>
        <v>0</v>
      </c>
    </row>
    <row r="122" spans="1:10" x14ac:dyDescent="0.2">
      <c r="A122">
        <f t="shared" si="20"/>
        <v>2200000000</v>
      </c>
      <c r="B122">
        <f t="shared" si="14"/>
        <v>0</v>
      </c>
      <c r="C122">
        <f t="shared" si="15"/>
        <v>0</v>
      </c>
      <c r="D122">
        <f t="shared" si="15"/>
        <v>0</v>
      </c>
      <c r="E122">
        <f t="shared" si="15"/>
        <v>0</v>
      </c>
      <c r="F122">
        <f t="shared" si="21"/>
        <v>0</v>
      </c>
      <c r="G122">
        <f t="shared" si="22"/>
        <v>0</v>
      </c>
      <c r="H122">
        <f t="shared" si="23"/>
        <v>0</v>
      </c>
      <c r="I122">
        <f t="shared" si="24"/>
        <v>0</v>
      </c>
      <c r="J122">
        <f t="shared" si="12"/>
        <v>0</v>
      </c>
    </row>
    <row r="123" spans="1:10" x14ac:dyDescent="0.2">
      <c r="A123">
        <f t="shared" si="20"/>
        <v>2700000000</v>
      </c>
      <c r="B123">
        <f t="shared" si="14"/>
        <v>0</v>
      </c>
      <c r="C123">
        <f t="shared" si="15"/>
        <v>0</v>
      </c>
      <c r="D123">
        <f t="shared" si="15"/>
        <v>0</v>
      </c>
      <c r="E123">
        <f t="shared" si="15"/>
        <v>0</v>
      </c>
      <c r="F123">
        <f t="shared" si="21"/>
        <v>0</v>
      </c>
      <c r="G123">
        <f t="shared" si="22"/>
        <v>0</v>
      </c>
      <c r="H123">
        <f t="shared" si="23"/>
        <v>0</v>
      </c>
      <c r="I123">
        <f t="shared" si="24"/>
        <v>0</v>
      </c>
      <c r="J123">
        <f t="shared" si="12"/>
        <v>0</v>
      </c>
    </row>
    <row r="124" spans="1:10" x14ac:dyDescent="0.2">
      <c r="A124">
        <f t="shared" si="20"/>
        <v>3300000000</v>
      </c>
      <c r="B124">
        <f t="shared" si="14"/>
        <v>0</v>
      </c>
      <c r="C124">
        <f t="shared" si="15"/>
        <v>0</v>
      </c>
      <c r="D124">
        <f t="shared" si="15"/>
        <v>0</v>
      </c>
      <c r="E124">
        <f t="shared" si="15"/>
        <v>0</v>
      </c>
      <c r="F124">
        <f t="shared" si="21"/>
        <v>0</v>
      </c>
      <c r="G124">
        <f t="shared" si="22"/>
        <v>0</v>
      </c>
      <c r="H124">
        <f t="shared" si="23"/>
        <v>0</v>
      </c>
      <c r="I124">
        <f t="shared" si="24"/>
        <v>0</v>
      </c>
      <c r="J124">
        <f t="shared" si="12"/>
        <v>0</v>
      </c>
    </row>
    <row r="125" spans="1:10" x14ac:dyDescent="0.2">
      <c r="A125">
        <f t="shared" si="20"/>
        <v>3900000000</v>
      </c>
      <c r="B125">
        <f t="shared" si="14"/>
        <v>0</v>
      </c>
      <c r="C125">
        <f t="shared" si="15"/>
        <v>0</v>
      </c>
      <c r="D125">
        <f t="shared" si="15"/>
        <v>0</v>
      </c>
      <c r="E125">
        <f t="shared" si="15"/>
        <v>0</v>
      </c>
      <c r="F125">
        <f t="shared" si="21"/>
        <v>0</v>
      </c>
      <c r="G125">
        <f t="shared" si="22"/>
        <v>0</v>
      </c>
      <c r="H125">
        <f t="shared" si="23"/>
        <v>0</v>
      </c>
      <c r="I125">
        <f t="shared" si="24"/>
        <v>0</v>
      </c>
      <c r="J125">
        <f t="shared" si="12"/>
        <v>0</v>
      </c>
    </row>
    <row r="126" spans="1:10" x14ac:dyDescent="0.2">
      <c r="A126">
        <f t="shared" si="20"/>
        <v>4700000000</v>
      </c>
      <c r="B126">
        <f t="shared" si="14"/>
        <v>0</v>
      </c>
      <c r="C126">
        <f t="shared" si="15"/>
        <v>0</v>
      </c>
      <c r="D126">
        <f t="shared" si="15"/>
        <v>0</v>
      </c>
      <c r="E126">
        <f t="shared" si="15"/>
        <v>0</v>
      </c>
      <c r="F126">
        <f t="shared" si="21"/>
        <v>0</v>
      </c>
      <c r="G126">
        <f t="shared" si="22"/>
        <v>0</v>
      </c>
      <c r="H126">
        <f t="shared" si="23"/>
        <v>0</v>
      </c>
      <c r="I126">
        <f t="shared" si="24"/>
        <v>0</v>
      </c>
      <c r="J126">
        <f t="shared" si="12"/>
        <v>0</v>
      </c>
    </row>
    <row r="127" spans="1:10" x14ac:dyDescent="0.2">
      <c r="A127">
        <f t="shared" si="20"/>
        <v>5600000000</v>
      </c>
      <c r="B127">
        <f t="shared" si="14"/>
        <v>0</v>
      </c>
      <c r="C127">
        <f t="shared" si="15"/>
        <v>0</v>
      </c>
      <c r="D127">
        <f t="shared" si="15"/>
        <v>0</v>
      </c>
      <c r="E127">
        <f t="shared" si="15"/>
        <v>0</v>
      </c>
      <c r="F127">
        <f t="shared" si="21"/>
        <v>0</v>
      </c>
      <c r="G127">
        <f t="shared" si="22"/>
        <v>0</v>
      </c>
      <c r="H127">
        <f t="shared" si="23"/>
        <v>0</v>
      </c>
      <c r="I127">
        <f t="shared" si="24"/>
        <v>0</v>
      </c>
      <c r="J127">
        <f t="shared" si="12"/>
        <v>0</v>
      </c>
    </row>
    <row r="128" spans="1:10" x14ac:dyDescent="0.2">
      <c r="A128">
        <f t="shared" si="20"/>
        <v>6800000000</v>
      </c>
      <c r="B128">
        <f t="shared" si="14"/>
        <v>0</v>
      </c>
      <c r="C128">
        <f t="shared" si="15"/>
        <v>0</v>
      </c>
      <c r="D128">
        <f t="shared" si="15"/>
        <v>0</v>
      </c>
      <c r="E128">
        <f t="shared" si="15"/>
        <v>0</v>
      </c>
      <c r="F128">
        <f t="shared" si="21"/>
        <v>0</v>
      </c>
      <c r="G128">
        <f t="shared" si="22"/>
        <v>0</v>
      </c>
      <c r="H128">
        <f t="shared" si="23"/>
        <v>0</v>
      </c>
      <c r="I128">
        <f t="shared" si="24"/>
        <v>0</v>
      </c>
      <c r="J128">
        <f t="shared" si="12"/>
        <v>0</v>
      </c>
    </row>
    <row r="129" spans="1:10" x14ac:dyDescent="0.2">
      <c r="A129">
        <f t="shared" si="20"/>
        <v>8200000000</v>
      </c>
      <c r="B129">
        <f t="shared" si="14"/>
        <v>0</v>
      </c>
      <c r="C129">
        <f t="shared" si="15"/>
        <v>0</v>
      </c>
      <c r="D129">
        <f t="shared" si="15"/>
        <v>0</v>
      </c>
      <c r="E129">
        <f t="shared" si="15"/>
        <v>0</v>
      </c>
      <c r="F129">
        <f t="shared" si="21"/>
        <v>0</v>
      </c>
      <c r="G129">
        <f t="shared" si="22"/>
        <v>0</v>
      </c>
      <c r="H129">
        <f t="shared" si="23"/>
        <v>0</v>
      </c>
      <c r="I129">
        <f t="shared" si="24"/>
        <v>0</v>
      </c>
      <c r="J129">
        <f t="shared" si="12"/>
        <v>0</v>
      </c>
    </row>
    <row r="130" spans="1:10" x14ac:dyDescent="0.2">
      <c r="A130">
        <f t="shared" si="20"/>
        <v>10000000000</v>
      </c>
      <c r="B130">
        <f t="shared" si="14"/>
        <v>0</v>
      </c>
      <c r="C130">
        <f t="shared" si="15"/>
        <v>0</v>
      </c>
      <c r="D130">
        <f t="shared" si="15"/>
        <v>0</v>
      </c>
      <c r="E130">
        <f t="shared" si="15"/>
        <v>0</v>
      </c>
      <c r="F130">
        <f t="shared" si="21"/>
        <v>0</v>
      </c>
      <c r="G130">
        <f t="shared" si="22"/>
        <v>0</v>
      </c>
      <c r="H130">
        <f t="shared" si="23"/>
        <v>0</v>
      </c>
      <c r="I130">
        <f t="shared" si="24"/>
        <v>0</v>
      </c>
      <c r="J130">
        <f t="shared" si="12"/>
        <v>0</v>
      </c>
    </row>
    <row r="131" spans="1:10" x14ac:dyDescent="0.2">
      <c r="A131">
        <f t="shared" si="20"/>
        <v>12000000000</v>
      </c>
      <c r="B131">
        <f t="shared" si="14"/>
        <v>0</v>
      </c>
      <c r="C131">
        <f t="shared" si="15"/>
        <v>0</v>
      </c>
      <c r="D131">
        <f t="shared" si="15"/>
        <v>0</v>
      </c>
      <c r="E131">
        <f t="shared" si="15"/>
        <v>0</v>
      </c>
      <c r="F131">
        <f t="shared" si="21"/>
        <v>0</v>
      </c>
      <c r="G131">
        <f t="shared" si="22"/>
        <v>0</v>
      </c>
      <c r="H131">
        <f t="shared" si="23"/>
        <v>0</v>
      </c>
      <c r="I131">
        <f t="shared" si="24"/>
        <v>0</v>
      </c>
      <c r="J131">
        <f t="shared" si="12"/>
        <v>0</v>
      </c>
    </row>
    <row r="132" spans="1:10" x14ac:dyDescent="0.2">
      <c r="A132">
        <f t="shared" si="20"/>
        <v>15000000000</v>
      </c>
      <c r="B132">
        <f t="shared" si="14"/>
        <v>0</v>
      </c>
      <c r="C132">
        <f t="shared" si="15"/>
        <v>0</v>
      </c>
      <c r="D132">
        <f t="shared" si="15"/>
        <v>0</v>
      </c>
      <c r="E132">
        <f t="shared" si="15"/>
        <v>0</v>
      </c>
      <c r="F132">
        <f t="shared" si="21"/>
        <v>0</v>
      </c>
      <c r="G132">
        <f t="shared" si="22"/>
        <v>0</v>
      </c>
      <c r="H132">
        <f t="shared" si="23"/>
        <v>0</v>
      </c>
      <c r="I132">
        <f t="shared" si="24"/>
        <v>0</v>
      </c>
      <c r="J132">
        <f t="shared" si="12"/>
        <v>0</v>
      </c>
    </row>
    <row r="133" spans="1:10" x14ac:dyDescent="0.2">
      <c r="A133">
        <f t="shared" si="20"/>
        <v>18000000000</v>
      </c>
      <c r="B133">
        <f t="shared" si="14"/>
        <v>0</v>
      </c>
      <c r="C133">
        <f t="shared" si="15"/>
        <v>0</v>
      </c>
      <c r="D133">
        <f t="shared" si="15"/>
        <v>0</v>
      </c>
      <c r="E133">
        <f t="shared" si="15"/>
        <v>0</v>
      </c>
      <c r="F133">
        <f t="shared" si="21"/>
        <v>0</v>
      </c>
      <c r="G133">
        <f t="shared" si="22"/>
        <v>0</v>
      </c>
      <c r="H133">
        <f t="shared" si="23"/>
        <v>0</v>
      </c>
      <c r="I133">
        <f t="shared" si="24"/>
        <v>0</v>
      </c>
      <c r="J133">
        <f>IF(IF((J$3*10^12-$A134)*(J$3*10^12-$A133)*-1&lt;0,0,1)*IF(ABS(J$3*10^12-$A134)&gt;(J$3*10^12-$A133),$A133,$A134)=J134,0,IF((J$3*10^12-$A134)*(J$3*10^12-$A133)*-1&lt;0,0,1)*IF(ABS(J$3*10^12-$A134)&gt;(J$3*10^12-$A133),$A133,$A134))</f>
        <v>0</v>
      </c>
    </row>
    <row r="134" spans="1:10" x14ac:dyDescent="0.2">
      <c r="A134">
        <f t="shared" si="20"/>
        <v>22000000000</v>
      </c>
      <c r="B134">
        <f t="shared" si="14"/>
        <v>0</v>
      </c>
      <c r="C134">
        <f t="shared" si="15"/>
        <v>0</v>
      </c>
      <c r="D134">
        <f t="shared" si="15"/>
        <v>0</v>
      </c>
      <c r="E134">
        <f t="shared" ref="E134:J159" si="25">IF(IF((E$3*10^12-$A135)*(E$3*10^12-$A134)*-1&lt;0,0,1)*IF(ABS(E$3*10^12-$A135)&gt;(E$3*10^12-$A134),$A134,$A135)=E135,0,IF((E$3*10^12-$A135)*(E$3*10^12-$A134)*-1&lt;0,0,1)*IF(ABS(E$3*10^12-$A135)&gt;(E$3*10^12-$A134),$A134,$A135))</f>
        <v>0</v>
      </c>
      <c r="F134">
        <f t="shared" si="21"/>
        <v>0</v>
      </c>
      <c r="G134">
        <f t="shared" si="22"/>
        <v>0</v>
      </c>
      <c r="H134">
        <f t="shared" si="23"/>
        <v>0</v>
      </c>
      <c r="I134">
        <f t="shared" si="24"/>
        <v>0</v>
      </c>
      <c r="J134">
        <f>IF(IF((J$3*10^12-$A135)*(J$3*10^12-$A134)*-1&lt;0,0,1)*IF(ABS(J$3*10^12-$A135)&gt;(J$3*10^12-$A134),$A134,$A135)=J135,0,IF((J$3*10^12-$A135)*(J$3*10^12-$A134)*-1&lt;0,0,1)*IF(ABS(J$3*10^12-$A135)&gt;(J$3*10^12-$A134),$A134,$A135))</f>
        <v>0</v>
      </c>
    </row>
    <row r="135" spans="1:10" x14ac:dyDescent="0.2">
      <c r="A135">
        <f t="shared" si="20"/>
        <v>27000000000</v>
      </c>
      <c r="B135">
        <f t="shared" ref="B135:B159" si="26">IF(IF((B$3*10^12-$A136)*(B$3*10^12-$A135)*-1&lt;0,0,1)*IF(ABS(B$3*10^12-$A136)&gt;(B$3*10^12-$A135),$A135,$A136)=B136,0,IF((B$3*10^12-$A136)*(B$3*10^12-$A135)*-1&lt;0,0,1)*IF(ABS(B$3*10^12-$A136)&gt;(B$3*10^12-$A135),$A135,$A136))</f>
        <v>0</v>
      </c>
      <c r="C135">
        <f t="shared" ref="C135:D159" si="27">IF(IF((C$3*10^12-$A136)*(C$3*10^12-$A135)*-1&lt;0,0,1)*IF(ABS(C$3*10^12-$A136)&gt;(C$3*10^12-$A135),$A135,$A136)=C136,0,IF((C$3*10^12-$A136)*(C$3*10^12-$A135)*-1&lt;0,0,1)*IF(ABS(C$3*10^12-$A136)&gt;(C$3*10^12-$A135),$A135,$A136))</f>
        <v>0</v>
      </c>
      <c r="D135">
        <f t="shared" si="27"/>
        <v>0</v>
      </c>
      <c r="E135">
        <f t="shared" si="25"/>
        <v>0</v>
      </c>
      <c r="F135">
        <f t="shared" si="25"/>
        <v>0</v>
      </c>
      <c r="G135">
        <f t="shared" si="25"/>
        <v>0</v>
      </c>
      <c r="H135">
        <f t="shared" si="25"/>
        <v>0</v>
      </c>
      <c r="I135">
        <f t="shared" si="25"/>
        <v>0</v>
      </c>
      <c r="J135">
        <f t="shared" si="25"/>
        <v>0</v>
      </c>
    </row>
    <row r="136" spans="1:10" x14ac:dyDescent="0.2">
      <c r="A136">
        <f t="shared" si="20"/>
        <v>33000000000</v>
      </c>
      <c r="B136">
        <f t="shared" si="26"/>
        <v>0</v>
      </c>
      <c r="C136">
        <f t="shared" si="27"/>
        <v>0</v>
      </c>
      <c r="D136">
        <f t="shared" si="27"/>
        <v>0</v>
      </c>
      <c r="E136">
        <f t="shared" si="25"/>
        <v>0</v>
      </c>
      <c r="F136">
        <f t="shared" si="25"/>
        <v>0</v>
      </c>
      <c r="G136">
        <f t="shared" si="25"/>
        <v>0</v>
      </c>
      <c r="H136">
        <f t="shared" si="25"/>
        <v>0</v>
      </c>
      <c r="I136">
        <f t="shared" si="25"/>
        <v>0</v>
      </c>
      <c r="J136">
        <f t="shared" si="25"/>
        <v>0</v>
      </c>
    </row>
    <row r="137" spans="1:10" x14ac:dyDescent="0.2">
      <c r="A137">
        <f t="shared" si="20"/>
        <v>39000000000</v>
      </c>
      <c r="B137">
        <f t="shared" si="26"/>
        <v>0</v>
      </c>
      <c r="C137">
        <f t="shared" si="27"/>
        <v>0</v>
      </c>
      <c r="D137">
        <f t="shared" si="27"/>
        <v>0</v>
      </c>
      <c r="E137">
        <f t="shared" si="25"/>
        <v>0</v>
      </c>
      <c r="F137">
        <f t="shared" si="25"/>
        <v>0</v>
      </c>
      <c r="G137">
        <f t="shared" si="25"/>
        <v>0</v>
      </c>
      <c r="H137">
        <f t="shared" si="25"/>
        <v>0</v>
      </c>
      <c r="I137">
        <f t="shared" si="25"/>
        <v>0</v>
      </c>
      <c r="J137">
        <f t="shared" si="25"/>
        <v>0</v>
      </c>
    </row>
    <row r="138" spans="1:10" x14ac:dyDescent="0.2">
      <c r="A138">
        <f t="shared" si="20"/>
        <v>47000000000</v>
      </c>
      <c r="B138">
        <f t="shared" si="26"/>
        <v>0</v>
      </c>
      <c r="C138">
        <f t="shared" si="27"/>
        <v>0</v>
      </c>
      <c r="D138">
        <f t="shared" si="27"/>
        <v>0</v>
      </c>
      <c r="E138">
        <f t="shared" si="25"/>
        <v>0</v>
      </c>
      <c r="F138">
        <f t="shared" si="25"/>
        <v>0</v>
      </c>
      <c r="G138">
        <f t="shared" si="25"/>
        <v>0</v>
      </c>
      <c r="H138">
        <f t="shared" si="25"/>
        <v>0</v>
      </c>
      <c r="I138">
        <f t="shared" si="25"/>
        <v>0</v>
      </c>
      <c r="J138">
        <f t="shared" si="25"/>
        <v>0</v>
      </c>
    </row>
    <row r="139" spans="1:10" x14ac:dyDescent="0.2">
      <c r="A139">
        <f t="shared" si="20"/>
        <v>56000000000</v>
      </c>
      <c r="B139">
        <f t="shared" si="26"/>
        <v>0</v>
      </c>
      <c r="C139">
        <f t="shared" si="27"/>
        <v>0</v>
      </c>
      <c r="D139">
        <f t="shared" si="27"/>
        <v>0</v>
      </c>
      <c r="E139">
        <f t="shared" si="25"/>
        <v>0</v>
      </c>
      <c r="F139">
        <f t="shared" si="25"/>
        <v>0</v>
      </c>
      <c r="G139">
        <f t="shared" si="25"/>
        <v>0</v>
      </c>
      <c r="H139">
        <f t="shared" si="25"/>
        <v>0</v>
      </c>
      <c r="I139">
        <f t="shared" si="25"/>
        <v>0</v>
      </c>
      <c r="J139">
        <f t="shared" si="25"/>
        <v>0</v>
      </c>
    </row>
    <row r="140" spans="1:10" x14ac:dyDescent="0.2">
      <c r="A140">
        <f t="shared" si="20"/>
        <v>68000000000</v>
      </c>
      <c r="B140">
        <f t="shared" si="26"/>
        <v>0</v>
      </c>
      <c r="C140">
        <f t="shared" si="27"/>
        <v>0</v>
      </c>
      <c r="D140">
        <f t="shared" si="27"/>
        <v>0</v>
      </c>
      <c r="E140">
        <f t="shared" si="25"/>
        <v>0</v>
      </c>
      <c r="F140">
        <f t="shared" si="25"/>
        <v>0</v>
      </c>
      <c r="G140">
        <f t="shared" si="25"/>
        <v>0</v>
      </c>
      <c r="H140">
        <f t="shared" si="25"/>
        <v>0</v>
      </c>
      <c r="I140">
        <f t="shared" si="25"/>
        <v>0</v>
      </c>
      <c r="J140">
        <f t="shared" si="25"/>
        <v>0</v>
      </c>
    </row>
    <row r="141" spans="1:10" x14ac:dyDescent="0.2">
      <c r="A141">
        <f t="shared" si="20"/>
        <v>82000000000</v>
      </c>
      <c r="B141">
        <f t="shared" si="26"/>
        <v>0</v>
      </c>
      <c r="C141">
        <f t="shared" si="27"/>
        <v>0</v>
      </c>
      <c r="D141">
        <f t="shared" si="27"/>
        <v>0</v>
      </c>
      <c r="E141">
        <f t="shared" si="25"/>
        <v>0</v>
      </c>
      <c r="F141">
        <f t="shared" si="25"/>
        <v>0</v>
      </c>
      <c r="G141">
        <f t="shared" si="25"/>
        <v>0</v>
      </c>
      <c r="H141">
        <f t="shared" si="25"/>
        <v>0</v>
      </c>
      <c r="I141">
        <f t="shared" si="25"/>
        <v>0</v>
      </c>
      <c r="J141">
        <f t="shared" si="25"/>
        <v>0</v>
      </c>
    </row>
    <row r="142" spans="1:10" x14ac:dyDescent="0.2">
      <c r="A142">
        <f t="shared" si="20"/>
        <v>100000000000</v>
      </c>
      <c r="B142">
        <f t="shared" si="26"/>
        <v>0</v>
      </c>
      <c r="C142">
        <f t="shared" si="27"/>
        <v>0</v>
      </c>
      <c r="D142">
        <f t="shared" si="27"/>
        <v>0</v>
      </c>
      <c r="E142">
        <f t="shared" si="25"/>
        <v>0</v>
      </c>
      <c r="F142">
        <f t="shared" si="25"/>
        <v>0</v>
      </c>
      <c r="G142">
        <f t="shared" si="25"/>
        <v>0</v>
      </c>
      <c r="H142">
        <f t="shared" si="25"/>
        <v>0</v>
      </c>
      <c r="I142">
        <f t="shared" si="25"/>
        <v>0</v>
      </c>
      <c r="J142">
        <f t="shared" si="25"/>
        <v>0</v>
      </c>
    </row>
    <row r="143" spans="1:10" x14ac:dyDescent="0.2">
      <c r="A143">
        <f t="shared" si="20"/>
        <v>120000000000</v>
      </c>
      <c r="B143">
        <f t="shared" si="26"/>
        <v>0</v>
      </c>
      <c r="C143">
        <f t="shared" si="27"/>
        <v>0</v>
      </c>
      <c r="D143">
        <f t="shared" si="27"/>
        <v>0</v>
      </c>
      <c r="E143">
        <f t="shared" si="25"/>
        <v>0</v>
      </c>
      <c r="F143">
        <f t="shared" si="25"/>
        <v>0</v>
      </c>
      <c r="G143">
        <f t="shared" si="25"/>
        <v>0</v>
      </c>
      <c r="H143">
        <f t="shared" si="25"/>
        <v>0</v>
      </c>
      <c r="I143">
        <f t="shared" si="25"/>
        <v>0</v>
      </c>
      <c r="J143">
        <f t="shared" si="25"/>
        <v>0</v>
      </c>
    </row>
    <row r="144" spans="1:10" x14ac:dyDescent="0.2">
      <c r="A144">
        <f t="shared" si="20"/>
        <v>150000000000</v>
      </c>
      <c r="B144">
        <f t="shared" si="26"/>
        <v>0</v>
      </c>
      <c r="C144">
        <f t="shared" si="27"/>
        <v>0</v>
      </c>
      <c r="D144">
        <f t="shared" si="27"/>
        <v>0</v>
      </c>
      <c r="E144">
        <f t="shared" si="25"/>
        <v>0</v>
      </c>
      <c r="F144">
        <f t="shared" si="25"/>
        <v>0</v>
      </c>
      <c r="G144">
        <f t="shared" si="25"/>
        <v>0</v>
      </c>
      <c r="H144">
        <f t="shared" si="25"/>
        <v>0</v>
      </c>
      <c r="I144">
        <f t="shared" si="25"/>
        <v>0</v>
      </c>
      <c r="J144">
        <f t="shared" si="25"/>
        <v>0</v>
      </c>
    </row>
    <row r="145" spans="1:10" x14ac:dyDescent="0.2">
      <c r="A145">
        <f t="shared" si="20"/>
        <v>180000000000</v>
      </c>
      <c r="B145">
        <f t="shared" si="26"/>
        <v>0</v>
      </c>
      <c r="C145">
        <f t="shared" si="27"/>
        <v>0</v>
      </c>
      <c r="D145">
        <f t="shared" si="27"/>
        <v>0</v>
      </c>
      <c r="E145">
        <f t="shared" si="25"/>
        <v>0</v>
      </c>
      <c r="F145">
        <f t="shared" si="25"/>
        <v>0</v>
      </c>
      <c r="G145">
        <f t="shared" si="25"/>
        <v>0</v>
      </c>
      <c r="H145">
        <f t="shared" si="25"/>
        <v>0</v>
      </c>
      <c r="I145">
        <f t="shared" si="25"/>
        <v>0</v>
      </c>
      <c r="J145">
        <f t="shared" si="25"/>
        <v>0</v>
      </c>
    </row>
    <row r="146" spans="1:10" x14ac:dyDescent="0.2">
      <c r="A146">
        <f t="shared" si="20"/>
        <v>220000000000</v>
      </c>
      <c r="B146">
        <f t="shared" si="26"/>
        <v>0</v>
      </c>
      <c r="C146">
        <f t="shared" si="27"/>
        <v>0</v>
      </c>
      <c r="D146">
        <f t="shared" si="27"/>
        <v>0</v>
      </c>
      <c r="E146">
        <f t="shared" si="25"/>
        <v>0</v>
      </c>
      <c r="F146">
        <f t="shared" si="25"/>
        <v>0</v>
      </c>
      <c r="G146">
        <f t="shared" si="25"/>
        <v>0</v>
      </c>
      <c r="H146">
        <f t="shared" si="25"/>
        <v>0</v>
      </c>
      <c r="I146">
        <f t="shared" si="25"/>
        <v>0</v>
      </c>
      <c r="J146">
        <f t="shared" si="25"/>
        <v>0</v>
      </c>
    </row>
    <row r="147" spans="1:10" x14ac:dyDescent="0.2">
      <c r="A147">
        <f t="shared" si="20"/>
        <v>270000000000</v>
      </c>
      <c r="B147">
        <f t="shared" si="26"/>
        <v>0</v>
      </c>
      <c r="C147">
        <f t="shared" si="27"/>
        <v>0</v>
      </c>
      <c r="D147">
        <f t="shared" si="27"/>
        <v>0</v>
      </c>
      <c r="E147">
        <f t="shared" si="25"/>
        <v>0</v>
      </c>
      <c r="F147">
        <f t="shared" si="25"/>
        <v>0</v>
      </c>
      <c r="G147">
        <f t="shared" si="25"/>
        <v>0</v>
      </c>
      <c r="H147">
        <f t="shared" si="25"/>
        <v>0</v>
      </c>
      <c r="I147">
        <f t="shared" si="25"/>
        <v>0</v>
      </c>
      <c r="J147">
        <f t="shared" si="25"/>
        <v>0</v>
      </c>
    </row>
    <row r="148" spans="1:10" x14ac:dyDescent="0.2">
      <c r="A148">
        <f t="shared" si="20"/>
        <v>330000000000</v>
      </c>
      <c r="B148">
        <f t="shared" si="26"/>
        <v>0</v>
      </c>
      <c r="C148">
        <f t="shared" si="27"/>
        <v>0</v>
      </c>
      <c r="D148">
        <f t="shared" si="27"/>
        <v>0</v>
      </c>
      <c r="E148">
        <f t="shared" si="25"/>
        <v>0</v>
      </c>
      <c r="F148">
        <f t="shared" si="25"/>
        <v>0</v>
      </c>
      <c r="G148">
        <f t="shared" si="25"/>
        <v>0</v>
      </c>
      <c r="H148">
        <f t="shared" si="25"/>
        <v>0</v>
      </c>
      <c r="I148">
        <f t="shared" si="25"/>
        <v>0</v>
      </c>
      <c r="J148">
        <f t="shared" si="25"/>
        <v>0</v>
      </c>
    </row>
    <row r="149" spans="1:10" x14ac:dyDescent="0.2">
      <c r="A149">
        <f t="shared" si="20"/>
        <v>390000000000</v>
      </c>
      <c r="B149">
        <f t="shared" si="26"/>
        <v>0</v>
      </c>
      <c r="C149">
        <f t="shared" si="27"/>
        <v>0</v>
      </c>
      <c r="D149">
        <f t="shared" si="27"/>
        <v>0</v>
      </c>
      <c r="E149">
        <f t="shared" si="25"/>
        <v>0</v>
      </c>
      <c r="F149">
        <f t="shared" si="25"/>
        <v>0</v>
      </c>
      <c r="G149">
        <f t="shared" si="25"/>
        <v>0</v>
      </c>
      <c r="H149">
        <f t="shared" si="25"/>
        <v>0</v>
      </c>
      <c r="I149">
        <f t="shared" si="25"/>
        <v>0</v>
      </c>
      <c r="J149">
        <f t="shared" si="25"/>
        <v>0</v>
      </c>
    </row>
    <row r="150" spans="1:10" x14ac:dyDescent="0.2">
      <c r="A150">
        <f t="shared" si="20"/>
        <v>470000000000</v>
      </c>
      <c r="B150">
        <f t="shared" si="26"/>
        <v>0</v>
      </c>
      <c r="C150">
        <f t="shared" si="27"/>
        <v>0</v>
      </c>
      <c r="D150">
        <f t="shared" si="27"/>
        <v>0</v>
      </c>
      <c r="E150">
        <f t="shared" si="25"/>
        <v>0</v>
      </c>
      <c r="F150">
        <f t="shared" si="25"/>
        <v>0</v>
      </c>
      <c r="G150">
        <f t="shared" si="25"/>
        <v>0</v>
      </c>
      <c r="H150">
        <f t="shared" si="25"/>
        <v>0</v>
      </c>
      <c r="I150">
        <f t="shared" si="25"/>
        <v>0</v>
      </c>
      <c r="J150">
        <f t="shared" si="25"/>
        <v>0</v>
      </c>
    </row>
    <row r="151" spans="1:10" x14ac:dyDescent="0.2">
      <c r="A151">
        <f t="shared" si="20"/>
        <v>560000000000</v>
      </c>
      <c r="B151">
        <f t="shared" si="26"/>
        <v>0</v>
      </c>
      <c r="C151">
        <f t="shared" si="27"/>
        <v>0</v>
      </c>
      <c r="D151">
        <f t="shared" si="27"/>
        <v>0</v>
      </c>
      <c r="E151">
        <f t="shared" si="25"/>
        <v>0</v>
      </c>
      <c r="F151">
        <f t="shared" si="25"/>
        <v>0</v>
      </c>
      <c r="G151">
        <f t="shared" si="25"/>
        <v>0</v>
      </c>
      <c r="H151">
        <f t="shared" si="25"/>
        <v>0</v>
      </c>
      <c r="I151">
        <f t="shared" si="25"/>
        <v>0</v>
      </c>
      <c r="J151">
        <f t="shared" si="25"/>
        <v>0</v>
      </c>
    </row>
    <row r="152" spans="1:10" x14ac:dyDescent="0.2">
      <c r="A152">
        <f t="shared" si="20"/>
        <v>680000000000</v>
      </c>
      <c r="B152">
        <f t="shared" si="26"/>
        <v>0</v>
      </c>
      <c r="C152">
        <f t="shared" si="27"/>
        <v>0</v>
      </c>
      <c r="D152">
        <f t="shared" si="27"/>
        <v>0</v>
      </c>
      <c r="E152">
        <f t="shared" si="25"/>
        <v>0</v>
      </c>
      <c r="F152">
        <f t="shared" si="25"/>
        <v>0</v>
      </c>
      <c r="G152">
        <f t="shared" si="25"/>
        <v>0</v>
      </c>
      <c r="H152">
        <f t="shared" si="25"/>
        <v>0</v>
      </c>
      <c r="I152">
        <f t="shared" si="25"/>
        <v>0</v>
      </c>
      <c r="J152">
        <f t="shared" si="25"/>
        <v>0</v>
      </c>
    </row>
    <row r="153" spans="1:10" x14ac:dyDescent="0.2">
      <c r="A153">
        <f t="shared" si="20"/>
        <v>820000000000</v>
      </c>
      <c r="B153">
        <f t="shared" si="26"/>
        <v>0</v>
      </c>
      <c r="C153">
        <f t="shared" si="27"/>
        <v>0</v>
      </c>
      <c r="D153">
        <f t="shared" si="27"/>
        <v>0</v>
      </c>
      <c r="E153">
        <f t="shared" si="25"/>
        <v>0</v>
      </c>
      <c r="F153">
        <f t="shared" si="25"/>
        <v>0</v>
      </c>
      <c r="G153">
        <f t="shared" si="25"/>
        <v>0</v>
      </c>
      <c r="H153">
        <f t="shared" si="25"/>
        <v>0</v>
      </c>
      <c r="I153">
        <f t="shared" si="25"/>
        <v>0</v>
      </c>
      <c r="J153">
        <f t="shared" si="25"/>
        <v>0</v>
      </c>
    </row>
    <row r="154" spans="1:10" x14ac:dyDescent="0.2">
      <c r="A154">
        <f t="shared" si="20"/>
        <v>1000000000000</v>
      </c>
      <c r="B154">
        <f t="shared" si="26"/>
        <v>0</v>
      </c>
      <c r="C154">
        <f t="shared" si="27"/>
        <v>0</v>
      </c>
      <c r="D154">
        <f t="shared" si="27"/>
        <v>0</v>
      </c>
      <c r="E154">
        <f t="shared" si="25"/>
        <v>0</v>
      </c>
      <c r="F154">
        <f t="shared" si="25"/>
        <v>0</v>
      </c>
      <c r="G154">
        <f t="shared" si="25"/>
        <v>0</v>
      </c>
      <c r="H154">
        <f t="shared" si="25"/>
        <v>0</v>
      </c>
      <c r="I154">
        <f t="shared" si="25"/>
        <v>0</v>
      </c>
      <c r="J154">
        <f t="shared" si="25"/>
        <v>0</v>
      </c>
    </row>
    <row r="155" spans="1:10" x14ac:dyDescent="0.2">
      <c r="A155">
        <f t="shared" si="20"/>
        <v>1200000000000</v>
      </c>
      <c r="B155">
        <f t="shared" si="26"/>
        <v>0</v>
      </c>
      <c r="C155">
        <f t="shared" si="27"/>
        <v>0</v>
      </c>
      <c r="D155">
        <f t="shared" si="27"/>
        <v>0</v>
      </c>
      <c r="E155">
        <f t="shared" si="25"/>
        <v>0</v>
      </c>
      <c r="F155">
        <f t="shared" si="25"/>
        <v>0</v>
      </c>
      <c r="G155">
        <f t="shared" si="25"/>
        <v>0</v>
      </c>
      <c r="H155">
        <f t="shared" si="25"/>
        <v>0</v>
      </c>
      <c r="I155">
        <f t="shared" si="25"/>
        <v>0</v>
      </c>
      <c r="J155">
        <f t="shared" si="25"/>
        <v>0</v>
      </c>
    </row>
    <row r="156" spans="1:10" x14ac:dyDescent="0.2">
      <c r="A156">
        <f t="shared" si="20"/>
        <v>1500000000000</v>
      </c>
      <c r="B156">
        <f t="shared" si="26"/>
        <v>0</v>
      </c>
      <c r="C156">
        <f t="shared" si="27"/>
        <v>0</v>
      </c>
      <c r="D156">
        <f t="shared" si="27"/>
        <v>0</v>
      </c>
      <c r="E156">
        <f t="shared" si="25"/>
        <v>0</v>
      </c>
      <c r="F156">
        <f t="shared" si="25"/>
        <v>0</v>
      </c>
      <c r="G156">
        <f t="shared" si="25"/>
        <v>0</v>
      </c>
      <c r="H156">
        <f t="shared" si="25"/>
        <v>0</v>
      </c>
      <c r="I156">
        <f t="shared" si="25"/>
        <v>0</v>
      </c>
      <c r="J156">
        <f t="shared" si="25"/>
        <v>0</v>
      </c>
    </row>
    <row r="157" spans="1:10" x14ac:dyDescent="0.2">
      <c r="A157">
        <f t="shared" si="20"/>
        <v>1800000000000</v>
      </c>
      <c r="B157">
        <f t="shared" si="26"/>
        <v>0</v>
      </c>
      <c r="C157">
        <f t="shared" si="27"/>
        <v>0</v>
      </c>
      <c r="D157">
        <f t="shared" si="27"/>
        <v>0</v>
      </c>
      <c r="E157">
        <f t="shared" si="25"/>
        <v>0</v>
      </c>
      <c r="F157">
        <f t="shared" si="25"/>
        <v>0</v>
      </c>
      <c r="G157">
        <f t="shared" si="25"/>
        <v>0</v>
      </c>
      <c r="H157">
        <f t="shared" si="25"/>
        <v>0</v>
      </c>
      <c r="I157">
        <f t="shared" si="25"/>
        <v>0</v>
      </c>
      <c r="J157">
        <f t="shared" si="25"/>
        <v>0</v>
      </c>
    </row>
    <row r="158" spans="1:10" x14ac:dyDescent="0.2">
      <c r="A158">
        <f t="shared" si="20"/>
        <v>2200000000000</v>
      </c>
      <c r="B158">
        <f t="shared" si="26"/>
        <v>0</v>
      </c>
      <c r="C158">
        <f t="shared" si="27"/>
        <v>0</v>
      </c>
      <c r="D158">
        <f t="shared" si="27"/>
        <v>0</v>
      </c>
      <c r="E158">
        <f t="shared" si="25"/>
        <v>0</v>
      </c>
      <c r="F158">
        <f t="shared" si="25"/>
        <v>0</v>
      </c>
      <c r="G158">
        <f t="shared" si="25"/>
        <v>0</v>
      </c>
      <c r="H158">
        <f t="shared" si="25"/>
        <v>0</v>
      </c>
      <c r="I158">
        <f t="shared" si="25"/>
        <v>0</v>
      </c>
      <c r="J158">
        <f t="shared" si="25"/>
        <v>0</v>
      </c>
    </row>
    <row r="159" spans="1:10" x14ac:dyDescent="0.2">
      <c r="A159" s="43">
        <f t="shared" si="20"/>
        <v>2700000000000</v>
      </c>
      <c r="B159">
        <f t="shared" si="26"/>
        <v>2700000000000</v>
      </c>
      <c r="C159">
        <f t="shared" si="27"/>
        <v>2700000000000</v>
      </c>
      <c r="D159">
        <f t="shared" si="27"/>
        <v>2700000000000</v>
      </c>
      <c r="E159">
        <f t="shared" si="25"/>
        <v>2700000000000</v>
      </c>
      <c r="F159">
        <f t="shared" si="25"/>
        <v>2700000000000</v>
      </c>
      <c r="G159">
        <f t="shared" si="25"/>
        <v>2700000000000</v>
      </c>
      <c r="H159">
        <f t="shared" si="25"/>
        <v>2700000000000</v>
      </c>
      <c r="I159">
        <f t="shared" si="25"/>
        <v>0</v>
      </c>
      <c r="J159">
        <f t="shared" si="25"/>
        <v>2700000000000</v>
      </c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E7"/>
  <sheetViews>
    <sheetView workbookViewId="0">
      <selection activeCell="M42" sqref="M42"/>
    </sheetView>
  </sheetViews>
  <sheetFormatPr defaultRowHeight="12.75" x14ac:dyDescent="0.2"/>
  <cols>
    <col min="1" max="1" width="18.5703125" customWidth="1"/>
    <col min="2" max="2" width="9.28515625" customWidth="1"/>
    <col min="4" max="4" width="11.140625" customWidth="1"/>
  </cols>
  <sheetData>
    <row r="1" spans="1:5" x14ac:dyDescent="0.2">
      <c r="C1" t="s">
        <v>219</v>
      </c>
      <c r="D1" t="s">
        <v>218</v>
      </c>
    </row>
    <row r="2" spans="1:5" x14ac:dyDescent="0.2">
      <c r="A2" t="s">
        <v>216</v>
      </c>
      <c r="B2" s="47">
        <v>85</v>
      </c>
      <c r="C2" t="s">
        <v>217</v>
      </c>
      <c r="D2">
        <f>B2*1000000</f>
        <v>85000000</v>
      </c>
      <c r="E2" t="s">
        <v>10</v>
      </c>
    </row>
    <row r="3" spans="1:5" x14ac:dyDescent="0.2">
      <c r="A3" t="s">
        <v>220</v>
      </c>
      <c r="B3" s="47">
        <v>3000</v>
      </c>
      <c r="C3" t="s">
        <v>32</v>
      </c>
      <c r="D3">
        <f>B3*0.000000000001</f>
        <v>3E-9</v>
      </c>
      <c r="E3" t="s">
        <v>26</v>
      </c>
    </row>
    <row r="4" spans="1:5" x14ac:dyDescent="0.2">
      <c r="A4" t="s">
        <v>222</v>
      </c>
      <c r="B4" s="48">
        <f>1000000000*1/((D2*2*3.14159)^2*D3)</f>
        <v>1.1686430773614742</v>
      </c>
      <c r="C4" t="s">
        <v>223</v>
      </c>
      <c r="D4">
        <f>B4/1000000000</f>
        <v>1.1686430773614743E-9</v>
      </c>
      <c r="E4" t="s">
        <v>20</v>
      </c>
    </row>
    <row r="5" spans="1:5" x14ac:dyDescent="0.2">
      <c r="A5" t="s">
        <v>221</v>
      </c>
      <c r="B5">
        <f>4*B3</f>
        <v>12000</v>
      </c>
      <c r="C5" t="s">
        <v>32</v>
      </c>
      <c r="D5">
        <f>B5*0.000000000001</f>
        <v>1.2E-8</v>
      </c>
      <c r="E5" t="s">
        <v>26</v>
      </c>
    </row>
    <row r="6" spans="1:5" x14ac:dyDescent="0.2">
      <c r="A6" t="s">
        <v>224</v>
      </c>
      <c r="B6" s="4">
        <f>SQRT(D4/D3)</f>
        <v>0.62413755891936573</v>
      </c>
      <c r="C6" s="4" t="s">
        <v>169</v>
      </c>
      <c r="D6" s="4">
        <f>B6</f>
        <v>0.62413755891936573</v>
      </c>
      <c r="E6" t="s">
        <v>169</v>
      </c>
    </row>
    <row r="7" spans="1:5" x14ac:dyDescent="0.2">
      <c r="B7" s="4"/>
      <c r="C7" s="4"/>
      <c r="D7" s="4"/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3:E16"/>
  <sheetViews>
    <sheetView workbookViewId="0">
      <selection activeCell="G37" sqref="G37"/>
    </sheetView>
  </sheetViews>
  <sheetFormatPr defaultRowHeight="12.75" x14ac:dyDescent="0.2"/>
  <sheetData>
    <row r="3" spans="1:5" x14ac:dyDescent="0.2">
      <c r="A3" t="s">
        <v>186</v>
      </c>
      <c r="B3" t="e">
        <f>Iripple1</f>
        <v>#NAME?</v>
      </c>
    </row>
    <row r="4" spans="1:5" x14ac:dyDescent="0.2">
      <c r="A4" t="s">
        <v>7</v>
      </c>
      <c r="B4">
        <f>Fsw</f>
        <v>370000</v>
      </c>
    </row>
    <row r="6" spans="1:5" x14ac:dyDescent="0.2">
      <c r="A6" t="s">
        <v>173</v>
      </c>
      <c r="B6" s="41">
        <v>0.5</v>
      </c>
      <c r="C6" t="s">
        <v>67</v>
      </c>
      <c r="D6">
        <f>B6/1000</f>
        <v>5.0000000000000001E-4</v>
      </c>
      <c r="E6" t="s">
        <v>21</v>
      </c>
    </row>
    <row r="7" spans="1:5" x14ac:dyDescent="0.2">
      <c r="A7" t="s">
        <v>184</v>
      </c>
      <c r="B7" s="41">
        <v>20</v>
      </c>
      <c r="C7" t="s">
        <v>25</v>
      </c>
      <c r="D7">
        <f>B7/1000000</f>
        <v>2.0000000000000002E-5</v>
      </c>
      <c r="E7" t="s">
        <v>26</v>
      </c>
    </row>
    <row r="9" spans="1:5" x14ac:dyDescent="0.2">
      <c r="A9" t="s">
        <v>174</v>
      </c>
      <c r="B9" s="41">
        <v>20</v>
      </c>
      <c r="C9" t="s">
        <v>67</v>
      </c>
      <c r="D9">
        <f>B9/1000</f>
        <v>0.02</v>
      </c>
      <c r="E9" t="s">
        <v>21</v>
      </c>
    </row>
    <row r="10" spans="1:5" x14ac:dyDescent="0.2">
      <c r="A10" t="s">
        <v>185</v>
      </c>
      <c r="B10" s="41">
        <v>68</v>
      </c>
      <c r="C10" t="s">
        <v>25</v>
      </c>
      <c r="D10">
        <f>B10/1000000</f>
        <v>6.7999999999999999E-5</v>
      </c>
      <c r="E10" t="s">
        <v>26</v>
      </c>
    </row>
    <row r="12" spans="1:5" x14ac:dyDescent="0.2">
      <c r="A12" t="s">
        <v>188</v>
      </c>
      <c r="B12">
        <f>(D7/(D7+D10))*SQRT((D9*D10*B4)^2+1)/SQRT((((D6+D9)*D7*D10/(D10+D7))*B4)^2+1)</f>
        <v>0.25269447660410921</v>
      </c>
      <c r="C12" t="s">
        <v>187</v>
      </c>
    </row>
    <row r="13" spans="1:5" x14ac:dyDescent="0.2">
      <c r="A13" t="s">
        <v>189</v>
      </c>
      <c r="B13">
        <f>1-B12</f>
        <v>0.74730552339589074</v>
      </c>
      <c r="C13" t="s">
        <v>187</v>
      </c>
    </row>
    <row r="15" spans="1:5" x14ac:dyDescent="0.2">
      <c r="A15" t="s">
        <v>188</v>
      </c>
      <c r="B15" t="e">
        <f>B12*(Iripple1/(2*SQRT(3)))</f>
        <v>#NAME?</v>
      </c>
      <c r="C15" t="s">
        <v>2</v>
      </c>
    </row>
    <row r="16" spans="1:5" x14ac:dyDescent="0.2">
      <c r="A16" t="s">
        <v>189</v>
      </c>
      <c r="B16" t="e">
        <f>B13*(Iripple1/(2*SQRT(3)))</f>
        <v>#NAME?</v>
      </c>
      <c r="C16" t="s">
        <v>2</v>
      </c>
    </row>
  </sheetData>
  <phoneticPr fontId="6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252</vt:i4>
      </vt:variant>
    </vt:vector>
  </HeadingPairs>
  <TitlesOfParts>
    <vt:vector size="265" baseType="lpstr">
      <vt:lpstr>Design Converter</vt:lpstr>
      <vt:lpstr>BOM &amp; Schematic</vt:lpstr>
      <vt:lpstr>Licenses</vt:lpstr>
      <vt:lpstr>EVMs</vt:lpstr>
      <vt:lpstr>Variable Management</vt:lpstr>
      <vt:lpstr>Schematic Management</vt:lpstr>
      <vt:lpstr>Efficiency Plot Management</vt:lpstr>
      <vt:lpstr>Efficiency vs VIN Calculations</vt:lpstr>
      <vt:lpstr>Efficiency vs Load Calculations</vt:lpstr>
      <vt:lpstr>Stability Calculations</vt:lpstr>
      <vt:lpstr>Standard Value Calculator</vt:lpstr>
      <vt:lpstr>Snubber</vt:lpstr>
      <vt:lpstr>Parallel Output Caps</vt:lpstr>
      <vt:lpstr>_Don1</vt:lpstr>
      <vt:lpstr>_Don2</vt:lpstr>
      <vt:lpstr>Acs</vt:lpstr>
      <vt:lpstr>Adc</vt:lpstr>
      <vt:lpstr>AEA</vt:lpstr>
      <vt:lpstr>Afb</vt:lpstr>
      <vt:lpstr>Am</vt:lpstr>
      <vt:lpstr>Am_boost</vt:lpstr>
      <vt:lpstr>Am_buck</vt:lpstr>
      <vt:lpstr>Boost_CS_Threshold</vt:lpstr>
      <vt:lpstr>Boost_CS_Threshold_max</vt:lpstr>
      <vt:lpstr>Boost_CS_Threshold_min</vt:lpstr>
      <vt:lpstr>Buck_CS_threshold</vt:lpstr>
      <vt:lpstr>Buck_CS_threshold_max</vt:lpstr>
      <vt:lpstr>Buck_CS_threshold_min</vt:lpstr>
      <vt:lpstr>Cb</vt:lpstr>
      <vt:lpstr>Cbw</vt:lpstr>
      <vt:lpstr>Cby</vt:lpstr>
      <vt:lpstr>Cc1ea</vt:lpstr>
      <vt:lpstr>Cc1ea_u</vt:lpstr>
      <vt:lpstr>Cc2ea</vt:lpstr>
      <vt:lpstr>Cc2ea_u</vt:lpstr>
      <vt:lpstr>Cdither</vt:lpstr>
      <vt:lpstr>Cin</vt:lpstr>
      <vt:lpstr>CinEsrMax</vt:lpstr>
      <vt:lpstr>Cinmin</vt:lpstr>
      <vt:lpstr>Constant_Current_Loop_Setpoint</vt:lpstr>
      <vt:lpstr>Cout</vt:lpstr>
      <vt:lpstr>CoutEsr</vt:lpstr>
      <vt:lpstr>CoutEsrMax</vt:lpstr>
      <vt:lpstr>Coutmin</vt:lpstr>
      <vt:lpstr>CSAmp_gain</vt:lpstr>
      <vt:lpstr>Csb</vt:lpstr>
      <vt:lpstr>Csby</vt:lpstr>
      <vt:lpstr>Csideal</vt:lpstr>
      <vt:lpstr>Cslope</vt:lpstr>
      <vt:lpstr>Cslope_ideal</vt:lpstr>
      <vt:lpstr>Css</vt:lpstr>
      <vt:lpstr>Css_u</vt:lpstr>
      <vt:lpstr>D_max_buck_BB</vt:lpstr>
      <vt:lpstr>D_max_buck_enterBB</vt:lpstr>
      <vt:lpstr>D_max_exitBB_to_buck</vt:lpstr>
      <vt:lpstr>D_min_boost</vt:lpstr>
      <vt:lpstr>D_min_boost_exitBB_to_buck</vt:lpstr>
      <vt:lpstr>Deadtime</vt:lpstr>
      <vt:lpstr>DITHER</vt:lpstr>
      <vt:lpstr>Doff1</vt:lpstr>
      <vt:lpstr>Doff2</vt:lpstr>
      <vt:lpstr>Don_buckboost</vt:lpstr>
      <vt:lpstr>Don_Vinmax</vt:lpstr>
      <vt:lpstr>Don_Vinmax_2</vt:lpstr>
      <vt:lpstr>Don_Vinmin</vt:lpstr>
      <vt:lpstr>Don_Vinmin_2</vt:lpstr>
      <vt:lpstr>Don_Vinnom</vt:lpstr>
      <vt:lpstr>Don_Vinnom_2</vt:lpstr>
      <vt:lpstr>EFF_IOUT</vt:lpstr>
      <vt:lpstr>EFF_VIN</vt:lpstr>
      <vt:lpstr>Efficiency</vt:lpstr>
      <vt:lpstr>Fcross</vt:lpstr>
      <vt:lpstr>Fdither</vt:lpstr>
      <vt:lpstr>Fesr</vt:lpstr>
      <vt:lpstr>Fload_u</vt:lpstr>
      <vt:lpstr>Fp_dominant</vt:lpstr>
      <vt:lpstr>Fp1_u</vt:lpstr>
      <vt:lpstr>Fp2_u</vt:lpstr>
      <vt:lpstr>Frhp</vt:lpstr>
      <vt:lpstr>Fsw</vt:lpstr>
      <vt:lpstr>Fz1_u</vt:lpstr>
      <vt:lpstr>GBW</vt:lpstr>
      <vt:lpstr>Gfs_Q1</vt:lpstr>
      <vt:lpstr>Gfs_Q2</vt:lpstr>
      <vt:lpstr>Gfs_Q3</vt:lpstr>
      <vt:lpstr>Gfs_Q4</vt:lpstr>
      <vt:lpstr>gm</vt:lpstr>
      <vt:lpstr>gm_slopecomp</vt:lpstr>
      <vt:lpstr>Icoutrms</vt:lpstr>
      <vt:lpstr>Iin_Vinmax</vt:lpstr>
      <vt:lpstr>Iin_Vinmin</vt:lpstr>
      <vt:lpstr>Iin_Vinnom</vt:lpstr>
      <vt:lpstr>IL_peak_OCP</vt:lpstr>
      <vt:lpstr>Ilimit_DC</vt:lpstr>
      <vt:lpstr>ILpeak_OCP_Vinmax</vt:lpstr>
      <vt:lpstr>ILpeak_OCP_Vinmin</vt:lpstr>
      <vt:lpstr>ILpeak_OCP_Vinnom</vt:lpstr>
      <vt:lpstr>Iout</vt:lpstr>
      <vt:lpstr>Iout_OCP_Vinmax</vt:lpstr>
      <vt:lpstr>Iout_OCP_Vinmin</vt:lpstr>
      <vt:lpstr>Iout_OCP_Vinnom</vt:lpstr>
      <vt:lpstr>Iout_threshold</vt:lpstr>
      <vt:lpstr>Iq</vt:lpstr>
      <vt:lpstr>Ireverse</vt:lpstr>
      <vt:lpstr>Iripple_edgebuckboost</vt:lpstr>
      <vt:lpstr>Iripple_Vinmax</vt:lpstr>
      <vt:lpstr>Iripple_Vinmin</vt:lpstr>
      <vt:lpstr>Iripple_Vinnom</vt:lpstr>
      <vt:lpstr>Isc_const</vt:lpstr>
      <vt:lpstr>Islope_fixed</vt:lpstr>
      <vt:lpstr>Iss</vt:lpstr>
      <vt:lpstr>Iuvlo_hys</vt:lpstr>
      <vt:lpstr>Iuvlo1</vt:lpstr>
      <vt:lpstr>Iuvlo2</vt:lpstr>
      <vt:lpstr>k</vt:lpstr>
      <vt:lpstr>K_1</vt:lpstr>
      <vt:lpstr>k_boost</vt:lpstr>
      <vt:lpstr>k_buck</vt:lpstr>
      <vt:lpstr>K_SL</vt:lpstr>
      <vt:lpstr>KD</vt:lpstr>
      <vt:lpstr>KM</vt:lpstr>
      <vt:lpstr>Lf</vt:lpstr>
      <vt:lpstr>Lopt</vt:lpstr>
      <vt:lpstr>Ltc</vt:lpstr>
      <vt:lpstr>mc</vt:lpstr>
      <vt:lpstr>mc_boost</vt:lpstr>
      <vt:lpstr>mc_buck</vt:lpstr>
      <vt:lpstr>Pi</vt:lpstr>
      <vt:lpstr>Pin</vt:lpstr>
      <vt:lpstr>PLOT_TYPE</vt:lpstr>
      <vt:lpstr>pole1</vt:lpstr>
      <vt:lpstr>Pole2</vt:lpstr>
      <vt:lpstr>pole3</vt:lpstr>
      <vt:lpstr>pole4</vt:lpstr>
      <vt:lpstr>Pout</vt:lpstr>
      <vt:lpstr>'BOM &amp; Schematic'!Print_Area</vt:lpstr>
      <vt:lpstr>'Design Converter'!Print_Area</vt:lpstr>
      <vt:lpstr>pterm1</vt:lpstr>
      <vt:lpstr>pterm2</vt:lpstr>
      <vt:lpstr>Q</vt:lpstr>
      <vt:lpstr>Qg_Q1</vt:lpstr>
      <vt:lpstr>Qg_Q2</vt:lpstr>
      <vt:lpstr>Qg_Q3</vt:lpstr>
      <vt:lpstr>Qg_Q4</vt:lpstr>
      <vt:lpstr>Qgd_Q1</vt:lpstr>
      <vt:lpstr>Qgd_Q2</vt:lpstr>
      <vt:lpstr>Qgd_Q3</vt:lpstr>
      <vt:lpstr>Qgd_Q4</vt:lpstr>
      <vt:lpstr>Qgs_Q1</vt:lpstr>
      <vt:lpstr>Qgs_Q2</vt:lpstr>
      <vt:lpstr>Qgs_Q3</vt:lpstr>
      <vt:lpstr>Qgs_Q4</vt:lpstr>
      <vt:lpstr>Qrr_Q1</vt:lpstr>
      <vt:lpstr>Qrr_Q2</vt:lpstr>
      <vt:lpstr>Qrr_Q3</vt:lpstr>
      <vt:lpstr>Qrr_Q4</vt:lpstr>
      <vt:lpstr>QrrSky_Q2</vt:lpstr>
      <vt:lpstr>QrrSky_Q3</vt:lpstr>
      <vt:lpstr>radconv</vt:lpstr>
      <vt:lpstr>Rcea1</vt:lpstr>
      <vt:lpstr>Rcea1_u</vt:lpstr>
      <vt:lpstr>RCinEsr</vt:lpstr>
      <vt:lpstr>RCoutEsr</vt:lpstr>
      <vt:lpstr>Rdcr</vt:lpstr>
      <vt:lpstr>Rdson1</vt:lpstr>
      <vt:lpstr>Rdson2</vt:lpstr>
      <vt:lpstr>Rdson3</vt:lpstr>
      <vt:lpstr>Rdson4</vt:lpstr>
      <vt:lpstr>RdsonBotTc</vt:lpstr>
      <vt:lpstr>RdsonDRB</vt:lpstr>
      <vt:lpstr>RdsonDRB2</vt:lpstr>
      <vt:lpstr>RdsonDRT</vt:lpstr>
      <vt:lpstr>RdsonDRT2</vt:lpstr>
      <vt:lpstr>RdsonTopTc</vt:lpstr>
      <vt:lpstr>Rfadj</vt:lpstr>
      <vt:lpstr>Rfb1_</vt:lpstr>
      <vt:lpstr>Rfb2_</vt:lpstr>
      <vt:lpstr>Rfb2_u</vt:lpstr>
      <vt:lpstr>Rfets</vt:lpstr>
      <vt:lpstr>Rgate1</vt:lpstr>
      <vt:lpstr>Rgate2</vt:lpstr>
      <vt:lpstr>Rgate3</vt:lpstr>
      <vt:lpstr>Rgate4</vt:lpstr>
      <vt:lpstr>Ri</vt:lpstr>
      <vt:lpstr>Ro</vt:lpstr>
      <vt:lpstr>RoEA</vt:lpstr>
      <vt:lpstr>Rout</vt:lpstr>
      <vt:lpstr>Rpg</vt:lpstr>
      <vt:lpstr>Rs</vt:lpstr>
      <vt:lpstr>Rs_ideal</vt:lpstr>
      <vt:lpstr>Rsb</vt:lpstr>
      <vt:lpstr>Rshunt</vt:lpstr>
      <vt:lpstr>Rshunt_std</vt:lpstr>
      <vt:lpstr>Ruvlo1</vt:lpstr>
      <vt:lpstr>Ruvlo2</vt:lpstr>
      <vt:lpstr>SCH_DITH</vt:lpstr>
      <vt:lpstr>SCH_NO_DITH</vt:lpstr>
      <vt:lpstr>SCH_WITH_DITH</vt:lpstr>
      <vt:lpstr>Se</vt:lpstr>
      <vt:lpstr>Se_ext</vt:lpstr>
      <vt:lpstr>Se_fixed</vt:lpstr>
      <vt:lpstr>Se_proportional</vt:lpstr>
      <vt:lpstr>Sf</vt:lpstr>
      <vt:lpstr>Sn</vt:lpstr>
      <vt:lpstr>Ta</vt:lpstr>
      <vt:lpstr>Tf_boost</vt:lpstr>
      <vt:lpstr>Tf_buck</vt:lpstr>
      <vt:lpstr>ThetaCa</vt:lpstr>
      <vt:lpstr>ThetaJA_Q1</vt:lpstr>
      <vt:lpstr>ThetaJA_Q2</vt:lpstr>
      <vt:lpstr>ThetaJA_Q3</vt:lpstr>
      <vt:lpstr>ThetaJA_Q4</vt:lpstr>
      <vt:lpstr>ThetaJaCtrl</vt:lpstr>
      <vt:lpstr>TL</vt:lpstr>
      <vt:lpstr>Toff_min_buck</vt:lpstr>
      <vt:lpstr>Toff_Vinmax</vt:lpstr>
      <vt:lpstr>Ton_min_boost</vt:lpstr>
      <vt:lpstr>Ton_Vinmin</vt:lpstr>
      <vt:lpstr>Tr_boost</vt:lpstr>
      <vt:lpstr>Tr_buck</vt:lpstr>
      <vt:lpstr>Trr_Q1</vt:lpstr>
      <vt:lpstr>Trr_Q2</vt:lpstr>
      <vt:lpstr>Trr_Q3</vt:lpstr>
      <vt:lpstr>Trr_Q4</vt:lpstr>
      <vt:lpstr>Ts</vt:lpstr>
      <vt:lpstr>Tss</vt:lpstr>
      <vt:lpstr>V_sc_fixed</vt:lpstr>
      <vt:lpstr>V_sc_proportional</vt:lpstr>
      <vt:lpstr>V_sc_total</vt:lpstr>
      <vt:lpstr>Vdd</vt:lpstr>
      <vt:lpstr>VfdSky_Q2</vt:lpstr>
      <vt:lpstr>VfdSky_Q3</vt:lpstr>
      <vt:lpstr>Vin</vt:lpstr>
      <vt:lpstr>VIN_BB_to_buck</vt:lpstr>
      <vt:lpstr>VIN_boost_to_BB</vt:lpstr>
      <vt:lpstr>VIN_edgebuckboost</vt:lpstr>
      <vt:lpstr>VIN_max</vt:lpstr>
      <vt:lpstr>VIN_min</vt:lpstr>
      <vt:lpstr>VIN_nom</vt:lpstr>
      <vt:lpstr>Vinripple1</vt:lpstr>
      <vt:lpstr>Vinripple2</vt:lpstr>
      <vt:lpstr>VINuvlo_off</vt:lpstr>
      <vt:lpstr>VINuvlo_on</vt:lpstr>
      <vt:lpstr>Vout</vt:lpstr>
      <vt:lpstr>Vref</vt:lpstr>
      <vt:lpstr>Vripple1</vt:lpstr>
      <vt:lpstr>Vripple2</vt:lpstr>
      <vt:lpstr>Vsd_Q1</vt:lpstr>
      <vt:lpstr>Vsd_Q2</vt:lpstr>
      <vt:lpstr>Vsd_Q3</vt:lpstr>
      <vt:lpstr>Vsd_Q4</vt:lpstr>
      <vt:lpstr>Vsp_Q1</vt:lpstr>
      <vt:lpstr>Vsp_Q2</vt:lpstr>
      <vt:lpstr>Vsp_Q3</vt:lpstr>
      <vt:lpstr>Vsp_Q4</vt:lpstr>
      <vt:lpstr>Vth_Q1</vt:lpstr>
      <vt:lpstr>Vth_Q2</vt:lpstr>
      <vt:lpstr>Vth_Q3</vt:lpstr>
      <vt:lpstr>Vth_Q4</vt:lpstr>
      <vt:lpstr>Vuvlo_hys</vt:lpstr>
      <vt:lpstr>Vuvlo_off</vt:lpstr>
      <vt:lpstr>Vuvlo_on</vt:lpstr>
      <vt:lpstr>z_RHP</vt:lpstr>
      <vt:lpstr>Zero1</vt:lpstr>
      <vt:lpstr>Zero2</vt:lpstr>
    </vt:vector>
  </TitlesOfParts>
  <Company>Texas Instruments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LM5176 Quickstart Tool</dc:title>
  <dc:creator>Vijay Choudhary</dc:creator>
  <cp:keywords>LM5176, PWM controller, current mode, PCB layout</cp:keywords>
  <cp:lastModifiedBy>WoodyLai 賴建薳</cp:lastModifiedBy>
  <cp:lastPrinted>2014-12-22T00:10:27Z</cp:lastPrinted>
  <dcterms:created xsi:type="dcterms:W3CDTF">1996-10-14T23:33:28Z</dcterms:created>
  <dcterms:modified xsi:type="dcterms:W3CDTF">2024-06-17T02:40:02Z</dcterms:modified>
</cp:coreProperties>
</file>